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sempra.sharepoint.com/teams/sdgecp/DataGov/Shared Documents/EE Reporting/2021 Annual/Metrics/EE Metric Reporting/2021/"/>
    </mc:Choice>
  </mc:AlternateContent>
  <xr:revisionPtr revIDLastSave="106" documentId="13_ncr:1_{42C4D349-C42C-4448-94FA-075EB404328F}" xr6:coauthVersionLast="47" xr6:coauthVersionMax="47" xr10:uidLastSave="{D2F6B2DB-F939-4B30-BFEC-2745C7825BA0}"/>
  <bookViews>
    <workbookView xWindow="-120" yWindow="-120" windowWidth="29040" windowHeight="15840" tabRatio="788" firstSheet="4" activeTab="15" xr2:uid="{00000000-000D-0000-FFFF-FFFF00000000}"/>
  </bookViews>
  <sheets>
    <sheet name="Attachment A" sheetId="96" r:id="rId1"/>
    <sheet name="TOC-A" sheetId="98" r:id="rId2"/>
    <sheet name="Pg0_ED" sheetId="99" r:id="rId3"/>
    <sheet name="ED Template" sheetId="92" state="hidden" r:id="rId4"/>
    <sheet name="Targets" sheetId="121" r:id="rId5"/>
    <sheet name="2016_ModelLink" sheetId="117" state="hidden" r:id="rId6"/>
    <sheet name="2017_ModelLink" sheetId="123" state="hidden" r:id="rId7"/>
    <sheet name="2018_ModelLink" sheetId="120" state="hidden" r:id="rId8"/>
    <sheet name="2019_ModelLink" sheetId="122" state="hidden" r:id="rId9"/>
    <sheet name="2020_ModelLink" sheetId="124" state="hidden" r:id="rId10"/>
    <sheet name="2021_Internal_ModelLink" sheetId="128" state="hidden" r:id="rId11"/>
    <sheet name="2021_ModelLink" sheetId="126" r:id="rId12"/>
    <sheet name="Definitions" sheetId="26" r:id="rId13"/>
    <sheet name="Pg1_All" sheetId="113" r:id="rId14"/>
    <sheet name="Pg1_P" sheetId="110" r:id="rId15"/>
    <sheet name="In1_Portfolio" sheetId="102" r:id="rId16"/>
    <sheet name="Pg2_ResSF" sheetId="56" r:id="rId17"/>
    <sheet name="In2_ResSF" sheetId="104" r:id="rId18"/>
    <sheet name="Pg3_ResMF" sheetId="58" r:id="rId19"/>
    <sheet name="In3_ResMF" sheetId="105" r:id="rId20"/>
    <sheet name="Pg4_Com" sheetId="59" r:id="rId21"/>
    <sheet name="In4_Com" sheetId="106" r:id="rId22"/>
    <sheet name="Pg5_Public" sheetId="60" r:id="rId23"/>
    <sheet name="In5_Public" sheetId="107" r:id="rId24"/>
    <sheet name="Pg5_Ind" sheetId="61" r:id="rId25"/>
    <sheet name="In6_Ind" sheetId="108" r:id="rId26"/>
    <sheet name="Pg7_Agr" sheetId="62" r:id="rId27"/>
    <sheet name="In7_Agr" sheetId="109" r:id="rId28"/>
    <sheet name="Pg8_C&amp;S" sheetId="89" r:id="rId29"/>
    <sheet name="In8_CS" sheetId="115" r:id="rId30"/>
    <sheet name="In9_WET" sheetId="119" r:id="rId31"/>
    <sheet name="ETP-Future" sheetId="129" r:id="rId32"/>
    <sheet name="T-9 BP Metrics" sheetId="130"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12yrto100">[1]Lookups!#REF!</definedName>
    <definedName name="_12yrto60">[1]Lookups!#REF!</definedName>
    <definedName name="_3yrto100">[1]Lookups!#REF!</definedName>
    <definedName name="_3yrto60">[1]Lookups!#REF!</definedName>
    <definedName name="_6yrto100">[1]Lookups!#REF!</definedName>
    <definedName name="_6yrto60">[1]Lookups!#REF!</definedName>
    <definedName name="_8yrt0100">[1]Lookups!#REF!</definedName>
    <definedName name="_9yrto100">[1]Lookups!#REF!</definedName>
    <definedName name="_9yrto60">[1]Lookups!#REF!</definedName>
    <definedName name="_AMO_UniqueIdentifier" hidden="1">"'7f26e32b-2cc9-4f43-881e-47427f0e1ea5'"</definedName>
    <definedName name="_xlnm._FilterDatabase" localSheetId="5" hidden="1">'2016_ModelLink'!$A$2:$W$332</definedName>
    <definedName name="_xlnm._FilterDatabase" localSheetId="6" hidden="1">'2017_ModelLink'!$A$2:$W$332</definedName>
    <definedName name="_xlnm._FilterDatabase" localSheetId="7" hidden="1">'2018_ModelLink'!$A$2:$W$332</definedName>
    <definedName name="_xlnm._FilterDatabase" localSheetId="8" hidden="1">'2019_ModelLink'!$A$2:$W$332</definedName>
    <definedName name="_xlnm._FilterDatabase" localSheetId="9" hidden="1">'2020_ModelLink'!$A$2:$W$332</definedName>
    <definedName name="_xlnm._FilterDatabase" localSheetId="10" hidden="1">'2021_Internal_ModelLink'!$A$2:$T$332</definedName>
    <definedName name="_xlnm._FilterDatabase" localSheetId="11" hidden="1">'2021_ModelLink'!$A$2:$W$332</definedName>
    <definedName name="_xlnm._FilterDatabase" localSheetId="3" hidden="1">'ED Template'!$A$2:$AB$332</definedName>
    <definedName name="_xlnm._FilterDatabase" localSheetId="32" hidden="1">'T-9 BP Metrics'!$A$1:$AI$335</definedName>
    <definedName name="_xlnm._FilterDatabase" localSheetId="4" hidden="1">Targets!$A$1:$K$301</definedName>
    <definedName name="_New1">#REF!</definedName>
    <definedName name="adgadfghsfghb44">[1]Lookups!#REF!</definedName>
    <definedName name="bbbbb">#REF!</definedName>
    <definedName name="Budget___Expenditures______1">[2]pge12monthT1.1!$C$1:$C$121</definedName>
    <definedName name="CAlist">#REF!</definedName>
    <definedName name="Commitment_Type">[3]Lookup!$A$2:$A$11</definedName>
    <definedName name="_xlnm.Criteria">'[4]1.1 Done'!#REF!</definedName>
    <definedName name="Criteria_MI">#REF!</definedName>
    <definedName name="d">#REF!</definedName>
    <definedName name="DASFASDF">#REF!</definedName>
    <definedName name="data">#REF!</definedName>
    <definedName name="_xlnm.Database">'[4]1.1 Done'!#REF!</definedName>
    <definedName name="Database_MI">#REF!</definedName>
    <definedName name="DDD">#REF!</definedName>
    <definedName name="Demand_Reduction__Summer_Peak_kW___2">[2]pge12monthT1.1!$I$1:$I$121</definedName>
    <definedName name="Disrate">#REF!</definedName>
    <definedName name="DynCompany">"DPPI"</definedName>
    <definedName name="DynMajor">"Enter Pivot Title Here"</definedName>
    <definedName name="DynUser">"Steve"</definedName>
    <definedName name="EEGAVersion">#REF!</definedName>
    <definedName name="Energy_Savings__Net_Annual_kWh___2">[2]pge12monthT1.1!$N$1:$N$121</definedName>
    <definedName name="Enf60Never">[1]Lookups!#REF!</definedName>
    <definedName name="ESPI_Group">#REF!</definedName>
    <definedName name="ExportRanges">#REF!</definedName>
    <definedName name="ExportRangeSeed">#REF!</definedName>
    <definedName name="_xlnm.Extract">'[4]1.1 Done'!#REF!</definedName>
    <definedName name="Extract_MI">#REF!</definedName>
    <definedName name="Gas_Savings__Net_Annual_Therms___2">[2]pge12monthT1.1!$S$1:$S$121</definedName>
    <definedName name="Gray">[5]Partnerships!$B$13:$O$13,[5]Partnerships!#REF!,[5]Partnerships!$B$16:$O$16,[5]Partnerships!#REF!,[5]Partnerships!$B$33:$O$33,[5]Partnerships!#REF!,[5]Partnerships!#REF!,[5]Partnerships!$B$35:$O$35,[5]Partnerships!$B$37:$O$37</definedName>
    <definedName name="ImportExportRanges">#REF!</definedName>
    <definedName name="ImportExportRangeSeed">#REF!</definedName>
    <definedName name="Incentives">[2]pge12monthT1.1!$X$1:$X$121</definedName>
    <definedName name="indata">#REF!</definedName>
    <definedName name="IsPivot1">1</definedName>
    <definedName name="isXLT">4</definedName>
    <definedName name="Jan">[5]Month!$C$36</definedName>
    <definedName name="jjdjdj">#REF!</definedName>
    <definedName name="MaxMeasures">[6]Calculations!$K$8</definedName>
    <definedName name="MDATable1" localSheetId="32">'[7]MDA Table'!$C$2:$I$31</definedName>
    <definedName name="MDATable1">'[8]MDA Table'!$C$2:$I$31</definedName>
    <definedName name="MDATable2" localSheetId="32">'[7]MDA Table'!$A$33:$J$157</definedName>
    <definedName name="MDATable2">'[8]MDA Table'!$A$33:$J$157</definedName>
    <definedName name="MetricsCS" localSheetId="10">[9]In8_CS!$A$4:$F$16</definedName>
    <definedName name="MetricsCS" localSheetId="31">[9]In8_CS!$A$4:$F$16</definedName>
    <definedName name="MetricsCS" localSheetId="30">In9_WET!$A$4:$F$16</definedName>
    <definedName name="MetricsCS">In8_CS!$A$4:$F$16</definedName>
    <definedName name="NAlist">#REF!</definedName>
    <definedName name="NResSavTable" localSheetId="32">'[7]EE Reporting'!$B$3:$AS$16</definedName>
    <definedName name="NResSavTable">'[8]EE Report - 2017'!$B$3:$AS$16</definedName>
    <definedName name="P5_" localSheetId="32">[10]Sheet1!$E$27</definedName>
    <definedName name="P5_">[11]Sheet1!$E$27</definedName>
    <definedName name="PA_NAME">[12]README!$A$2</definedName>
    <definedName name="Paid_YTD_from_Previous_Month">[2]pge12monthT1.1!$AA$1:$AA$121</definedName>
    <definedName name="_xlnm.Print_Area" localSheetId="5">'2016_ModelLink'!$A$1:$V$332</definedName>
    <definedName name="_xlnm.Print_Area" localSheetId="6">'2017_ModelLink'!$A$1:$V$332</definedName>
    <definedName name="_xlnm.Print_Area" localSheetId="7">'2018_ModelLink'!$A$1:$V$332</definedName>
    <definedName name="_xlnm.Print_Area" localSheetId="8">'2019_ModelLink'!$A$1:$V$332</definedName>
    <definedName name="_xlnm.Print_Area" localSheetId="9">'2020_ModelLink'!$A$1:$V$332</definedName>
    <definedName name="_xlnm.Print_Area" localSheetId="10">'2021_Internal_ModelLink'!$A$1:$L$332</definedName>
    <definedName name="_xlnm.Print_Area" localSheetId="11">'2021_ModelLink'!$A$1:$V$332</definedName>
    <definedName name="_xlnm.Print_Area" localSheetId="0">'Attachment A'!$A$1:$B$3</definedName>
    <definedName name="_xlnm.Print_Area" localSheetId="12">Definitions!$A$1:$C$39</definedName>
    <definedName name="_xlnm.Print_Area" localSheetId="3">'ED Template'!$A$1:$AA$332</definedName>
    <definedName name="_xlnm.Print_Area" localSheetId="29">In8_CS!$A$1:$K$16</definedName>
    <definedName name="_xlnm.Print_Area" localSheetId="30">In9_WET!$A$1:$K$16</definedName>
    <definedName name="_xlnm.Print_Area" localSheetId="1">'TOC-A'!$A$1:$C$17</definedName>
    <definedName name="Print_Area_MI">#REF!</definedName>
    <definedName name="_xlnm.Print_Titles" localSheetId="5">'2016_ModelLink'!$A:$A,'2016_ModelLink'!$1:$2</definedName>
    <definedName name="_xlnm.Print_Titles" localSheetId="6">'2017_ModelLink'!$A:$A,'2017_ModelLink'!$1:$2</definedName>
    <definedName name="_xlnm.Print_Titles" localSheetId="7">'2018_ModelLink'!$A:$A,'2018_ModelLink'!$1:$2</definedName>
    <definedName name="_xlnm.Print_Titles" localSheetId="8">'2019_ModelLink'!$A:$A,'2019_ModelLink'!$1:$2</definedName>
    <definedName name="_xlnm.Print_Titles" localSheetId="9">'2020_ModelLink'!$A:$A,'2020_ModelLink'!$1:$2</definedName>
    <definedName name="_xlnm.Print_Titles" localSheetId="10">'2021_Internal_ModelLink'!$A:$A,'2021_Internal_ModelLink'!$1:$2</definedName>
    <definedName name="_xlnm.Print_Titles" localSheetId="11">'2021_ModelLink'!$A:$A,'2021_ModelLink'!$1:$2</definedName>
    <definedName name="_xlnm.Print_Titles" localSheetId="3">'ED Template'!$A:$A,'ED Template'!$1:$2</definedName>
    <definedName name="_xlnm.Print_Titles" localSheetId="15">In1_Portfolio!$A:$B,In1_Portfolio!$1:$2</definedName>
    <definedName name="_xlnm.Print_Titles" localSheetId="17">In2_ResSF!$A:$B,In2_ResSF!$1:$2</definedName>
    <definedName name="_xlnm.Print_Titles" localSheetId="19">In3_ResMF!$A:$B,In3_ResMF!$1:$2</definedName>
    <definedName name="_xlnm.Print_Titles" localSheetId="21">In4_Com!$A:$B,In4_Com!$1:$2</definedName>
    <definedName name="_xlnm.Print_Titles" localSheetId="23">In5_Public!$A:$B,In5_Public!$1:$2</definedName>
    <definedName name="_xlnm.Print_Titles" localSheetId="25">In6_Ind!$A:$B,In6_Ind!$1:$2</definedName>
    <definedName name="_xlnm.Print_Titles" localSheetId="27">In7_Agr!$A:$B,In7_Agr!$1:$2</definedName>
    <definedName name="_xlnm.Print_Titles" localSheetId="29">In8_CS!$A:$A,In8_CS!$1:$2</definedName>
    <definedName name="_xlnm.Print_Titles" localSheetId="30">In9_WET!$A:$A,In9_WET!$1:$2</definedName>
    <definedName name="_xlnm.Print_Titles" localSheetId="32">'T-9 BP Metrics'!$2:$4</definedName>
    <definedName name="PT_Data">"PTData1!A1:E26153"</definedName>
    <definedName name="qry_ForecastGloriaWorksheet">#REF!</definedName>
    <definedName name="qryNormByMkt_AllData">#REF!</definedName>
    <definedName name="range_unresolved">#REF!</definedName>
    <definedName name="RANGEpge12monthT1.1">[2]pge12monthT1.1!$A$1:$AC$121</definedName>
    <definedName name="ResSavTable1" localSheetId="32">'[7]EE Reporting'!$B$25:$AS$34</definedName>
    <definedName name="ResSavTable1">'[8]EE Report - 2017'!$B$25:$AS$34</definedName>
    <definedName name="ResSavTable2" localSheetId="32">'[7]EE Reporting'!$A$25:$AS$34</definedName>
    <definedName name="ResSavTable2">'[8]EE Report - 2017'!$A$25:$AS$34</definedName>
    <definedName name="RPT_YEAR">[12]README!$A$3</definedName>
    <definedName name="RptDate">#REF!</definedName>
    <definedName name="SCGAggEnd">#REF!</definedName>
    <definedName name="SCGMktSector">#REF!</definedName>
    <definedName name="SCGPgmSum">#REF!</definedName>
    <definedName name="sdgeAggEnd">#REF!</definedName>
    <definedName name="sdgeMktSector">#REF!</definedName>
    <definedName name="SDGEPgmSum">#REF!</definedName>
    <definedName name="SectorTab" localSheetId="32">[13]List!$D$3:$E$12</definedName>
    <definedName name="SectorTab">[8]List!$D$3:$E$12</definedName>
    <definedName name="StampStatusLocation">#REF!</definedName>
    <definedName name="StampVersionLocation">#REF!</definedName>
    <definedName name="StandaloneMode">#REF!</definedName>
    <definedName name="StartYr">#REF!</definedName>
    <definedName name="StatusList">#REF!</definedName>
    <definedName name="test">'[7]EE Reporting'!$B$3:$AS$16</definedName>
    <definedName name="test2">[10]Sheet1!$E$27</definedName>
    <definedName name="test3">'[7]EE Reporting'!$B$25:$AS$34</definedName>
    <definedName name="test4">'[7]EE Reporting'!$A$25:$AS$34</definedName>
    <definedName name="UpdateVersion">#REF!</definedName>
    <definedName name="Validation_Ranges">#REF!</definedName>
    <definedName name="ValidationRangeSeed">#REF!</definedName>
    <definedName name="ValidatorVersion">#REF!</definedName>
    <definedName name="Version">#REF!</definedName>
    <definedName name="vertical">[5]Partnerships!#REF!,[5]Partnerships!$I$11:$I$37,[5]Partnerships!$J$11:$J$37,[5]Partnerships!#REF!,[5]Partnerships!$L$11:$L$37,[5]Partnerships!#REF!,[5]Partnerships!$N$11:$N$37,[5]Partnerships!$O$11:$O$37,[5]Partnerships!#REF!</definedName>
    <definedName name="White">[5]Business!$B$9:$M$9,[5]Business!#REF!,[5]Business!$B$24:$M$24,[5]Business!$B$25:$M$25,[5]Business!#REF!,[5]Business!$B$12:$M$12,[5]Business!#REF!,[5]Business!$B$13:$M$13,[5]Business!#REF!,[5]Business!$B$17:$M$17,[5]Business!#REF!</definedName>
    <definedName name="XLTBuild">4.1</definedName>
    <definedName name="XltVer">2</definedName>
    <definedName name="XSubtotalLine1">38</definedName>
    <definedName name="XSubtotalLine2">48</definedName>
    <definedName name="XSubtotalLine3">7</definedName>
    <definedName name="XSubtotalLine4">56</definedName>
    <definedName name="XSubtotalLine5">55</definedName>
    <definedName name="XSubtotalLine6">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5" i="104" l="1"/>
  <c r="Q52" i="104"/>
  <c r="Q49" i="104"/>
  <c r="I9" i="102"/>
  <c r="I20" i="102"/>
  <c r="I28" i="102"/>
  <c r="I40" i="102"/>
  <c r="Q53" i="102"/>
  <c r="Q60" i="102"/>
  <c r="I7" i="104"/>
  <c r="I15" i="104"/>
  <c r="Q23" i="104"/>
  <c r="Q81" i="104"/>
  <c r="Q88" i="104"/>
  <c r="I4" i="105"/>
  <c r="I12" i="105"/>
  <c r="I21" i="105"/>
  <c r="I30" i="105"/>
  <c r="I38" i="105"/>
  <c r="Q60" i="105"/>
  <c r="Q66" i="105"/>
  <c r="Q86" i="105"/>
  <c r="Q92" i="105"/>
  <c r="Q115" i="105"/>
  <c r="Q121" i="105"/>
  <c r="I7" i="106"/>
  <c r="I15" i="106"/>
  <c r="Q41" i="106"/>
  <c r="Q47" i="106"/>
  <c r="Q74" i="106"/>
  <c r="Q105" i="106"/>
  <c r="I6" i="107"/>
  <c r="I14" i="107"/>
  <c r="Q37" i="107"/>
  <c r="Q59" i="107"/>
  <c r="Q84" i="107"/>
  <c r="I11" i="108"/>
  <c r="Q55" i="108"/>
  <c r="Q63" i="108"/>
  <c r="Q81" i="108"/>
  <c r="Q87" i="108"/>
  <c r="I6" i="109"/>
  <c r="I14" i="109"/>
  <c r="Q39" i="109"/>
  <c r="Q46" i="109"/>
  <c r="S4" i="126"/>
  <c r="S5" i="126"/>
  <c r="S6" i="126"/>
  <c r="S7" i="126"/>
  <c r="S8" i="126"/>
  <c r="S9" i="126"/>
  <c r="S10" i="126"/>
  <c r="S11" i="126"/>
  <c r="S12" i="126"/>
  <c r="S13" i="126"/>
  <c r="S14" i="126"/>
  <c r="S15" i="126"/>
  <c r="S16" i="126"/>
  <c r="S17" i="126"/>
  <c r="S18" i="126"/>
  <c r="S19" i="126"/>
  <c r="S20" i="126"/>
  <c r="S21" i="126"/>
  <c r="S22" i="126"/>
  <c r="S23" i="126"/>
  <c r="S24" i="126"/>
  <c r="S25" i="126"/>
  <c r="S26" i="126"/>
  <c r="S27" i="126"/>
  <c r="S28" i="126"/>
  <c r="S29" i="126"/>
  <c r="S30" i="126"/>
  <c r="S31" i="126"/>
  <c r="S32" i="126"/>
  <c r="S33" i="126"/>
  <c r="S34" i="126"/>
  <c r="S35" i="126"/>
  <c r="S36" i="126"/>
  <c r="S37" i="126"/>
  <c r="S38" i="126"/>
  <c r="S39" i="126"/>
  <c r="S46" i="126"/>
  <c r="S47" i="126"/>
  <c r="S48" i="126"/>
  <c r="S49" i="126"/>
  <c r="S50" i="126"/>
  <c r="S51" i="126"/>
  <c r="S52" i="126"/>
  <c r="S53" i="126"/>
  <c r="S54" i="126"/>
  <c r="S55" i="126"/>
  <c r="S56" i="126"/>
  <c r="S57" i="126"/>
  <c r="S58" i="126"/>
  <c r="S65" i="126"/>
  <c r="S66" i="126"/>
  <c r="S67" i="126"/>
  <c r="S80" i="126"/>
  <c r="S81" i="126"/>
  <c r="S82" i="126"/>
  <c r="S83" i="126"/>
  <c r="S84" i="126"/>
  <c r="S85" i="126"/>
  <c r="S86" i="126"/>
  <c r="S87" i="126"/>
  <c r="S88" i="126"/>
  <c r="S89" i="126"/>
  <c r="S90" i="126"/>
  <c r="S91" i="126"/>
  <c r="S92" i="126"/>
  <c r="S93" i="126"/>
  <c r="S94" i="126"/>
  <c r="S95" i="126"/>
  <c r="S96" i="126"/>
  <c r="S97" i="126"/>
  <c r="S98" i="126"/>
  <c r="S99" i="126"/>
  <c r="S100" i="126"/>
  <c r="S101" i="126"/>
  <c r="S102" i="126"/>
  <c r="S103" i="126"/>
  <c r="S104" i="126"/>
  <c r="S105" i="126"/>
  <c r="S106" i="126"/>
  <c r="S107" i="126"/>
  <c r="S108" i="126"/>
  <c r="S109" i="126"/>
  <c r="S110" i="126"/>
  <c r="S111" i="126"/>
  <c r="S112" i="126"/>
  <c r="S113" i="126"/>
  <c r="S114" i="126"/>
  <c r="S115" i="126"/>
  <c r="S116" i="126"/>
  <c r="S117" i="126"/>
  <c r="S142" i="126"/>
  <c r="S143" i="126"/>
  <c r="S144" i="126"/>
  <c r="S145" i="126"/>
  <c r="S146" i="126"/>
  <c r="S147" i="126"/>
  <c r="S148" i="126"/>
  <c r="S149" i="126"/>
  <c r="S150" i="126"/>
  <c r="S151" i="126"/>
  <c r="S152" i="126"/>
  <c r="S153" i="126"/>
  <c r="S166" i="126"/>
  <c r="S191" i="126"/>
  <c r="S192" i="126"/>
  <c r="S193" i="126"/>
  <c r="S194" i="126"/>
  <c r="S195" i="126"/>
  <c r="S196" i="126"/>
  <c r="S197" i="126"/>
  <c r="S198" i="126"/>
  <c r="S199" i="126"/>
  <c r="S200" i="126"/>
  <c r="S201" i="126"/>
  <c r="S202" i="126"/>
  <c r="S203" i="126"/>
  <c r="S207" i="126"/>
  <c r="S208" i="126"/>
  <c r="S209" i="126"/>
  <c r="S226" i="126"/>
  <c r="S227" i="126"/>
  <c r="S228" i="126"/>
  <c r="S229" i="126"/>
  <c r="S230" i="126"/>
  <c r="S231" i="126"/>
  <c r="S232" i="126"/>
  <c r="S233" i="126"/>
  <c r="S234" i="126"/>
  <c r="S235" i="126"/>
  <c r="S236" i="126"/>
  <c r="S237" i="126"/>
  <c r="S238" i="126"/>
  <c r="S263" i="126"/>
  <c r="S264" i="126"/>
  <c r="S265" i="126"/>
  <c r="S266" i="126"/>
  <c r="S267" i="126"/>
  <c r="S268" i="126"/>
  <c r="S269" i="126"/>
  <c r="S270" i="126"/>
  <c r="S271" i="126"/>
  <c r="S272" i="126"/>
  <c r="S273" i="126"/>
  <c r="S274" i="126"/>
  <c r="S275" i="126"/>
  <c r="S285" i="126"/>
  <c r="S286" i="126"/>
  <c r="S287" i="126"/>
  <c r="S288" i="126"/>
  <c r="S289" i="126"/>
  <c r="S290" i="126"/>
  <c r="S291" i="126"/>
  <c r="S292" i="126"/>
  <c r="S293" i="126"/>
  <c r="S294" i="126"/>
  <c r="S295" i="126"/>
  <c r="S296" i="126"/>
  <c r="S297" i="126"/>
  <c r="S298" i="126"/>
  <c r="S299" i="126"/>
  <c r="S300" i="126"/>
  <c r="S301" i="126"/>
  <c r="S302" i="126"/>
  <c r="S303" i="126"/>
  <c r="S304" i="126"/>
  <c r="S305" i="126"/>
  <c r="S306" i="126"/>
  <c r="S307" i="126"/>
  <c r="S308" i="126"/>
  <c r="S309" i="126"/>
  <c r="S310" i="126"/>
  <c r="S311" i="126"/>
  <c r="S312" i="126"/>
  <c r="S313" i="126"/>
  <c r="S314" i="126"/>
  <c r="S315" i="126"/>
  <c r="S316" i="126"/>
  <c r="S317" i="126"/>
  <c r="S318" i="126"/>
  <c r="S319" i="126"/>
  <c r="S320" i="126"/>
  <c r="S321" i="126"/>
  <c r="S322" i="126"/>
  <c r="S323" i="126"/>
  <c r="S324" i="126"/>
  <c r="S325" i="126"/>
  <c r="S326" i="126"/>
  <c r="S327" i="126"/>
  <c r="S328" i="126"/>
  <c r="S329" i="126"/>
  <c r="S330" i="126"/>
  <c r="S331" i="126"/>
  <c r="S332" i="126"/>
  <c r="S3" i="126"/>
  <c r="R4" i="126"/>
  <c r="R5" i="126"/>
  <c r="R6" i="126"/>
  <c r="R7" i="126"/>
  <c r="R8" i="126"/>
  <c r="R9" i="126"/>
  <c r="R10" i="126"/>
  <c r="R11" i="126"/>
  <c r="R12" i="126"/>
  <c r="R13" i="126"/>
  <c r="R14" i="126"/>
  <c r="R15" i="126"/>
  <c r="R16" i="126"/>
  <c r="R17" i="126"/>
  <c r="R18" i="126"/>
  <c r="R19" i="126"/>
  <c r="R20" i="126"/>
  <c r="R21" i="126"/>
  <c r="R22" i="126"/>
  <c r="R23" i="126"/>
  <c r="R24" i="126"/>
  <c r="R25" i="126"/>
  <c r="R26" i="126"/>
  <c r="R27" i="126"/>
  <c r="R28" i="126"/>
  <c r="R29" i="126"/>
  <c r="R30" i="126"/>
  <c r="R31" i="126"/>
  <c r="R32" i="126"/>
  <c r="R33" i="126"/>
  <c r="R34" i="126"/>
  <c r="R35" i="126"/>
  <c r="R36" i="126"/>
  <c r="R37" i="126"/>
  <c r="R38" i="126"/>
  <c r="R39" i="126"/>
  <c r="R46" i="126"/>
  <c r="R47" i="126"/>
  <c r="R48" i="126"/>
  <c r="R49" i="126"/>
  <c r="R50" i="126"/>
  <c r="R51" i="126"/>
  <c r="R52" i="126"/>
  <c r="R53" i="126"/>
  <c r="R54" i="126"/>
  <c r="R55" i="126"/>
  <c r="R56" i="126"/>
  <c r="R57" i="126"/>
  <c r="R58" i="126"/>
  <c r="R65" i="126"/>
  <c r="R66" i="126"/>
  <c r="R67" i="126"/>
  <c r="R80" i="126"/>
  <c r="R81" i="126"/>
  <c r="R82" i="126"/>
  <c r="R83" i="126"/>
  <c r="R84" i="126"/>
  <c r="R85" i="126"/>
  <c r="R86" i="126"/>
  <c r="R87" i="126"/>
  <c r="R88" i="126"/>
  <c r="R89" i="126"/>
  <c r="R90" i="126"/>
  <c r="R91" i="126"/>
  <c r="R92" i="126"/>
  <c r="R93" i="126"/>
  <c r="R94" i="126"/>
  <c r="R95" i="126"/>
  <c r="R96" i="126"/>
  <c r="R97" i="126"/>
  <c r="R98" i="126"/>
  <c r="R99" i="126"/>
  <c r="R100" i="126"/>
  <c r="R101" i="126"/>
  <c r="R102" i="126"/>
  <c r="R103" i="126"/>
  <c r="R104" i="126"/>
  <c r="R105" i="126"/>
  <c r="R106" i="126"/>
  <c r="R107" i="126"/>
  <c r="R108" i="126"/>
  <c r="R109" i="126"/>
  <c r="R110" i="126"/>
  <c r="R111" i="126"/>
  <c r="R112" i="126"/>
  <c r="R113" i="126"/>
  <c r="R114" i="126"/>
  <c r="R115" i="126"/>
  <c r="R116" i="126"/>
  <c r="R117" i="126"/>
  <c r="R142" i="126"/>
  <c r="R143" i="126"/>
  <c r="R144" i="126"/>
  <c r="R145" i="126"/>
  <c r="R146" i="126"/>
  <c r="R147" i="126"/>
  <c r="R148" i="126"/>
  <c r="R149" i="126"/>
  <c r="R150" i="126"/>
  <c r="R151" i="126"/>
  <c r="R152" i="126"/>
  <c r="R153" i="126"/>
  <c r="R166" i="126"/>
  <c r="R191" i="126"/>
  <c r="R192" i="126"/>
  <c r="R193" i="126"/>
  <c r="R194" i="126"/>
  <c r="R195" i="126"/>
  <c r="R196" i="126"/>
  <c r="R197" i="126"/>
  <c r="R198" i="126"/>
  <c r="R199" i="126"/>
  <c r="R200" i="126"/>
  <c r="R201" i="126"/>
  <c r="R202" i="126"/>
  <c r="R203" i="126"/>
  <c r="R207" i="126"/>
  <c r="R208" i="126"/>
  <c r="R209" i="126"/>
  <c r="R226" i="126"/>
  <c r="R227" i="126"/>
  <c r="R228" i="126"/>
  <c r="R229" i="126"/>
  <c r="R230" i="126"/>
  <c r="R231" i="126"/>
  <c r="R232" i="126"/>
  <c r="R233" i="126"/>
  <c r="R234" i="126"/>
  <c r="R235" i="126"/>
  <c r="R236" i="126"/>
  <c r="R237" i="126"/>
  <c r="R238" i="126"/>
  <c r="R263" i="126"/>
  <c r="R264" i="126"/>
  <c r="R265" i="126"/>
  <c r="R266" i="126"/>
  <c r="R267" i="126"/>
  <c r="R268" i="126"/>
  <c r="R269" i="126"/>
  <c r="R270" i="126"/>
  <c r="R271" i="126"/>
  <c r="R272" i="126"/>
  <c r="R273" i="126"/>
  <c r="R274" i="126"/>
  <c r="R275" i="126"/>
  <c r="R285" i="126"/>
  <c r="R286" i="126"/>
  <c r="R287" i="126"/>
  <c r="R288" i="126"/>
  <c r="R289" i="126"/>
  <c r="R290" i="126"/>
  <c r="R291" i="126"/>
  <c r="R292" i="126"/>
  <c r="R293" i="126"/>
  <c r="R294" i="126"/>
  <c r="R295" i="126"/>
  <c r="R296" i="126"/>
  <c r="R297" i="126"/>
  <c r="R298" i="126"/>
  <c r="R299" i="126"/>
  <c r="R300" i="126"/>
  <c r="R301" i="126"/>
  <c r="R302" i="126"/>
  <c r="R303" i="126"/>
  <c r="R304" i="126"/>
  <c r="R305" i="126"/>
  <c r="R306" i="126"/>
  <c r="R307" i="126"/>
  <c r="R308" i="126"/>
  <c r="R309" i="126"/>
  <c r="R310" i="126"/>
  <c r="R311" i="126"/>
  <c r="R312" i="126"/>
  <c r="R313" i="126"/>
  <c r="R314" i="126"/>
  <c r="R315" i="126"/>
  <c r="R316" i="126"/>
  <c r="R317" i="126"/>
  <c r="R318" i="126"/>
  <c r="R319" i="126"/>
  <c r="R320" i="126"/>
  <c r="R321" i="126"/>
  <c r="R322" i="126"/>
  <c r="R323" i="126"/>
  <c r="R324" i="126"/>
  <c r="R325" i="126"/>
  <c r="R326" i="126"/>
  <c r="R327" i="126"/>
  <c r="R328" i="126"/>
  <c r="R329" i="126"/>
  <c r="R330" i="126"/>
  <c r="R331" i="126"/>
  <c r="R332" i="126"/>
  <c r="R3" i="126"/>
  <c r="I20" i="109"/>
  <c r="I5" i="109"/>
  <c r="I7" i="109"/>
  <c r="I8" i="109"/>
  <c r="I9" i="109"/>
  <c r="I10" i="109"/>
  <c r="I11" i="109"/>
  <c r="I12" i="109"/>
  <c r="I13" i="109"/>
  <c r="I15" i="109"/>
  <c r="I4" i="109"/>
  <c r="Q50" i="109"/>
  <c r="Q49" i="109"/>
  <c r="Q47" i="109"/>
  <c r="Q44" i="109"/>
  <c r="Q43" i="109"/>
  <c r="Q40" i="109"/>
  <c r="Q37" i="109"/>
  <c r="Q36" i="109"/>
  <c r="Q34" i="109"/>
  <c r="Q33" i="109"/>
  <c r="Q30" i="109"/>
  <c r="Q29" i="109"/>
  <c r="Q27" i="109"/>
  <c r="Q26" i="109"/>
  <c r="Q24" i="109"/>
  <c r="Q23" i="109"/>
  <c r="I18" i="108"/>
  <c r="I5" i="108"/>
  <c r="I6" i="108"/>
  <c r="I7" i="108"/>
  <c r="I8" i="108"/>
  <c r="I9" i="108"/>
  <c r="I10" i="108"/>
  <c r="I12" i="108"/>
  <c r="I13" i="108"/>
  <c r="I14" i="108"/>
  <c r="I15" i="108"/>
  <c r="I4" i="108"/>
  <c r="Q97" i="108"/>
  <c r="Q96" i="108"/>
  <c r="Q94" i="108"/>
  <c r="Q93" i="108"/>
  <c r="Q91" i="108"/>
  <c r="Q90" i="108"/>
  <c r="Q88" i="108"/>
  <c r="Q85" i="108"/>
  <c r="Q84" i="108"/>
  <c r="Q82" i="108"/>
  <c r="Q79" i="108"/>
  <c r="Q78" i="108"/>
  <c r="Q76" i="108"/>
  <c r="Q75" i="108"/>
  <c r="Q73" i="108"/>
  <c r="Q72" i="108"/>
  <c r="Q70" i="108"/>
  <c r="Q69" i="108"/>
  <c r="Q67" i="108"/>
  <c r="Q66" i="108"/>
  <c r="Q64" i="108"/>
  <c r="Q59" i="108"/>
  <c r="Q58" i="108"/>
  <c r="Q56" i="108"/>
  <c r="Q53" i="108"/>
  <c r="Q52" i="108"/>
  <c r="Q49" i="108"/>
  <c r="Q48" i="108"/>
  <c r="Q46" i="108"/>
  <c r="Q45" i="108"/>
  <c r="Q43" i="108"/>
  <c r="Q42" i="108"/>
  <c r="Q23" i="108"/>
  <c r="Q22" i="108"/>
  <c r="I71" i="102"/>
  <c r="I36" i="102"/>
  <c r="I37" i="102"/>
  <c r="I38" i="102"/>
  <c r="I39" i="102"/>
  <c r="I41" i="102"/>
  <c r="I42" i="102"/>
  <c r="I43" i="102"/>
  <c r="I44" i="102"/>
  <c r="I45" i="102"/>
  <c r="I46" i="102"/>
  <c r="I35" i="102"/>
  <c r="I21" i="102"/>
  <c r="I22" i="102"/>
  <c r="I23" i="102"/>
  <c r="I24" i="102"/>
  <c r="I25" i="102"/>
  <c r="I26" i="102"/>
  <c r="I27" i="102"/>
  <c r="I29" i="102"/>
  <c r="I30" i="102"/>
  <c r="I19" i="102"/>
  <c r="I5" i="102"/>
  <c r="I6" i="102"/>
  <c r="I7" i="102"/>
  <c r="I8" i="102"/>
  <c r="I10" i="102"/>
  <c r="I11" i="102"/>
  <c r="I12" i="102"/>
  <c r="I13" i="102"/>
  <c r="I14" i="102"/>
  <c r="I15" i="102"/>
  <c r="I4" i="102"/>
  <c r="Q67" i="102"/>
  <c r="Q66" i="102"/>
  <c r="Q64" i="102"/>
  <c r="Q63" i="102"/>
  <c r="Q61" i="102"/>
  <c r="Q57" i="102"/>
  <c r="Q56" i="102"/>
  <c r="Q54" i="102"/>
  <c r="Q51" i="102"/>
  <c r="Q50" i="102"/>
  <c r="I20" i="104"/>
  <c r="I5" i="104"/>
  <c r="I6" i="104"/>
  <c r="I8" i="104"/>
  <c r="I9" i="104"/>
  <c r="I10" i="104"/>
  <c r="I11" i="104"/>
  <c r="I12" i="104"/>
  <c r="I13" i="104"/>
  <c r="I14" i="104"/>
  <c r="I4" i="104"/>
  <c r="Q106" i="104"/>
  <c r="Q105" i="104"/>
  <c r="Q102" i="104"/>
  <c r="Q101" i="104"/>
  <c r="Q99" i="104"/>
  <c r="Q98" i="104"/>
  <c r="Q96" i="104"/>
  <c r="Q95" i="104"/>
  <c r="Q92" i="104"/>
  <c r="Q91" i="104"/>
  <c r="Q89" i="104"/>
  <c r="Q86" i="104"/>
  <c r="Q85" i="104"/>
  <c r="Q82" i="104"/>
  <c r="Q79" i="104"/>
  <c r="Q78" i="104"/>
  <c r="Q76" i="104"/>
  <c r="Q75" i="104"/>
  <c r="Q69" i="104"/>
  <c r="Q68" i="104"/>
  <c r="Q66" i="104"/>
  <c r="Q65" i="104"/>
  <c r="Q63" i="104"/>
  <c r="Q62" i="104"/>
  <c r="Q43" i="104"/>
  <c r="Q42" i="104"/>
  <c r="Q40" i="104"/>
  <c r="Q39" i="104"/>
  <c r="Q37" i="104"/>
  <c r="Q36" i="104"/>
  <c r="Q30" i="104"/>
  <c r="Q29" i="104"/>
  <c r="Q27" i="104"/>
  <c r="Q26" i="104"/>
  <c r="Q24" i="104"/>
  <c r="I5" i="105"/>
  <c r="I6" i="105"/>
  <c r="I7" i="105"/>
  <c r="I8" i="105"/>
  <c r="I9" i="105"/>
  <c r="I10" i="105"/>
  <c r="I11" i="105"/>
  <c r="I13" i="105"/>
  <c r="I14" i="105"/>
  <c r="I15" i="105"/>
  <c r="I17" i="105"/>
  <c r="I18" i="105"/>
  <c r="I19" i="105"/>
  <c r="I20" i="105"/>
  <c r="I22" i="105"/>
  <c r="I23" i="105"/>
  <c r="I24" i="105"/>
  <c r="I25" i="105"/>
  <c r="I26" i="105"/>
  <c r="I27" i="105"/>
  <c r="I28" i="105"/>
  <c r="I31" i="105"/>
  <c r="I32" i="105"/>
  <c r="I33" i="105"/>
  <c r="I34" i="105"/>
  <c r="I35" i="105"/>
  <c r="I36" i="105"/>
  <c r="I37" i="105"/>
  <c r="I39" i="105"/>
  <c r="I40" i="105"/>
  <c r="I41" i="105"/>
  <c r="Q129" i="105"/>
  <c r="Q128" i="105"/>
  <c r="Q126" i="105"/>
  <c r="Q125" i="105"/>
  <c r="Q122" i="105"/>
  <c r="Q119" i="105"/>
  <c r="Q118" i="105"/>
  <c r="Q116" i="105"/>
  <c r="Q111" i="105"/>
  <c r="Q110" i="105"/>
  <c r="Q108" i="105"/>
  <c r="Q107" i="105"/>
  <c r="Q105" i="105"/>
  <c r="Q104" i="105"/>
  <c r="Q101" i="105"/>
  <c r="Q100" i="105"/>
  <c r="Q97" i="105"/>
  <c r="Q96" i="105"/>
  <c r="Q93" i="105"/>
  <c r="Q90" i="105"/>
  <c r="Q89" i="105"/>
  <c r="Q87" i="105"/>
  <c r="Q84" i="105"/>
  <c r="Q83" i="105"/>
  <c r="Q81" i="105"/>
  <c r="Q80" i="105"/>
  <c r="Q77" i="105"/>
  <c r="Q76" i="105"/>
  <c r="Q74" i="105"/>
  <c r="Q73" i="105"/>
  <c r="Q71" i="105"/>
  <c r="Q70" i="105"/>
  <c r="Q67" i="105"/>
  <c r="Q64" i="105"/>
  <c r="Q63" i="105"/>
  <c r="Q61" i="105"/>
  <c r="Q56" i="105"/>
  <c r="Q55" i="105"/>
  <c r="Q53" i="105"/>
  <c r="Q52" i="105"/>
  <c r="Q50" i="105"/>
  <c r="Q49" i="105"/>
  <c r="I5" i="106"/>
  <c r="I6" i="106"/>
  <c r="I8" i="106"/>
  <c r="I9" i="106"/>
  <c r="I10" i="106"/>
  <c r="I11" i="106"/>
  <c r="I12" i="106"/>
  <c r="I13" i="106"/>
  <c r="I14" i="106"/>
  <c r="I4" i="106"/>
  <c r="Q126" i="106"/>
  <c r="Q125" i="106"/>
  <c r="Q123" i="106"/>
  <c r="Q122" i="106"/>
  <c r="Q120" i="106"/>
  <c r="Q119" i="106"/>
  <c r="Q116" i="106"/>
  <c r="Q115" i="106"/>
  <c r="Q113" i="106"/>
  <c r="Q112" i="106"/>
  <c r="Q110" i="106"/>
  <c r="Q109" i="106"/>
  <c r="Q106" i="106"/>
  <c r="Q101" i="106"/>
  <c r="Q100" i="106"/>
  <c r="Q98" i="106"/>
  <c r="Q97" i="106"/>
  <c r="Q95" i="106"/>
  <c r="Q94" i="106"/>
  <c r="Q91" i="106"/>
  <c r="Q90" i="106"/>
  <c r="Q87" i="106"/>
  <c r="Q86" i="106"/>
  <c r="Q82" i="106"/>
  <c r="Q81" i="106"/>
  <c r="Q78" i="106"/>
  <c r="Q77" i="106"/>
  <c r="Q75" i="106"/>
  <c r="Q72" i="106"/>
  <c r="Q71" i="106"/>
  <c r="Q67" i="106"/>
  <c r="Q66" i="106"/>
  <c r="Q64" i="106"/>
  <c r="Q63" i="106"/>
  <c r="Q61" i="106"/>
  <c r="Q60" i="106"/>
  <c r="Q54" i="106"/>
  <c r="Q53" i="106"/>
  <c r="Q51" i="106"/>
  <c r="Q50" i="106"/>
  <c r="Q48" i="106"/>
  <c r="Q45" i="106"/>
  <c r="Q44" i="106"/>
  <c r="Q42" i="106"/>
  <c r="Q39" i="106"/>
  <c r="Q38" i="106"/>
  <c r="Q36" i="106"/>
  <c r="Q35" i="106"/>
  <c r="Q33" i="106"/>
  <c r="Q32" i="106"/>
  <c r="Q30" i="106"/>
  <c r="Q29" i="106"/>
  <c r="Q27" i="106"/>
  <c r="Q26" i="106"/>
  <c r="Q24" i="106"/>
  <c r="Q23" i="106"/>
  <c r="Q21" i="106"/>
  <c r="Q20" i="106"/>
  <c r="I20" i="107"/>
  <c r="I5" i="107"/>
  <c r="I7" i="107"/>
  <c r="I8" i="107"/>
  <c r="I9" i="107"/>
  <c r="I10" i="107"/>
  <c r="I11" i="107"/>
  <c r="I12" i="107"/>
  <c r="I13" i="107"/>
  <c r="I15" i="107"/>
  <c r="I4" i="107"/>
  <c r="Q85" i="107"/>
  <c r="Q82" i="107"/>
  <c r="Q81" i="107"/>
  <c r="Q77" i="107"/>
  <c r="Q76" i="107"/>
  <c r="Q73" i="107"/>
  <c r="Q72" i="107"/>
  <c r="I72" i="107" s="1"/>
  <c r="Q70" i="107"/>
  <c r="Q69" i="107"/>
  <c r="I69" i="107" s="1"/>
  <c r="Q67" i="107"/>
  <c r="Q66" i="107"/>
  <c r="Q63" i="107"/>
  <c r="Q62" i="107"/>
  <c r="I62" i="107" s="1"/>
  <c r="Q60" i="107"/>
  <c r="Q57" i="107"/>
  <c r="Q56" i="107"/>
  <c r="Q53" i="107"/>
  <c r="Q52" i="107"/>
  <c r="Q50" i="107"/>
  <c r="Q49" i="107"/>
  <c r="Q46" i="107"/>
  <c r="Q45" i="107"/>
  <c r="Q42" i="107"/>
  <c r="Q41" i="107"/>
  <c r="Q38" i="107"/>
  <c r="Q36" i="107"/>
  <c r="Q35" i="107"/>
  <c r="Q34" i="107"/>
  <c r="Q33" i="107"/>
  <c r="Q30" i="107"/>
  <c r="Q29" i="107"/>
  <c r="Q26" i="107"/>
  <c r="Q27" i="107"/>
  <c r="Q24" i="107"/>
  <c r="Q23" i="107"/>
  <c r="I39" i="109" l="1"/>
  <c r="I56" i="107"/>
  <c r="I66" i="107"/>
  <c r="I49" i="109"/>
  <c r="I59" i="107"/>
  <c r="I57" i="106"/>
  <c r="I118" i="105"/>
  <c r="I45" i="108"/>
  <c r="I110" i="105"/>
  <c r="I44" i="106"/>
  <c r="I86" i="106"/>
  <c r="I104" i="105"/>
  <c r="I32" i="106"/>
  <c r="I73" i="105"/>
  <c r="I89" i="105"/>
  <c r="I70" i="105"/>
  <c r="I83" i="105"/>
  <c r="I105" i="106"/>
  <c r="I55" i="105"/>
  <c r="I74" i="106"/>
  <c r="I88" i="104"/>
  <c r="I23" i="106"/>
  <c r="I115" i="106"/>
  <c r="I125" i="105"/>
  <c r="I26" i="106"/>
  <c r="I128" i="105"/>
  <c r="I100" i="105"/>
  <c r="I39" i="104"/>
  <c r="I41" i="106"/>
  <c r="I115" i="105"/>
  <c r="I86" i="105"/>
  <c r="I63" i="105"/>
  <c r="I65" i="104"/>
  <c r="I90" i="106"/>
  <c r="I119" i="106"/>
  <c r="I52" i="105"/>
  <c r="I96" i="105"/>
  <c r="I66" i="108"/>
  <c r="I78" i="108"/>
  <c r="I90" i="108"/>
  <c r="I72" i="108"/>
  <c r="I96" i="108"/>
  <c r="I76" i="105"/>
  <c r="I77" i="106"/>
  <c r="I94" i="106"/>
  <c r="I109" i="106"/>
  <c r="I122" i="106"/>
  <c r="I49" i="105"/>
  <c r="I22" i="108"/>
  <c r="I48" i="108"/>
  <c r="I45" i="107"/>
  <c r="I69" i="108"/>
  <c r="I81" i="108"/>
  <c r="I50" i="106"/>
  <c r="I112" i="106"/>
  <c r="I125" i="106"/>
  <c r="I98" i="104"/>
  <c r="I60" i="102"/>
  <c r="I81" i="107"/>
  <c r="I26" i="109"/>
  <c r="I29" i="106"/>
  <c r="I53" i="106"/>
  <c r="I71" i="106"/>
  <c r="I100" i="106"/>
  <c r="I23" i="104"/>
  <c r="I58" i="108"/>
  <c r="I23" i="109"/>
  <c r="I36" i="109"/>
  <c r="I84" i="107"/>
  <c r="I52" i="108"/>
  <c r="I33" i="109"/>
  <c r="I46" i="109"/>
  <c r="I60" i="105"/>
  <c r="I63" i="108"/>
  <c r="I75" i="108"/>
  <c r="I87" i="108"/>
  <c r="I49" i="107"/>
  <c r="I76" i="107"/>
  <c r="I38" i="106"/>
  <c r="I66" i="106"/>
  <c r="I81" i="106"/>
  <c r="I97" i="106"/>
  <c r="I66" i="105"/>
  <c r="I42" i="108"/>
  <c r="I55" i="108"/>
  <c r="I29" i="109"/>
  <c r="I43" i="109"/>
  <c r="I93" i="108"/>
  <c r="I84" i="108"/>
  <c r="I42" i="104"/>
  <c r="I53" i="102"/>
  <c r="I66" i="102"/>
  <c r="I35" i="106"/>
  <c r="I47" i="106"/>
  <c r="I63" i="106"/>
  <c r="I56" i="102"/>
  <c r="I80" i="105"/>
  <c r="I92" i="105"/>
  <c r="I107" i="105"/>
  <c r="I121" i="105"/>
  <c r="I75" i="104"/>
  <c r="I29" i="104"/>
  <c r="I36" i="104"/>
  <c r="I101" i="104"/>
  <c r="I62" i="104"/>
  <c r="I105" i="104"/>
  <c r="I63" i="102"/>
  <c r="I91" i="104"/>
  <c r="I26" i="104"/>
  <c r="I68" i="104"/>
  <c r="I20" i="106"/>
  <c r="I81" i="104"/>
  <c r="I50" i="102"/>
  <c r="I95" i="104"/>
  <c r="I85" i="104"/>
  <c r="I78" i="104"/>
  <c r="U174" i="126"/>
  <c r="U131" i="126"/>
  <c r="U116" i="126"/>
  <c r="U115" i="126"/>
  <c r="U110" i="126"/>
  <c r="U109" i="126"/>
  <c r="U104" i="126"/>
  <c r="U103" i="126"/>
  <c r="U98" i="126"/>
  <c r="U97" i="126"/>
  <c r="U92" i="126"/>
  <c r="U91" i="126"/>
  <c r="U86" i="126"/>
  <c r="U85" i="126"/>
  <c r="U73" i="126"/>
  <c r="U72" i="126"/>
  <c r="U39" i="126"/>
  <c r="U38" i="126"/>
  <c r="U33" i="126"/>
  <c r="U32" i="126"/>
  <c r="U27" i="126"/>
  <c r="U26" i="126"/>
  <c r="U21" i="126"/>
  <c r="U20" i="126"/>
  <c r="Q330" i="126"/>
  <c r="R76" i="126"/>
  <c r="Q175" i="126"/>
  <c r="S165" i="126"/>
  <c r="Q17" i="126"/>
  <c r="Q270" i="126"/>
  <c r="S218" i="126"/>
  <c r="Q283" i="126"/>
  <c r="Q8" i="126"/>
  <c r="Q323" i="126"/>
  <c r="R252" i="126"/>
  <c r="Q296" i="126"/>
  <c r="R127" i="126"/>
  <c r="Q255" i="126"/>
  <c r="Q200" i="126"/>
  <c r="Q101" i="126"/>
  <c r="R62" i="126"/>
  <c r="Q229" i="126"/>
  <c r="Q246" i="126"/>
  <c r="R64" i="126"/>
  <c r="R278" i="126"/>
  <c r="R283" i="126"/>
  <c r="R119" i="126"/>
  <c r="Q52" i="126"/>
  <c r="Q164" i="126"/>
  <c r="R170" i="126"/>
  <c r="Q309" i="126"/>
  <c r="Q58" i="126"/>
  <c r="S172" i="126"/>
  <c r="Q180" i="126"/>
  <c r="R172" i="126"/>
  <c r="Q213" i="126"/>
  <c r="R177" i="126"/>
  <c r="R171" i="126"/>
  <c r="S59" i="126"/>
  <c r="S64" i="126"/>
  <c r="Q299" i="126"/>
  <c r="Q249" i="126"/>
  <c r="Q119" i="126"/>
  <c r="Q9" i="126"/>
  <c r="S77" i="126"/>
  <c r="Q10" i="126"/>
  <c r="S169" i="126"/>
  <c r="Q32" i="126"/>
  <c r="R205" i="126"/>
  <c r="Q288" i="126"/>
  <c r="Q126" i="126"/>
  <c r="R120" i="126"/>
  <c r="S212" i="126"/>
  <c r="S225" i="126"/>
  <c r="R134" i="126"/>
  <c r="Q136" i="126"/>
  <c r="Q199" i="126"/>
  <c r="Q161" i="126"/>
  <c r="S60" i="126"/>
  <c r="Q210" i="126"/>
  <c r="R118" i="126"/>
  <c r="R163" i="126"/>
  <c r="S261" i="126"/>
  <c r="S167" i="126"/>
  <c r="Q258" i="126"/>
  <c r="Q205" i="126"/>
  <c r="Q4" i="126"/>
  <c r="R204" i="126"/>
  <c r="R59" i="126"/>
  <c r="Q315" i="126"/>
  <c r="R250" i="126"/>
  <c r="Q176" i="126"/>
  <c r="R248" i="126"/>
  <c r="S171" i="126"/>
  <c r="S184" i="126"/>
  <c r="R74" i="126"/>
  <c r="Q254" i="126"/>
  <c r="Q116" i="126"/>
  <c r="S79" i="126"/>
  <c r="Q45" i="126"/>
  <c r="Q311" i="126"/>
  <c r="Q121" i="126"/>
  <c r="Q137" i="126"/>
  <c r="R139" i="126"/>
  <c r="Q294" i="126"/>
  <c r="S133" i="126"/>
  <c r="Q163" i="126"/>
  <c r="Q65" i="126"/>
  <c r="Q203" i="126"/>
  <c r="Q244" i="126"/>
  <c r="Q80" i="126"/>
  <c r="R75" i="126"/>
  <c r="S131" i="126"/>
  <c r="S221" i="126"/>
  <c r="Q286" i="126"/>
  <c r="Q25" i="126"/>
  <c r="S260" i="126"/>
  <c r="R40" i="126"/>
  <c r="Q84" i="126"/>
  <c r="Q196" i="126"/>
  <c r="S254" i="126"/>
  <c r="Q124" i="126"/>
  <c r="Q289" i="126"/>
  <c r="Q304" i="126"/>
  <c r="Q251" i="126"/>
  <c r="S118" i="126"/>
  <c r="Q37" i="126"/>
  <c r="Q90" i="126"/>
  <c r="Q264" i="126"/>
  <c r="Q107" i="126"/>
  <c r="Q98" i="126"/>
  <c r="Q191" i="126"/>
  <c r="R122" i="126"/>
  <c r="Q114" i="126"/>
  <c r="Q29" i="126"/>
  <c r="Q220" i="126"/>
  <c r="S78" i="126"/>
  <c r="R249" i="126"/>
  <c r="Q83" i="126"/>
  <c r="S253" i="126"/>
  <c r="S138" i="126"/>
  <c r="Q239" i="126"/>
  <c r="R131" i="126"/>
  <c r="Q71" i="126"/>
  <c r="Q157" i="126"/>
  <c r="R160" i="126"/>
  <c r="S127" i="126"/>
  <c r="R214" i="126"/>
  <c r="R254" i="126"/>
  <c r="Q162" i="126"/>
  <c r="Q281" i="126"/>
  <c r="Q3" i="126"/>
  <c r="Q263" i="126"/>
  <c r="Q14" i="126"/>
  <c r="R132" i="126"/>
  <c r="Q59" i="126"/>
  <c r="S157" i="126"/>
  <c r="S160" i="126"/>
  <c r="Q57" i="126"/>
  <c r="S206" i="126"/>
  <c r="Q134" i="126"/>
  <c r="Q76" i="126"/>
  <c r="R178" i="126"/>
  <c r="S177" i="126"/>
  <c r="Q273" i="126"/>
  <c r="S223" i="126"/>
  <c r="Q317" i="126"/>
  <c r="R186" i="126"/>
  <c r="Q15" i="126"/>
  <c r="Q257" i="126"/>
  <c r="S126" i="126"/>
  <c r="S164" i="126"/>
  <c r="R187" i="126"/>
  <c r="Q306" i="126"/>
  <c r="Q192" i="126"/>
  <c r="R138" i="126"/>
  <c r="Q23" i="126"/>
  <c r="S155" i="126"/>
  <c r="R72" i="126"/>
  <c r="S242" i="126"/>
  <c r="Q262" i="126"/>
  <c r="S134" i="126"/>
  <c r="Q92" i="126"/>
  <c r="S136" i="126"/>
  <c r="R168" i="126"/>
  <c r="Q40" i="126"/>
  <c r="R135" i="126"/>
  <c r="S244" i="126"/>
  <c r="Q177" i="126"/>
  <c r="Q285" i="126"/>
  <c r="Q218" i="126"/>
  <c r="Q120" i="126"/>
  <c r="Q38" i="126"/>
  <c r="R44" i="126"/>
  <c r="Q30" i="126"/>
  <c r="Q43" i="126"/>
  <c r="Q61" i="126"/>
  <c r="Q248" i="126"/>
  <c r="Q206" i="126"/>
  <c r="Q112" i="126"/>
  <c r="Q159" i="126"/>
  <c r="R176" i="126"/>
  <c r="Q168" i="126"/>
  <c r="R129" i="126"/>
  <c r="S277" i="126"/>
  <c r="Q141" i="126"/>
  <c r="Q160" i="126"/>
  <c r="Q202" i="126"/>
  <c r="S120" i="126"/>
  <c r="R225" i="126"/>
  <c r="Q74" i="126"/>
  <c r="S249" i="126"/>
  <c r="R63" i="126"/>
  <c r="Q252" i="126"/>
  <c r="Q230" i="126"/>
  <c r="Q158" i="126"/>
  <c r="R212" i="126"/>
  <c r="S245" i="126"/>
  <c r="S278" i="126"/>
  <c r="Q259" i="126"/>
  <c r="R239" i="126"/>
  <c r="S187" i="126"/>
  <c r="Q250" i="126"/>
  <c r="R159" i="126"/>
  <c r="Q233" i="126"/>
  <c r="Q94" i="126"/>
  <c r="R189" i="126"/>
  <c r="R243" i="126"/>
  <c r="Q46" i="126"/>
  <c r="Q149" i="126"/>
  <c r="Q166" i="126"/>
  <c r="S205" i="126"/>
  <c r="Q189" i="126"/>
  <c r="Q326" i="126"/>
  <c r="R164" i="126"/>
  <c r="R155" i="126"/>
  <c r="Q290" i="126"/>
  <c r="Q51" i="126"/>
  <c r="S252" i="126"/>
  <c r="Q150" i="126"/>
  <c r="S130" i="126"/>
  <c r="Q130" i="126"/>
  <c r="S216" i="126"/>
  <c r="S213" i="126"/>
  <c r="Q31" i="126"/>
  <c r="R257" i="126"/>
  <c r="R280" i="126"/>
  <c r="S183" i="126"/>
  <c r="R45" i="126"/>
  <c r="Q151" i="126"/>
  <c r="Q314" i="126"/>
  <c r="Q328" i="126"/>
  <c r="Q261" i="126"/>
  <c r="R123" i="126"/>
  <c r="Q222" i="126"/>
  <c r="R158" i="126"/>
  <c r="Q242" i="126"/>
  <c r="Q154" i="126"/>
  <c r="S75" i="126"/>
  <c r="S73" i="126"/>
  <c r="S162" i="126"/>
  <c r="R77" i="126"/>
  <c r="R216" i="126"/>
  <c r="S204" i="126"/>
  <c r="R188" i="126"/>
  <c r="Q128" i="126"/>
  <c r="R70" i="126"/>
  <c r="R215" i="126"/>
  <c r="Q169" i="126"/>
  <c r="Q85" i="126"/>
  <c r="S276" i="126"/>
  <c r="R210" i="126"/>
  <c r="R182" i="126"/>
  <c r="R167" i="126"/>
  <c r="Q225" i="126"/>
  <c r="Q152" i="126"/>
  <c r="Q211" i="126"/>
  <c r="Q183" i="126"/>
  <c r="S190" i="126"/>
  <c r="Q86" i="126"/>
  <c r="Q269" i="126"/>
  <c r="Q318" i="126"/>
  <c r="Q148" i="126"/>
  <c r="Q265" i="126"/>
  <c r="S241" i="126"/>
  <c r="Q129" i="126"/>
  <c r="S61" i="126"/>
  <c r="Q140" i="126"/>
  <c r="Q118" i="126"/>
  <c r="Q268" i="126"/>
  <c r="Q287" i="126"/>
  <c r="Q193" i="126"/>
  <c r="R183" i="126"/>
  <c r="Q131" i="126"/>
  <c r="R281" i="126"/>
  <c r="R41" i="126"/>
  <c r="Q72" i="126"/>
  <c r="Q300" i="126"/>
  <c r="Q56" i="126"/>
  <c r="Q253" i="126"/>
  <c r="Q35" i="126"/>
  <c r="R173" i="126"/>
  <c r="S179" i="126"/>
  <c r="S250" i="126"/>
  <c r="R78" i="126"/>
  <c r="Q127" i="126"/>
  <c r="Q186" i="126"/>
  <c r="R242" i="126"/>
  <c r="S259" i="126"/>
  <c r="Q307" i="126"/>
  <c r="Q291" i="126"/>
  <c r="S137" i="126"/>
  <c r="Q278" i="126"/>
  <c r="R259" i="126"/>
  <c r="Q26" i="126"/>
  <c r="Q237" i="126"/>
  <c r="Q223" i="126"/>
  <c r="Q302" i="126"/>
  <c r="Q212" i="126"/>
  <c r="Q256" i="126"/>
  <c r="S76" i="126"/>
  <c r="R256" i="126"/>
  <c r="Q89" i="126"/>
  <c r="Q82" i="126"/>
  <c r="R219" i="126"/>
  <c r="S284" i="126"/>
  <c r="Q243" i="126"/>
  <c r="Q123" i="126"/>
  <c r="S180" i="126"/>
  <c r="S124" i="126"/>
  <c r="Q184" i="126"/>
  <c r="S68" i="126"/>
  <c r="S188" i="126"/>
  <c r="Q34" i="126"/>
  <c r="Q122" i="126"/>
  <c r="Q19" i="126"/>
  <c r="S40" i="126"/>
  <c r="R190" i="126"/>
  <c r="Q60" i="126"/>
  <c r="S240" i="126"/>
  <c r="R217" i="126"/>
  <c r="Q145" i="126"/>
  <c r="S215" i="126"/>
  <c r="Q172" i="126"/>
  <c r="R185" i="126"/>
  <c r="Q96" i="126"/>
  <c r="R161" i="126"/>
  <c r="Q41" i="126"/>
  <c r="Q234" i="126"/>
  <c r="S140" i="126"/>
  <c r="Q6" i="126"/>
  <c r="Q12" i="126"/>
  <c r="Q102" i="126"/>
  <c r="Q109" i="126"/>
  <c r="Q75" i="126"/>
  <c r="Q197" i="126"/>
  <c r="R133" i="126"/>
  <c r="R121" i="126"/>
  <c r="Q298" i="126"/>
  <c r="Q24" i="126"/>
  <c r="Q170" i="126"/>
  <c r="S163" i="126"/>
  <c r="Q240" i="126"/>
  <c r="Q125" i="126"/>
  <c r="Q49" i="126"/>
  <c r="S123" i="126"/>
  <c r="Q327" i="126"/>
  <c r="Q50" i="126"/>
  <c r="S44" i="126"/>
  <c r="R69" i="126"/>
  <c r="S211" i="126"/>
  <c r="R224" i="126"/>
  <c r="Q113" i="126"/>
  <c r="R128" i="126"/>
  <c r="R247" i="126"/>
  <c r="S132" i="126"/>
  <c r="Q322" i="126"/>
  <c r="S220" i="126"/>
  <c r="S45" i="126"/>
  <c r="S170" i="126"/>
  <c r="Q153" i="126"/>
  <c r="S255" i="126"/>
  <c r="R253" i="126"/>
  <c r="Q282" i="126"/>
  <c r="R169" i="126"/>
  <c r="S279" i="126"/>
  <c r="R222" i="126"/>
  <c r="Q329" i="126"/>
  <c r="Q247" i="126"/>
  <c r="Q320" i="126"/>
  <c r="Q174" i="126"/>
  <c r="Q190" i="126"/>
  <c r="R211" i="126"/>
  <c r="S258" i="126"/>
  <c r="Q215" i="126"/>
  <c r="S248" i="126"/>
  <c r="Q301" i="126"/>
  <c r="Q132" i="126"/>
  <c r="S257" i="126"/>
  <c r="S154" i="126"/>
  <c r="S178" i="126"/>
  <c r="R156" i="126"/>
  <c r="Q332" i="126"/>
  <c r="Q104" i="126"/>
  <c r="R241" i="126"/>
  <c r="R71" i="126"/>
  <c r="Q144" i="126"/>
  <c r="S173" i="126"/>
  <c r="Q224" i="126"/>
  <c r="R140" i="126"/>
  <c r="Q135" i="126"/>
  <c r="Q54" i="126"/>
  <c r="Q238" i="126"/>
  <c r="R258" i="126"/>
  <c r="Q44" i="126"/>
  <c r="Q67" i="126"/>
  <c r="Q62" i="126"/>
  <c r="Q208" i="126"/>
  <c r="S217" i="126"/>
  <c r="Q139" i="126"/>
  <c r="Q115" i="126"/>
  <c r="Q297" i="126"/>
  <c r="Q266" i="126"/>
  <c r="Q185" i="126"/>
  <c r="Q272" i="126"/>
  <c r="S62" i="126"/>
  <c r="Q91" i="126"/>
  <c r="S156" i="126"/>
  <c r="Q13" i="126"/>
  <c r="R60" i="126"/>
  <c r="Q194" i="126"/>
  <c r="Q99" i="126"/>
  <c r="Q207" i="126"/>
  <c r="R218" i="126"/>
  <c r="Q267" i="126"/>
  <c r="Q214" i="126"/>
  <c r="R180" i="126"/>
  <c r="Q235" i="126"/>
  <c r="R262" i="126"/>
  <c r="Q95" i="126"/>
  <c r="Q331" i="126"/>
  <c r="Q279" i="126"/>
  <c r="R184" i="126"/>
  <c r="Q310" i="126"/>
  <c r="R68" i="126"/>
  <c r="S74" i="126"/>
  <c r="S239" i="126"/>
  <c r="Q292" i="126"/>
  <c r="R126" i="126"/>
  <c r="S256" i="126"/>
  <c r="Q217" i="126"/>
  <c r="R174" i="126"/>
  <c r="Q69" i="126"/>
  <c r="S186" i="126"/>
  <c r="Q11" i="126"/>
  <c r="Q165" i="126"/>
  <c r="S219" i="126"/>
  <c r="Q216" i="126"/>
  <c r="Q182" i="126"/>
  <c r="Q274" i="126"/>
  <c r="Q81" i="126"/>
  <c r="Q42" i="126"/>
  <c r="S43" i="126"/>
  <c r="R245" i="126"/>
  <c r="Q198" i="126"/>
  <c r="R61" i="126"/>
  <c r="S125" i="126"/>
  <c r="R141" i="126"/>
  <c r="Q20" i="126"/>
  <c r="Q179" i="126"/>
  <c r="Q228" i="126"/>
  <c r="Q209" i="126"/>
  <c r="Q188" i="126"/>
  <c r="S139" i="126"/>
  <c r="S141" i="126"/>
  <c r="Q28" i="126"/>
  <c r="R181" i="126"/>
  <c r="S41" i="126"/>
  <c r="S174" i="126"/>
  <c r="S185" i="126"/>
  <c r="Q47" i="126"/>
  <c r="Q241" i="126"/>
  <c r="Q201" i="126"/>
  <c r="S161" i="126"/>
  <c r="Q226" i="126"/>
  <c r="Q117" i="126"/>
  <c r="Q53" i="126"/>
  <c r="R244" i="126"/>
  <c r="S122" i="126"/>
  <c r="Q21" i="126"/>
  <c r="Q70" i="126"/>
  <c r="R206" i="126"/>
  <c r="Q232" i="126"/>
  <c r="S251" i="126"/>
  <c r="Q108" i="126"/>
  <c r="Q231" i="126"/>
  <c r="Q219" i="126"/>
  <c r="R255" i="126"/>
  <c r="Q155" i="126"/>
  <c r="Q142" i="126"/>
  <c r="Q204" i="126"/>
  <c r="Q178" i="126"/>
  <c r="Q133" i="126"/>
  <c r="S246" i="126"/>
  <c r="Q260" i="126"/>
  <c r="Q276" i="126"/>
  <c r="S214" i="126"/>
  <c r="Q308" i="126"/>
  <c r="R79" i="126"/>
  <c r="R284" i="126"/>
  <c r="Q63" i="126"/>
  <c r="Q87" i="126"/>
  <c r="R157" i="126"/>
  <c r="Q319" i="126"/>
  <c r="S71" i="126"/>
  <c r="Q97" i="126"/>
  <c r="R261" i="126"/>
  <c r="Q27" i="126"/>
  <c r="Q236" i="126"/>
  <c r="Q110" i="126"/>
  <c r="Q187" i="126"/>
  <c r="Q16" i="126"/>
  <c r="Q55" i="126"/>
  <c r="R277" i="126"/>
  <c r="S182" i="126"/>
  <c r="S135" i="126"/>
  <c r="R125" i="126"/>
  <c r="Q280" i="126"/>
  <c r="R137" i="126"/>
  <c r="R251" i="126"/>
  <c r="R223" i="126"/>
  <c r="Q303" i="126"/>
  <c r="Q171" i="126"/>
  <c r="R260" i="126"/>
  <c r="Q195" i="126"/>
  <c r="S283" i="126"/>
  <c r="S159" i="126"/>
  <c r="S168" i="126"/>
  <c r="S69" i="126"/>
  <c r="Q146" i="126"/>
  <c r="Q5" i="126"/>
  <c r="Q138" i="126"/>
  <c r="Q22" i="126"/>
  <c r="Q100" i="126"/>
  <c r="S189" i="126"/>
  <c r="Q68" i="126"/>
  <c r="Q147" i="126"/>
  <c r="S282" i="126"/>
  <c r="Q105" i="126"/>
  <c r="Q111" i="126"/>
  <c r="R276" i="126"/>
  <c r="S181" i="126"/>
  <c r="S176" i="126"/>
  <c r="Q245" i="126"/>
  <c r="Q73" i="126"/>
  <c r="Q33" i="126"/>
  <c r="Q293" i="126"/>
  <c r="S119" i="126"/>
  <c r="Q305" i="126"/>
  <c r="Q271" i="126"/>
  <c r="Q64" i="126"/>
  <c r="Q88" i="126"/>
  <c r="S210" i="126"/>
  <c r="Q48" i="126"/>
  <c r="Q324" i="126"/>
  <c r="Q181" i="126"/>
  <c r="Q275" i="126"/>
  <c r="S42" i="126"/>
  <c r="R43" i="126"/>
  <c r="R221" i="126"/>
  <c r="S121" i="126"/>
  <c r="R279" i="126"/>
  <c r="Q18" i="126"/>
  <c r="Q325" i="126"/>
  <c r="R154" i="126"/>
  <c r="S70" i="126"/>
  <c r="Q316" i="126"/>
  <c r="Q143" i="126"/>
  <c r="R124" i="126"/>
  <c r="Q295" i="126"/>
  <c r="Q103" i="126"/>
  <c r="S175" i="126"/>
  <c r="Q77" i="126"/>
  <c r="R213" i="126"/>
  <c r="Q106" i="126"/>
  <c r="R42" i="126"/>
  <c r="Q227" i="126"/>
  <c r="Q284" i="126"/>
  <c r="Q167" i="126"/>
  <c r="R136" i="126"/>
  <c r="S128" i="126"/>
  <c r="S158" i="126"/>
  <c r="Q156" i="126"/>
  <c r="Q221" i="126"/>
  <c r="Q321" i="126"/>
  <c r="Q79" i="126"/>
  <c r="R282" i="126"/>
  <c r="R240" i="126"/>
  <c r="Q78" i="126"/>
  <c r="Q39" i="126"/>
  <c r="R162" i="126"/>
  <c r="S63" i="126"/>
  <c r="Q93" i="126"/>
  <c r="S280" i="126"/>
  <c r="R179" i="126"/>
  <c r="S222" i="126"/>
  <c r="Q66" i="126"/>
  <c r="Q173" i="126"/>
  <c r="S129" i="126"/>
  <c r="S281" i="126"/>
  <c r="R73" i="126"/>
  <c r="S224" i="126"/>
  <c r="Q36" i="126"/>
  <c r="S72" i="126"/>
  <c r="R175" i="126"/>
  <c r="S243" i="126"/>
  <c r="R220" i="126"/>
  <c r="S262" i="126"/>
  <c r="Q277" i="126"/>
  <c r="Q7" i="126"/>
  <c r="R165" i="126"/>
  <c r="S247" i="126"/>
  <c r="R246" i="126"/>
  <c r="R130" i="126"/>
  <c r="E18" i="108" l="1"/>
  <c r="F18" i="108"/>
  <c r="G18" i="108"/>
  <c r="H18" i="108"/>
  <c r="D18" i="108"/>
  <c r="H20" i="109"/>
  <c r="H20" i="107"/>
  <c r="H57" i="106"/>
  <c r="D57" i="106"/>
  <c r="E57" i="106"/>
  <c r="F57" i="106"/>
  <c r="G57" i="106"/>
  <c r="G46" i="105" l="1"/>
  <c r="H46" i="105"/>
  <c r="H20" i="104"/>
  <c r="H71" i="102"/>
  <c r="S239" i="124"/>
  <c r="Q305" i="92"/>
  <c r="R305" i="92"/>
  <c r="S305" i="92"/>
  <c r="M222" i="92"/>
  <c r="N222" i="92"/>
  <c r="M215" i="92"/>
  <c r="N215" i="92"/>
  <c r="M212" i="92"/>
  <c r="N212" i="92"/>
  <c r="M211" i="92"/>
  <c r="N211" i="92"/>
  <c r="M210" i="92"/>
  <c r="N210" i="92"/>
  <c r="M206" i="92"/>
  <c r="N206" i="92"/>
  <c r="M205" i="92"/>
  <c r="N205" i="92"/>
  <c r="M204" i="92"/>
  <c r="N204" i="92"/>
  <c r="W212" i="92"/>
  <c r="X212" i="92"/>
  <c r="W211" i="92"/>
  <c r="X211" i="92"/>
  <c r="W210" i="92"/>
  <c r="X210" i="92"/>
  <c r="W209" i="92"/>
  <c r="X209" i="92"/>
  <c r="W208" i="92"/>
  <c r="X208" i="92"/>
  <c r="W206" i="92"/>
  <c r="X206" i="92"/>
  <c r="W205" i="92"/>
  <c r="X205" i="92"/>
  <c r="W204" i="92"/>
  <c r="X204" i="92"/>
  <c r="W207" i="92"/>
  <c r="X207" i="92"/>
  <c r="M190" i="92"/>
  <c r="N190" i="92"/>
  <c r="M189" i="92"/>
  <c r="N189" i="92"/>
  <c r="M188" i="92"/>
  <c r="N188" i="92"/>
  <c r="M187" i="92"/>
  <c r="N187" i="92"/>
  <c r="M186" i="92"/>
  <c r="N186" i="92"/>
  <c r="W64" i="92"/>
  <c r="X64" i="92"/>
  <c r="U64" i="92"/>
  <c r="V64" i="92"/>
  <c r="T62" i="92"/>
  <c r="U62" i="92"/>
  <c r="V62" i="92"/>
  <c r="W63" i="92"/>
  <c r="X63" i="92"/>
  <c r="W62" i="92"/>
  <c r="X62" i="92"/>
  <c r="H20" i="106"/>
  <c r="E105" i="104"/>
  <c r="W222" i="92"/>
  <c r="X222" i="92"/>
  <c r="W190" i="92"/>
  <c r="X190" i="92"/>
  <c r="W189" i="92"/>
  <c r="X189" i="92"/>
  <c r="W188" i="92"/>
  <c r="X188" i="92"/>
  <c r="W187" i="92"/>
  <c r="X187" i="92"/>
  <c r="W186" i="92"/>
  <c r="X186" i="92"/>
  <c r="N306" i="92"/>
  <c r="N307" i="92"/>
  <c r="M306" i="92"/>
  <c r="M307" i="92"/>
  <c r="J129" i="105" l="1"/>
  <c r="J128" i="105"/>
  <c r="J126" i="105"/>
  <c r="J125" i="105"/>
  <c r="J122" i="105"/>
  <c r="J121" i="105"/>
  <c r="J119" i="105"/>
  <c r="J118" i="105"/>
  <c r="J116" i="105"/>
  <c r="J115" i="105"/>
  <c r="J56" i="104"/>
  <c r="J55" i="104"/>
  <c r="J53" i="104"/>
  <c r="J52" i="104"/>
  <c r="J50" i="104"/>
  <c r="J49" i="104"/>
  <c r="S332" i="124" l="1"/>
  <c r="N332" i="92" s="1"/>
  <c r="R332" i="124"/>
  <c r="M332" i="92" s="1"/>
  <c r="S331" i="124"/>
  <c r="N331" i="92" s="1"/>
  <c r="R331" i="124"/>
  <c r="M331" i="92" s="1"/>
  <c r="S330" i="124"/>
  <c r="N330" i="92" s="1"/>
  <c r="R330" i="124"/>
  <c r="M330" i="92" s="1"/>
  <c r="S329" i="124"/>
  <c r="N329" i="92" s="1"/>
  <c r="R329" i="124"/>
  <c r="M329" i="92" s="1"/>
  <c r="S328" i="124"/>
  <c r="N328" i="92" s="1"/>
  <c r="R328" i="124"/>
  <c r="M328" i="92" s="1"/>
  <c r="S327" i="124"/>
  <c r="N327" i="92" s="1"/>
  <c r="R327" i="124"/>
  <c r="M327" i="92" s="1"/>
  <c r="S326" i="124"/>
  <c r="N326" i="92" s="1"/>
  <c r="R326" i="124"/>
  <c r="M326" i="92" s="1"/>
  <c r="S325" i="124"/>
  <c r="N325" i="92" s="1"/>
  <c r="R325" i="124"/>
  <c r="M325" i="92" s="1"/>
  <c r="S324" i="124"/>
  <c r="N324" i="92" s="1"/>
  <c r="R324" i="124"/>
  <c r="M324" i="92" s="1"/>
  <c r="S323" i="124"/>
  <c r="N323" i="92" s="1"/>
  <c r="R323" i="124"/>
  <c r="M323" i="92" s="1"/>
  <c r="S322" i="124"/>
  <c r="N322" i="92" s="1"/>
  <c r="R322" i="124"/>
  <c r="M322" i="92" s="1"/>
  <c r="S321" i="124"/>
  <c r="N321" i="92" s="1"/>
  <c r="R321" i="124"/>
  <c r="M321" i="92" s="1"/>
  <c r="S320" i="124"/>
  <c r="N320" i="92" s="1"/>
  <c r="R320" i="124"/>
  <c r="M320" i="92" s="1"/>
  <c r="S319" i="124"/>
  <c r="N319" i="92" s="1"/>
  <c r="R319" i="124"/>
  <c r="M319" i="92" s="1"/>
  <c r="S318" i="124"/>
  <c r="N318" i="92" s="1"/>
  <c r="R318" i="124"/>
  <c r="M318" i="92" s="1"/>
  <c r="S317" i="124"/>
  <c r="N317" i="92" s="1"/>
  <c r="R317" i="124"/>
  <c r="M317" i="92" s="1"/>
  <c r="S305" i="124"/>
  <c r="N305" i="92" s="1"/>
  <c r="R305" i="124"/>
  <c r="M305" i="92" s="1"/>
  <c r="S304" i="124"/>
  <c r="N304" i="92" s="1"/>
  <c r="R304" i="124"/>
  <c r="M304" i="92" s="1"/>
  <c r="S303" i="124"/>
  <c r="N303" i="92" s="1"/>
  <c r="R303" i="124"/>
  <c r="M303" i="92" s="1"/>
  <c r="S302" i="124"/>
  <c r="N302" i="92" s="1"/>
  <c r="R302" i="124"/>
  <c r="M302" i="92" s="1"/>
  <c r="S301" i="124"/>
  <c r="N301" i="92" s="1"/>
  <c r="R301" i="124"/>
  <c r="M301" i="92" s="1"/>
  <c r="S300" i="124"/>
  <c r="N300" i="92" s="1"/>
  <c r="R300" i="124"/>
  <c r="M300" i="92" s="1"/>
  <c r="S299" i="124"/>
  <c r="N299" i="92" s="1"/>
  <c r="R299" i="124"/>
  <c r="M299" i="92" s="1"/>
  <c r="S298" i="124"/>
  <c r="N298" i="92" s="1"/>
  <c r="R298" i="124"/>
  <c r="M298" i="92" s="1"/>
  <c r="S297" i="124"/>
  <c r="N297" i="92" s="1"/>
  <c r="R297" i="124"/>
  <c r="M297" i="92" s="1"/>
  <c r="S296" i="124"/>
  <c r="N296" i="92" s="1"/>
  <c r="R296" i="124"/>
  <c r="M296" i="92" s="1"/>
  <c r="S295" i="124"/>
  <c r="N295" i="92" s="1"/>
  <c r="R295" i="124"/>
  <c r="M295" i="92" s="1"/>
  <c r="S294" i="124"/>
  <c r="N294" i="92" s="1"/>
  <c r="R294" i="124"/>
  <c r="M294" i="92" s="1"/>
  <c r="S293" i="124"/>
  <c r="N293" i="92" s="1"/>
  <c r="R293" i="124"/>
  <c r="M293" i="92" s="1"/>
  <c r="S292" i="124"/>
  <c r="N292" i="92" s="1"/>
  <c r="R292" i="124"/>
  <c r="M292" i="92" s="1"/>
  <c r="S291" i="124"/>
  <c r="N291" i="92" s="1"/>
  <c r="R291" i="124"/>
  <c r="M291" i="92" s="1"/>
  <c r="S290" i="124"/>
  <c r="N290" i="92" s="1"/>
  <c r="R290" i="124"/>
  <c r="M290" i="92" s="1"/>
  <c r="S289" i="124"/>
  <c r="N289" i="92" s="1"/>
  <c r="R289" i="124"/>
  <c r="M289" i="92" s="1"/>
  <c r="S288" i="124"/>
  <c r="N288" i="92" s="1"/>
  <c r="R288" i="124"/>
  <c r="M288" i="92" s="1"/>
  <c r="S287" i="124"/>
  <c r="N287" i="92" s="1"/>
  <c r="R287" i="124"/>
  <c r="M287" i="92" s="1"/>
  <c r="S286" i="124"/>
  <c r="N286" i="92" s="1"/>
  <c r="R286" i="124"/>
  <c r="M286" i="92" s="1"/>
  <c r="S285" i="124"/>
  <c r="N285" i="92" s="1"/>
  <c r="R285" i="124"/>
  <c r="M285" i="92" s="1"/>
  <c r="S275" i="124"/>
  <c r="N275" i="92" s="1"/>
  <c r="R275" i="124"/>
  <c r="M275" i="92" s="1"/>
  <c r="S274" i="124"/>
  <c r="N274" i="92" s="1"/>
  <c r="R274" i="124"/>
  <c r="M274" i="92" s="1"/>
  <c r="S273" i="124"/>
  <c r="N273" i="92" s="1"/>
  <c r="R273" i="124"/>
  <c r="M273" i="92" s="1"/>
  <c r="S272" i="124"/>
  <c r="N272" i="92" s="1"/>
  <c r="R272" i="124"/>
  <c r="M272" i="92" s="1"/>
  <c r="S271" i="124"/>
  <c r="N271" i="92" s="1"/>
  <c r="R271" i="124"/>
  <c r="M271" i="92" s="1"/>
  <c r="S270" i="124"/>
  <c r="N270" i="92" s="1"/>
  <c r="R270" i="124"/>
  <c r="M270" i="92" s="1"/>
  <c r="S269" i="124"/>
  <c r="N269" i="92" s="1"/>
  <c r="R269" i="124"/>
  <c r="M269" i="92" s="1"/>
  <c r="S268" i="124"/>
  <c r="N268" i="92" s="1"/>
  <c r="R268" i="124"/>
  <c r="M268" i="92" s="1"/>
  <c r="S267" i="124"/>
  <c r="N267" i="92" s="1"/>
  <c r="R267" i="124"/>
  <c r="M267" i="92" s="1"/>
  <c r="S266" i="124"/>
  <c r="N266" i="92" s="1"/>
  <c r="R266" i="124"/>
  <c r="M266" i="92" s="1"/>
  <c r="S265" i="124"/>
  <c r="N265" i="92" s="1"/>
  <c r="R265" i="124"/>
  <c r="M265" i="92" s="1"/>
  <c r="S264" i="124"/>
  <c r="N264" i="92" s="1"/>
  <c r="R264" i="124"/>
  <c r="M264" i="92" s="1"/>
  <c r="S263" i="124"/>
  <c r="N263" i="92" s="1"/>
  <c r="R263" i="124"/>
  <c r="M263" i="92" s="1"/>
  <c r="S238" i="124"/>
  <c r="N238" i="92" s="1"/>
  <c r="R238" i="124"/>
  <c r="M238" i="92" s="1"/>
  <c r="S237" i="124"/>
  <c r="N237" i="92" s="1"/>
  <c r="R237" i="124"/>
  <c r="M237" i="92" s="1"/>
  <c r="S236" i="124"/>
  <c r="N236" i="92" s="1"/>
  <c r="R236" i="124"/>
  <c r="M236" i="92" s="1"/>
  <c r="S235" i="124"/>
  <c r="N235" i="92" s="1"/>
  <c r="R235" i="124"/>
  <c r="M235" i="92" s="1"/>
  <c r="S234" i="124"/>
  <c r="N234" i="92" s="1"/>
  <c r="R234" i="124"/>
  <c r="M234" i="92" s="1"/>
  <c r="S233" i="124"/>
  <c r="N233" i="92" s="1"/>
  <c r="R233" i="124"/>
  <c r="M233" i="92" s="1"/>
  <c r="S232" i="124"/>
  <c r="N232" i="92" s="1"/>
  <c r="R232" i="124"/>
  <c r="M232" i="92" s="1"/>
  <c r="S231" i="124"/>
  <c r="N231" i="92" s="1"/>
  <c r="R231" i="124"/>
  <c r="M231" i="92" s="1"/>
  <c r="S230" i="124"/>
  <c r="N230" i="92" s="1"/>
  <c r="R230" i="124"/>
  <c r="M230" i="92" s="1"/>
  <c r="S229" i="124"/>
  <c r="N229" i="92" s="1"/>
  <c r="R229" i="124"/>
  <c r="M229" i="92" s="1"/>
  <c r="S228" i="124"/>
  <c r="N228" i="92" s="1"/>
  <c r="R228" i="124"/>
  <c r="M228" i="92" s="1"/>
  <c r="S227" i="124"/>
  <c r="N227" i="92" s="1"/>
  <c r="R227" i="124"/>
  <c r="M227" i="92" s="1"/>
  <c r="S226" i="124"/>
  <c r="N226" i="92" s="1"/>
  <c r="R226" i="124"/>
  <c r="M226" i="92" s="1"/>
  <c r="N209" i="92"/>
  <c r="M209" i="92"/>
  <c r="N208" i="92"/>
  <c r="M208" i="92"/>
  <c r="N207" i="92"/>
  <c r="M207" i="92"/>
  <c r="S203" i="124"/>
  <c r="N203" i="92" s="1"/>
  <c r="R203" i="124"/>
  <c r="M203" i="92" s="1"/>
  <c r="S202" i="124"/>
  <c r="N202" i="92" s="1"/>
  <c r="R202" i="124"/>
  <c r="M202" i="92" s="1"/>
  <c r="S201" i="124"/>
  <c r="N201" i="92" s="1"/>
  <c r="R201" i="124"/>
  <c r="M201" i="92" s="1"/>
  <c r="S200" i="124"/>
  <c r="N200" i="92" s="1"/>
  <c r="R200" i="124"/>
  <c r="M200" i="92" s="1"/>
  <c r="S199" i="124"/>
  <c r="N199" i="92" s="1"/>
  <c r="R199" i="124"/>
  <c r="M199" i="92" s="1"/>
  <c r="S198" i="124"/>
  <c r="N198" i="92" s="1"/>
  <c r="R198" i="124"/>
  <c r="M198" i="92" s="1"/>
  <c r="S197" i="124"/>
  <c r="N197" i="92" s="1"/>
  <c r="R197" i="124"/>
  <c r="M197" i="92" s="1"/>
  <c r="S196" i="124"/>
  <c r="N196" i="92" s="1"/>
  <c r="R196" i="124"/>
  <c r="M196" i="92" s="1"/>
  <c r="S195" i="124"/>
  <c r="N195" i="92" s="1"/>
  <c r="R195" i="124"/>
  <c r="M195" i="92" s="1"/>
  <c r="S194" i="124"/>
  <c r="N194" i="92" s="1"/>
  <c r="R194" i="124"/>
  <c r="M194" i="92" s="1"/>
  <c r="S193" i="124"/>
  <c r="N193" i="92" s="1"/>
  <c r="R193" i="124"/>
  <c r="M193" i="92" s="1"/>
  <c r="S192" i="124"/>
  <c r="N192" i="92" s="1"/>
  <c r="R192" i="124"/>
  <c r="M192" i="92" s="1"/>
  <c r="S191" i="124"/>
  <c r="N191" i="92" s="1"/>
  <c r="R191" i="124"/>
  <c r="M191" i="92" s="1"/>
  <c r="S166" i="124"/>
  <c r="N166" i="92" s="1"/>
  <c r="R166" i="124"/>
  <c r="M166" i="92" s="1"/>
  <c r="S153" i="124"/>
  <c r="N153" i="92" s="1"/>
  <c r="R153" i="124"/>
  <c r="M153" i="92" s="1"/>
  <c r="S152" i="124"/>
  <c r="N152" i="92" s="1"/>
  <c r="R152" i="124"/>
  <c r="M152" i="92" s="1"/>
  <c r="S151" i="124"/>
  <c r="N151" i="92" s="1"/>
  <c r="R151" i="124"/>
  <c r="M151" i="92" s="1"/>
  <c r="S150" i="124"/>
  <c r="N150" i="92" s="1"/>
  <c r="R150" i="124"/>
  <c r="M150" i="92" s="1"/>
  <c r="S149" i="124"/>
  <c r="N149" i="92" s="1"/>
  <c r="R149" i="124"/>
  <c r="M149" i="92" s="1"/>
  <c r="S148" i="124"/>
  <c r="N148" i="92" s="1"/>
  <c r="R148" i="124"/>
  <c r="M148" i="92" s="1"/>
  <c r="S147" i="124"/>
  <c r="N147" i="92" s="1"/>
  <c r="R147" i="124"/>
  <c r="M147" i="92" s="1"/>
  <c r="S146" i="124"/>
  <c r="N146" i="92" s="1"/>
  <c r="R146" i="124"/>
  <c r="M146" i="92" s="1"/>
  <c r="S145" i="124"/>
  <c r="N145" i="92" s="1"/>
  <c r="R145" i="124"/>
  <c r="M145" i="92" s="1"/>
  <c r="S144" i="124"/>
  <c r="N144" i="92" s="1"/>
  <c r="R144" i="124"/>
  <c r="M144" i="92" s="1"/>
  <c r="S143" i="124"/>
  <c r="N143" i="92" s="1"/>
  <c r="R143" i="124"/>
  <c r="M143" i="92" s="1"/>
  <c r="S142" i="124"/>
  <c r="N142" i="92" s="1"/>
  <c r="R142" i="124"/>
  <c r="M142" i="92" s="1"/>
  <c r="S117" i="124"/>
  <c r="N117" i="92" s="1"/>
  <c r="R117" i="124"/>
  <c r="M117" i="92" s="1"/>
  <c r="S116" i="124"/>
  <c r="N116" i="92" s="1"/>
  <c r="R116" i="124"/>
  <c r="M116" i="92" s="1"/>
  <c r="S115" i="124"/>
  <c r="N115" i="92" s="1"/>
  <c r="R115" i="124"/>
  <c r="M115" i="92" s="1"/>
  <c r="S114" i="124"/>
  <c r="N114" i="92" s="1"/>
  <c r="R114" i="124"/>
  <c r="M114" i="92" s="1"/>
  <c r="S113" i="124"/>
  <c r="N113" i="92" s="1"/>
  <c r="R113" i="124"/>
  <c r="M113" i="92" s="1"/>
  <c r="S112" i="124"/>
  <c r="N112" i="92" s="1"/>
  <c r="R112" i="124"/>
  <c r="M112" i="92" s="1"/>
  <c r="S111" i="124"/>
  <c r="N111" i="92" s="1"/>
  <c r="R111" i="124"/>
  <c r="M111" i="92" s="1"/>
  <c r="S110" i="124"/>
  <c r="N110" i="92" s="1"/>
  <c r="R110" i="124"/>
  <c r="M110" i="92" s="1"/>
  <c r="S109" i="124"/>
  <c r="N109" i="92" s="1"/>
  <c r="R109" i="124"/>
  <c r="M109" i="92" s="1"/>
  <c r="S108" i="124"/>
  <c r="N108" i="92" s="1"/>
  <c r="R108" i="124"/>
  <c r="M108" i="92" s="1"/>
  <c r="S107" i="124"/>
  <c r="N107" i="92" s="1"/>
  <c r="R107" i="124"/>
  <c r="M107" i="92" s="1"/>
  <c r="S106" i="124"/>
  <c r="N106" i="92" s="1"/>
  <c r="R106" i="124"/>
  <c r="M106" i="92" s="1"/>
  <c r="S105" i="124"/>
  <c r="N105" i="92" s="1"/>
  <c r="R105" i="124"/>
  <c r="M105" i="92" s="1"/>
  <c r="S104" i="124"/>
  <c r="N104" i="92" s="1"/>
  <c r="R104" i="124"/>
  <c r="M104" i="92" s="1"/>
  <c r="S103" i="124"/>
  <c r="N103" i="92" s="1"/>
  <c r="R103" i="124"/>
  <c r="M103" i="92" s="1"/>
  <c r="S102" i="124"/>
  <c r="N102" i="92" s="1"/>
  <c r="R102" i="124"/>
  <c r="M102" i="92" s="1"/>
  <c r="S101" i="124"/>
  <c r="N101" i="92" s="1"/>
  <c r="R101" i="124"/>
  <c r="M101" i="92" s="1"/>
  <c r="S100" i="124"/>
  <c r="N100" i="92" s="1"/>
  <c r="R100" i="124"/>
  <c r="M100" i="92" s="1"/>
  <c r="S99" i="124"/>
  <c r="N99" i="92" s="1"/>
  <c r="R99" i="124"/>
  <c r="M99" i="92" s="1"/>
  <c r="S98" i="124"/>
  <c r="N98" i="92" s="1"/>
  <c r="R98" i="124"/>
  <c r="M98" i="92" s="1"/>
  <c r="S97" i="124"/>
  <c r="N97" i="92" s="1"/>
  <c r="R97" i="124"/>
  <c r="M97" i="92" s="1"/>
  <c r="S96" i="124"/>
  <c r="N96" i="92" s="1"/>
  <c r="R96" i="124"/>
  <c r="M96" i="92" s="1"/>
  <c r="S95" i="124"/>
  <c r="N95" i="92" s="1"/>
  <c r="R95" i="124"/>
  <c r="M95" i="92" s="1"/>
  <c r="S94" i="124"/>
  <c r="N94" i="92" s="1"/>
  <c r="R94" i="124"/>
  <c r="M94" i="92" s="1"/>
  <c r="S93" i="124"/>
  <c r="N93" i="92" s="1"/>
  <c r="R93" i="124"/>
  <c r="M93" i="92" s="1"/>
  <c r="S92" i="124"/>
  <c r="N92" i="92" s="1"/>
  <c r="R92" i="124"/>
  <c r="M92" i="92" s="1"/>
  <c r="S91" i="124"/>
  <c r="N91" i="92" s="1"/>
  <c r="R91" i="124"/>
  <c r="M91" i="92" s="1"/>
  <c r="S90" i="124"/>
  <c r="N90" i="92" s="1"/>
  <c r="R90" i="124"/>
  <c r="M90" i="92" s="1"/>
  <c r="S89" i="124"/>
  <c r="N89" i="92" s="1"/>
  <c r="R89" i="124"/>
  <c r="M89" i="92" s="1"/>
  <c r="S88" i="124"/>
  <c r="N88" i="92" s="1"/>
  <c r="R88" i="124"/>
  <c r="M88" i="92" s="1"/>
  <c r="S87" i="124"/>
  <c r="N87" i="92" s="1"/>
  <c r="R87" i="124"/>
  <c r="M87" i="92" s="1"/>
  <c r="S86" i="124"/>
  <c r="N86" i="92" s="1"/>
  <c r="R86" i="124"/>
  <c r="M86" i="92" s="1"/>
  <c r="S85" i="124"/>
  <c r="N85" i="92" s="1"/>
  <c r="R85" i="124"/>
  <c r="M85" i="92" s="1"/>
  <c r="S84" i="124"/>
  <c r="N84" i="92" s="1"/>
  <c r="R84" i="124"/>
  <c r="M84" i="92" s="1"/>
  <c r="S83" i="124"/>
  <c r="N83" i="92" s="1"/>
  <c r="R83" i="124"/>
  <c r="M83" i="92" s="1"/>
  <c r="S82" i="124"/>
  <c r="N82" i="92" s="1"/>
  <c r="R82" i="124"/>
  <c r="M82" i="92" s="1"/>
  <c r="S81" i="124"/>
  <c r="N81" i="92" s="1"/>
  <c r="R81" i="124"/>
  <c r="M81" i="92" s="1"/>
  <c r="S80" i="124"/>
  <c r="N80" i="92" s="1"/>
  <c r="R80" i="124"/>
  <c r="M80" i="92" s="1"/>
  <c r="S67" i="124"/>
  <c r="N67" i="92" s="1"/>
  <c r="R67" i="124"/>
  <c r="M67" i="92" s="1"/>
  <c r="S66" i="124"/>
  <c r="N66" i="92" s="1"/>
  <c r="R66" i="124"/>
  <c r="M66" i="92" s="1"/>
  <c r="S65" i="124"/>
  <c r="N65" i="92" s="1"/>
  <c r="R65" i="124"/>
  <c r="M65" i="92" s="1"/>
  <c r="S58" i="124"/>
  <c r="N58" i="92" s="1"/>
  <c r="R58" i="124"/>
  <c r="M58" i="92" s="1"/>
  <c r="S57" i="124"/>
  <c r="N57" i="92" s="1"/>
  <c r="R57" i="124"/>
  <c r="M57" i="92" s="1"/>
  <c r="S56" i="124"/>
  <c r="N56" i="92" s="1"/>
  <c r="R56" i="124"/>
  <c r="M56" i="92" s="1"/>
  <c r="S55" i="124"/>
  <c r="N55" i="92" s="1"/>
  <c r="R55" i="124"/>
  <c r="M55" i="92" s="1"/>
  <c r="S54" i="124"/>
  <c r="N54" i="92" s="1"/>
  <c r="R54" i="124"/>
  <c r="M54" i="92" s="1"/>
  <c r="S53" i="124"/>
  <c r="N53" i="92" s="1"/>
  <c r="R53" i="124"/>
  <c r="M53" i="92" s="1"/>
  <c r="S52" i="124"/>
  <c r="N52" i="92" s="1"/>
  <c r="R52" i="124"/>
  <c r="M52" i="92" s="1"/>
  <c r="S51" i="124"/>
  <c r="N51" i="92" s="1"/>
  <c r="R51" i="124"/>
  <c r="M51" i="92" s="1"/>
  <c r="S50" i="124"/>
  <c r="N50" i="92" s="1"/>
  <c r="R50" i="124"/>
  <c r="M50" i="92" s="1"/>
  <c r="S49" i="124"/>
  <c r="N49" i="92" s="1"/>
  <c r="R49" i="124"/>
  <c r="M49" i="92" s="1"/>
  <c r="S48" i="124"/>
  <c r="N48" i="92" s="1"/>
  <c r="R48" i="124"/>
  <c r="M48" i="92" s="1"/>
  <c r="S47" i="124"/>
  <c r="N47" i="92" s="1"/>
  <c r="R47" i="124"/>
  <c r="M47" i="92" s="1"/>
  <c r="S46" i="124"/>
  <c r="N46" i="92" s="1"/>
  <c r="R46" i="124"/>
  <c r="M46" i="92" s="1"/>
  <c r="S39" i="124"/>
  <c r="N39" i="92" s="1"/>
  <c r="R39" i="124"/>
  <c r="M39" i="92" s="1"/>
  <c r="S38" i="124"/>
  <c r="N38" i="92" s="1"/>
  <c r="R38" i="124"/>
  <c r="M38" i="92" s="1"/>
  <c r="S37" i="124"/>
  <c r="N37" i="92" s="1"/>
  <c r="R37" i="124"/>
  <c r="M37" i="92" s="1"/>
  <c r="S36" i="124"/>
  <c r="N36" i="92" s="1"/>
  <c r="R36" i="124"/>
  <c r="M36" i="92" s="1"/>
  <c r="S35" i="124"/>
  <c r="N35" i="92" s="1"/>
  <c r="R35" i="124"/>
  <c r="M35" i="92" s="1"/>
  <c r="S34" i="124"/>
  <c r="N34" i="92" s="1"/>
  <c r="R34" i="124"/>
  <c r="M34" i="92" s="1"/>
  <c r="S33" i="124"/>
  <c r="N33" i="92" s="1"/>
  <c r="R33" i="124"/>
  <c r="M33" i="92" s="1"/>
  <c r="S32" i="124"/>
  <c r="N32" i="92" s="1"/>
  <c r="R32" i="124"/>
  <c r="M32" i="92" s="1"/>
  <c r="S31" i="124"/>
  <c r="N31" i="92" s="1"/>
  <c r="R31" i="124"/>
  <c r="M31" i="92" s="1"/>
  <c r="S30" i="124"/>
  <c r="N30" i="92" s="1"/>
  <c r="R30" i="124"/>
  <c r="M30" i="92" s="1"/>
  <c r="S29" i="124"/>
  <c r="N29" i="92" s="1"/>
  <c r="R29" i="124"/>
  <c r="M29" i="92" s="1"/>
  <c r="S28" i="124"/>
  <c r="N28" i="92" s="1"/>
  <c r="R28" i="124"/>
  <c r="M28" i="92" s="1"/>
  <c r="S27" i="124"/>
  <c r="N27" i="92" s="1"/>
  <c r="R27" i="124"/>
  <c r="M27" i="92" s="1"/>
  <c r="S26" i="124"/>
  <c r="N26" i="92" s="1"/>
  <c r="R26" i="124"/>
  <c r="M26" i="92" s="1"/>
  <c r="S25" i="124"/>
  <c r="N25" i="92" s="1"/>
  <c r="R25" i="124"/>
  <c r="M25" i="92" s="1"/>
  <c r="S24" i="124"/>
  <c r="N24" i="92" s="1"/>
  <c r="R24" i="124"/>
  <c r="M24" i="92" s="1"/>
  <c r="S23" i="124"/>
  <c r="N23" i="92" s="1"/>
  <c r="R23" i="124"/>
  <c r="M23" i="92" s="1"/>
  <c r="S22" i="124"/>
  <c r="N22" i="92" s="1"/>
  <c r="R22" i="124"/>
  <c r="M22" i="92" s="1"/>
  <c r="S21" i="124"/>
  <c r="N21" i="92" s="1"/>
  <c r="R21" i="124"/>
  <c r="M21" i="92" s="1"/>
  <c r="S20" i="124"/>
  <c r="N20" i="92" s="1"/>
  <c r="R20" i="124"/>
  <c r="M20" i="92" s="1"/>
  <c r="S19" i="124"/>
  <c r="N19" i="92" s="1"/>
  <c r="R19" i="124"/>
  <c r="M19" i="92" s="1"/>
  <c r="S18" i="124"/>
  <c r="N18" i="92" s="1"/>
  <c r="R18" i="124"/>
  <c r="M18" i="92" s="1"/>
  <c r="S17" i="124"/>
  <c r="N17" i="92" s="1"/>
  <c r="R17" i="124"/>
  <c r="M17" i="92" s="1"/>
  <c r="S16" i="124"/>
  <c r="N16" i="92" s="1"/>
  <c r="R16" i="124"/>
  <c r="M16" i="92" s="1"/>
  <c r="S15" i="124"/>
  <c r="N15" i="92" s="1"/>
  <c r="R15" i="124"/>
  <c r="M15" i="92" s="1"/>
  <c r="S14" i="124"/>
  <c r="N14" i="92" s="1"/>
  <c r="R14" i="124"/>
  <c r="M14" i="92" s="1"/>
  <c r="S13" i="124"/>
  <c r="N13" i="92" s="1"/>
  <c r="R13" i="124"/>
  <c r="M13" i="92" s="1"/>
  <c r="S12" i="124"/>
  <c r="N12" i="92" s="1"/>
  <c r="R12" i="124"/>
  <c r="M12" i="92" s="1"/>
  <c r="S11" i="124"/>
  <c r="N11" i="92" s="1"/>
  <c r="R11" i="124"/>
  <c r="M11" i="92" s="1"/>
  <c r="S10" i="124"/>
  <c r="N10" i="92" s="1"/>
  <c r="R10" i="124"/>
  <c r="M10" i="92" s="1"/>
  <c r="S9" i="124"/>
  <c r="N9" i="92" s="1"/>
  <c r="R9" i="124"/>
  <c r="M9" i="92" s="1"/>
  <c r="S8" i="124"/>
  <c r="N8" i="92" s="1"/>
  <c r="R8" i="124"/>
  <c r="M8" i="92" s="1"/>
  <c r="S7" i="124"/>
  <c r="N7" i="92" s="1"/>
  <c r="R7" i="124"/>
  <c r="M7" i="92" s="1"/>
  <c r="S6" i="124"/>
  <c r="N6" i="92" s="1"/>
  <c r="R6" i="124"/>
  <c r="M6" i="92" s="1"/>
  <c r="S5" i="124"/>
  <c r="N5" i="92" s="1"/>
  <c r="R5" i="124"/>
  <c r="M5" i="92" s="1"/>
  <c r="S4" i="124"/>
  <c r="N4" i="92" s="1"/>
  <c r="R4" i="124"/>
  <c r="M4" i="92" s="1"/>
  <c r="S3" i="124"/>
  <c r="N3" i="92" s="1"/>
  <c r="R3" i="124"/>
  <c r="M3" i="92" s="1"/>
  <c r="S316" i="124"/>
  <c r="N316" i="92" s="1"/>
  <c r="R316" i="124"/>
  <c r="M316" i="92" s="1"/>
  <c r="S315" i="124"/>
  <c r="N315" i="92" s="1"/>
  <c r="R315" i="124"/>
  <c r="M315" i="92" s="1"/>
  <c r="S314" i="124"/>
  <c r="N314" i="92" s="1"/>
  <c r="R314" i="124"/>
  <c r="M314" i="92" s="1"/>
  <c r="S313" i="124"/>
  <c r="N313" i="92" s="1"/>
  <c r="R313" i="124"/>
  <c r="M313" i="92" s="1"/>
  <c r="S312" i="124"/>
  <c r="N312" i="92" s="1"/>
  <c r="R312" i="124"/>
  <c r="M312" i="92" s="1"/>
  <c r="S311" i="124"/>
  <c r="N311" i="92" s="1"/>
  <c r="R311" i="124"/>
  <c r="M311" i="92" s="1"/>
  <c r="S310" i="124"/>
  <c r="N310" i="92" s="1"/>
  <c r="R310" i="124"/>
  <c r="M310" i="92" s="1"/>
  <c r="S309" i="124"/>
  <c r="N309" i="92" s="1"/>
  <c r="R309" i="124"/>
  <c r="M309" i="92" s="1"/>
  <c r="S308" i="124"/>
  <c r="N308" i="92" s="1"/>
  <c r="R308" i="124"/>
  <c r="M308" i="92" s="1"/>
  <c r="S332" i="122"/>
  <c r="R332" i="122"/>
  <c r="S331" i="122"/>
  <c r="R331" i="122"/>
  <c r="S330" i="122"/>
  <c r="R330" i="122"/>
  <c r="S329" i="122"/>
  <c r="R329" i="122"/>
  <c r="S328" i="122"/>
  <c r="R328" i="122"/>
  <c r="S327" i="122"/>
  <c r="R327" i="122"/>
  <c r="S326" i="122"/>
  <c r="R326" i="122"/>
  <c r="S325" i="122"/>
  <c r="R325" i="122"/>
  <c r="S324" i="122"/>
  <c r="R324" i="122"/>
  <c r="S323" i="122"/>
  <c r="R323" i="122"/>
  <c r="S322" i="122"/>
  <c r="R322" i="122"/>
  <c r="S321" i="122"/>
  <c r="R321" i="122"/>
  <c r="S320" i="122"/>
  <c r="R320" i="122"/>
  <c r="S319" i="122"/>
  <c r="R319" i="122"/>
  <c r="S318" i="122"/>
  <c r="R318" i="122"/>
  <c r="S317" i="122"/>
  <c r="R317" i="122"/>
  <c r="S316" i="122"/>
  <c r="R316" i="122"/>
  <c r="S315" i="122"/>
  <c r="R315" i="122"/>
  <c r="S314" i="122"/>
  <c r="R314" i="122"/>
  <c r="S313" i="122"/>
  <c r="R313" i="122"/>
  <c r="S312" i="122"/>
  <c r="R312" i="122"/>
  <c r="S311" i="122"/>
  <c r="R311" i="122"/>
  <c r="S310" i="122"/>
  <c r="R310" i="122"/>
  <c r="S309" i="122"/>
  <c r="R309" i="122"/>
  <c r="S308" i="122"/>
  <c r="R308" i="122"/>
  <c r="S305" i="122"/>
  <c r="R305" i="122"/>
  <c r="S304" i="122"/>
  <c r="R304" i="122"/>
  <c r="S303" i="122"/>
  <c r="R303" i="122"/>
  <c r="S302" i="122"/>
  <c r="R302" i="122"/>
  <c r="S301" i="122"/>
  <c r="R301" i="122"/>
  <c r="S300" i="122"/>
  <c r="R300" i="122"/>
  <c r="S299" i="122"/>
  <c r="R299" i="122"/>
  <c r="S298" i="122"/>
  <c r="R298" i="122"/>
  <c r="S297" i="122"/>
  <c r="R297" i="122"/>
  <c r="S296" i="122"/>
  <c r="R296" i="122"/>
  <c r="S295" i="122"/>
  <c r="R295" i="122"/>
  <c r="S294" i="122"/>
  <c r="R294" i="122"/>
  <c r="S293" i="122"/>
  <c r="R293" i="122"/>
  <c r="S292" i="122"/>
  <c r="R292" i="122"/>
  <c r="S291" i="122"/>
  <c r="R291" i="122"/>
  <c r="S290" i="122"/>
  <c r="R290" i="122"/>
  <c r="S289" i="122"/>
  <c r="R289" i="122"/>
  <c r="S288" i="122"/>
  <c r="R288" i="122"/>
  <c r="S287" i="122"/>
  <c r="R287" i="122"/>
  <c r="S286" i="122"/>
  <c r="R286" i="122"/>
  <c r="S285" i="122"/>
  <c r="R285" i="122"/>
  <c r="S275" i="122"/>
  <c r="R275" i="122"/>
  <c r="S274" i="122"/>
  <c r="R274" i="122"/>
  <c r="S273" i="122"/>
  <c r="R273" i="122"/>
  <c r="S272" i="122"/>
  <c r="R272" i="122"/>
  <c r="S271" i="122"/>
  <c r="R271" i="122"/>
  <c r="S270" i="122"/>
  <c r="R270" i="122"/>
  <c r="S269" i="122"/>
  <c r="R269" i="122"/>
  <c r="S268" i="122"/>
  <c r="R268" i="122"/>
  <c r="S267" i="122"/>
  <c r="R267" i="122"/>
  <c r="S266" i="122"/>
  <c r="R266" i="122"/>
  <c r="S265" i="122"/>
  <c r="R265" i="122"/>
  <c r="S264" i="122"/>
  <c r="R264" i="122"/>
  <c r="S263" i="122"/>
  <c r="R263" i="122"/>
  <c r="S238" i="122"/>
  <c r="R238" i="122"/>
  <c r="S237" i="122"/>
  <c r="R237" i="122"/>
  <c r="S236" i="122"/>
  <c r="R236" i="122"/>
  <c r="S235" i="122"/>
  <c r="R235" i="122"/>
  <c r="S234" i="122"/>
  <c r="R234" i="122"/>
  <c r="S233" i="122"/>
  <c r="R233" i="122"/>
  <c r="S232" i="122"/>
  <c r="R232" i="122"/>
  <c r="S231" i="122"/>
  <c r="R231" i="122"/>
  <c r="S230" i="122"/>
  <c r="R230" i="122"/>
  <c r="S229" i="122"/>
  <c r="R229" i="122"/>
  <c r="S228" i="122"/>
  <c r="R228" i="122"/>
  <c r="S227" i="122"/>
  <c r="R227" i="122"/>
  <c r="S226" i="122"/>
  <c r="R226" i="122"/>
  <c r="S209" i="122"/>
  <c r="R209" i="122"/>
  <c r="S208" i="122"/>
  <c r="R208" i="122"/>
  <c r="S207" i="122"/>
  <c r="R207" i="122"/>
  <c r="S203" i="122"/>
  <c r="R203" i="122"/>
  <c r="S202" i="122"/>
  <c r="R202" i="122"/>
  <c r="S201" i="122"/>
  <c r="R201" i="122"/>
  <c r="S200" i="122"/>
  <c r="R200" i="122"/>
  <c r="S199" i="122"/>
  <c r="R199" i="122"/>
  <c r="S198" i="122"/>
  <c r="R198" i="122"/>
  <c r="S197" i="122"/>
  <c r="R197" i="122"/>
  <c r="S196" i="122"/>
  <c r="R196" i="122"/>
  <c r="S195" i="122"/>
  <c r="R195" i="122"/>
  <c r="S194" i="122"/>
  <c r="R194" i="122"/>
  <c r="S193" i="122"/>
  <c r="R193" i="122"/>
  <c r="S192" i="122"/>
  <c r="R192" i="122"/>
  <c r="S191" i="122"/>
  <c r="R191" i="122"/>
  <c r="S166" i="122"/>
  <c r="R166" i="122"/>
  <c r="S153" i="122"/>
  <c r="R153" i="122"/>
  <c r="S152" i="122"/>
  <c r="R152" i="122"/>
  <c r="S151" i="122"/>
  <c r="R151" i="122"/>
  <c r="S150" i="122"/>
  <c r="R150" i="122"/>
  <c r="S149" i="122"/>
  <c r="R149" i="122"/>
  <c r="S148" i="122"/>
  <c r="R148" i="122"/>
  <c r="S147" i="122"/>
  <c r="R147" i="122"/>
  <c r="S146" i="122"/>
  <c r="R146" i="122"/>
  <c r="S145" i="122"/>
  <c r="R145" i="122"/>
  <c r="S144" i="122"/>
  <c r="R144" i="122"/>
  <c r="S143" i="122"/>
  <c r="R143" i="122"/>
  <c r="S142" i="122"/>
  <c r="R142" i="122"/>
  <c r="S117" i="122"/>
  <c r="R117" i="122"/>
  <c r="S116" i="122"/>
  <c r="R116" i="122"/>
  <c r="S115" i="122"/>
  <c r="R115" i="122"/>
  <c r="S114" i="122"/>
  <c r="R114" i="122"/>
  <c r="S113" i="122"/>
  <c r="R113" i="122"/>
  <c r="S112" i="122"/>
  <c r="R112" i="122"/>
  <c r="S111" i="122"/>
  <c r="R111" i="122"/>
  <c r="S110" i="122"/>
  <c r="R110" i="122"/>
  <c r="S109" i="122"/>
  <c r="R109" i="122"/>
  <c r="S108" i="122"/>
  <c r="R108" i="122"/>
  <c r="S107" i="122"/>
  <c r="R107" i="122"/>
  <c r="S106" i="122"/>
  <c r="R106" i="122"/>
  <c r="S105" i="122"/>
  <c r="R105" i="122"/>
  <c r="S104" i="122"/>
  <c r="R104" i="122"/>
  <c r="S103" i="122"/>
  <c r="R103" i="122"/>
  <c r="S102" i="122"/>
  <c r="R102" i="122"/>
  <c r="S101" i="122"/>
  <c r="R101" i="122"/>
  <c r="S100" i="122"/>
  <c r="R100" i="122"/>
  <c r="S99" i="122"/>
  <c r="R99" i="122"/>
  <c r="S98" i="122"/>
  <c r="R98" i="122"/>
  <c r="S97" i="122"/>
  <c r="R97" i="122"/>
  <c r="S96" i="122"/>
  <c r="R96" i="122"/>
  <c r="S95" i="122"/>
  <c r="R95" i="122"/>
  <c r="S94" i="122"/>
  <c r="R94" i="122"/>
  <c r="S93" i="122"/>
  <c r="R93" i="122"/>
  <c r="S92" i="122"/>
  <c r="R92" i="122"/>
  <c r="S91" i="122"/>
  <c r="R91" i="122"/>
  <c r="S90" i="122"/>
  <c r="R90" i="122"/>
  <c r="S89" i="122"/>
  <c r="R89" i="122"/>
  <c r="S88" i="122"/>
  <c r="R88" i="122"/>
  <c r="S87" i="122"/>
  <c r="R87" i="122"/>
  <c r="S86" i="122"/>
  <c r="R86" i="122"/>
  <c r="S85" i="122"/>
  <c r="R85" i="122"/>
  <c r="S84" i="122"/>
  <c r="R84" i="122"/>
  <c r="S83" i="122"/>
  <c r="R83" i="122"/>
  <c r="S82" i="122"/>
  <c r="R82" i="122"/>
  <c r="S81" i="122"/>
  <c r="R81" i="122"/>
  <c r="S80" i="122"/>
  <c r="R80" i="122"/>
  <c r="S67" i="122"/>
  <c r="R67" i="122"/>
  <c r="S66" i="122"/>
  <c r="R66" i="122"/>
  <c r="S65" i="122"/>
  <c r="R65" i="122"/>
  <c r="S58" i="122"/>
  <c r="R58" i="122"/>
  <c r="S57" i="122"/>
  <c r="R57" i="122"/>
  <c r="S56" i="122"/>
  <c r="R56" i="122"/>
  <c r="S55" i="122"/>
  <c r="R55" i="122"/>
  <c r="S54" i="122"/>
  <c r="R54" i="122"/>
  <c r="S53" i="122"/>
  <c r="R53" i="122"/>
  <c r="S52" i="122"/>
  <c r="R52" i="122"/>
  <c r="S51" i="122"/>
  <c r="R51" i="122"/>
  <c r="S50" i="122"/>
  <c r="R50" i="122"/>
  <c r="S49" i="122"/>
  <c r="R49" i="122"/>
  <c r="S48" i="122"/>
  <c r="R48" i="122"/>
  <c r="S47" i="122"/>
  <c r="R47" i="122"/>
  <c r="S46" i="122"/>
  <c r="R46" i="122"/>
  <c r="S39" i="122"/>
  <c r="R39" i="122"/>
  <c r="S38" i="122"/>
  <c r="R38" i="122"/>
  <c r="S37" i="122"/>
  <c r="R37" i="122"/>
  <c r="S36" i="122"/>
  <c r="R36" i="122"/>
  <c r="S35" i="122"/>
  <c r="R35" i="122"/>
  <c r="S34" i="122"/>
  <c r="R34" i="122"/>
  <c r="S33" i="122"/>
  <c r="R33" i="122"/>
  <c r="S32" i="122"/>
  <c r="R32" i="122"/>
  <c r="S31" i="122"/>
  <c r="R31" i="122"/>
  <c r="S30" i="122"/>
  <c r="R30" i="122"/>
  <c r="S29" i="122"/>
  <c r="R29" i="122"/>
  <c r="S28" i="122"/>
  <c r="R28" i="122"/>
  <c r="S27" i="122"/>
  <c r="R27" i="122"/>
  <c r="S26" i="122"/>
  <c r="R26" i="122"/>
  <c r="S25" i="122"/>
  <c r="R25" i="122"/>
  <c r="S24" i="122"/>
  <c r="R24" i="122"/>
  <c r="S23" i="122"/>
  <c r="R23" i="122"/>
  <c r="S22" i="122"/>
  <c r="R22" i="122"/>
  <c r="S21" i="122"/>
  <c r="R21" i="122"/>
  <c r="S20" i="122"/>
  <c r="R20" i="122"/>
  <c r="S19" i="122"/>
  <c r="R19" i="122"/>
  <c r="S18" i="122"/>
  <c r="R18" i="122"/>
  <c r="S17" i="122"/>
  <c r="R17" i="122"/>
  <c r="S16" i="122"/>
  <c r="R16" i="122"/>
  <c r="S15" i="122"/>
  <c r="R15" i="122"/>
  <c r="S14" i="122"/>
  <c r="R14" i="122"/>
  <c r="S13" i="122"/>
  <c r="R13" i="122"/>
  <c r="S12" i="122"/>
  <c r="R12" i="122"/>
  <c r="S11" i="122"/>
  <c r="R11" i="122"/>
  <c r="S10" i="122"/>
  <c r="R10" i="122"/>
  <c r="S9" i="122"/>
  <c r="R9" i="122"/>
  <c r="S8" i="122"/>
  <c r="R8" i="122"/>
  <c r="S7" i="122"/>
  <c r="R7" i="122"/>
  <c r="S6" i="122"/>
  <c r="R6" i="122"/>
  <c r="S5" i="122"/>
  <c r="R5" i="122"/>
  <c r="S4" i="122"/>
  <c r="R4" i="122"/>
  <c r="S3" i="122"/>
  <c r="R3" i="122"/>
  <c r="S332" i="120"/>
  <c r="R332" i="120"/>
  <c r="S331" i="120"/>
  <c r="R331" i="120"/>
  <c r="S330" i="120"/>
  <c r="R330" i="120"/>
  <c r="S329" i="120"/>
  <c r="R329" i="120"/>
  <c r="S328" i="120"/>
  <c r="R328" i="120"/>
  <c r="S327" i="120"/>
  <c r="R327" i="120"/>
  <c r="S326" i="120"/>
  <c r="R326" i="120"/>
  <c r="S325" i="120"/>
  <c r="R325" i="120"/>
  <c r="S324" i="120"/>
  <c r="R324" i="120"/>
  <c r="S323" i="120"/>
  <c r="R323" i="120"/>
  <c r="S322" i="120"/>
  <c r="R322" i="120"/>
  <c r="S321" i="120"/>
  <c r="R321" i="120"/>
  <c r="S320" i="120"/>
  <c r="R320" i="120"/>
  <c r="S319" i="120"/>
  <c r="R319" i="120"/>
  <c r="S318" i="120"/>
  <c r="R318" i="120"/>
  <c r="S317" i="120"/>
  <c r="R317" i="120"/>
  <c r="S316" i="120"/>
  <c r="R316" i="120"/>
  <c r="S315" i="120"/>
  <c r="R315" i="120"/>
  <c r="S314" i="120"/>
  <c r="R314" i="120"/>
  <c r="S313" i="120"/>
  <c r="R313" i="120"/>
  <c r="S312" i="120"/>
  <c r="R312" i="120"/>
  <c r="S311" i="120"/>
  <c r="R311" i="120"/>
  <c r="S310" i="120"/>
  <c r="R310" i="120"/>
  <c r="S309" i="120"/>
  <c r="R309" i="120"/>
  <c r="S308" i="120"/>
  <c r="R308" i="120"/>
  <c r="S305" i="120"/>
  <c r="R305" i="120"/>
  <c r="S304" i="120"/>
  <c r="R304" i="120"/>
  <c r="S303" i="120"/>
  <c r="R303" i="120"/>
  <c r="S302" i="120"/>
  <c r="R302" i="120"/>
  <c r="S301" i="120"/>
  <c r="R301" i="120"/>
  <c r="S300" i="120"/>
  <c r="R300" i="120"/>
  <c r="S299" i="120"/>
  <c r="R299" i="120"/>
  <c r="S298" i="120"/>
  <c r="R298" i="120"/>
  <c r="S297" i="120"/>
  <c r="R297" i="120"/>
  <c r="S296" i="120"/>
  <c r="R296" i="120"/>
  <c r="S295" i="120"/>
  <c r="R295" i="120"/>
  <c r="S294" i="120"/>
  <c r="R294" i="120"/>
  <c r="S293" i="120"/>
  <c r="R293" i="120"/>
  <c r="S292" i="120"/>
  <c r="R292" i="120"/>
  <c r="S291" i="120"/>
  <c r="R291" i="120"/>
  <c r="S290" i="120"/>
  <c r="R290" i="120"/>
  <c r="S289" i="120"/>
  <c r="R289" i="120"/>
  <c r="S288" i="120"/>
  <c r="R288" i="120"/>
  <c r="S287" i="120"/>
  <c r="R287" i="120"/>
  <c r="S286" i="120"/>
  <c r="R286" i="120"/>
  <c r="S285" i="120"/>
  <c r="R285" i="120"/>
  <c r="S275" i="120"/>
  <c r="R275" i="120"/>
  <c r="S274" i="120"/>
  <c r="R274" i="120"/>
  <c r="S273" i="120"/>
  <c r="R273" i="120"/>
  <c r="S272" i="120"/>
  <c r="R272" i="120"/>
  <c r="S271" i="120"/>
  <c r="R271" i="120"/>
  <c r="S270" i="120"/>
  <c r="R270" i="120"/>
  <c r="S269" i="120"/>
  <c r="R269" i="120"/>
  <c r="S268" i="120"/>
  <c r="R268" i="120"/>
  <c r="S267" i="120"/>
  <c r="R267" i="120"/>
  <c r="S266" i="120"/>
  <c r="R266" i="120"/>
  <c r="S265" i="120"/>
  <c r="R265" i="120"/>
  <c r="S264" i="120"/>
  <c r="R264" i="120"/>
  <c r="S263" i="120"/>
  <c r="R263" i="120"/>
  <c r="S238" i="120"/>
  <c r="R238" i="120"/>
  <c r="S237" i="120"/>
  <c r="R237" i="120"/>
  <c r="S236" i="120"/>
  <c r="R236" i="120"/>
  <c r="S235" i="120"/>
  <c r="R235" i="120"/>
  <c r="S234" i="120"/>
  <c r="R234" i="120"/>
  <c r="S233" i="120"/>
  <c r="R233" i="120"/>
  <c r="S232" i="120"/>
  <c r="R232" i="120"/>
  <c r="S231" i="120"/>
  <c r="R231" i="120"/>
  <c r="S230" i="120"/>
  <c r="R230" i="120"/>
  <c r="S229" i="120"/>
  <c r="R229" i="120"/>
  <c r="S228" i="120"/>
  <c r="R228" i="120"/>
  <c r="S227" i="120"/>
  <c r="R227" i="120"/>
  <c r="S226" i="120"/>
  <c r="R226" i="120"/>
  <c r="S209" i="120"/>
  <c r="R209" i="120"/>
  <c r="S208" i="120"/>
  <c r="R208" i="120"/>
  <c r="S207" i="120"/>
  <c r="R207" i="120"/>
  <c r="S203" i="120"/>
  <c r="R203" i="120"/>
  <c r="S202" i="120"/>
  <c r="R202" i="120"/>
  <c r="S201" i="120"/>
  <c r="R201" i="120"/>
  <c r="S200" i="120"/>
  <c r="R200" i="120"/>
  <c r="S199" i="120"/>
  <c r="R199" i="120"/>
  <c r="S198" i="120"/>
  <c r="R198" i="120"/>
  <c r="S197" i="120"/>
  <c r="R197" i="120"/>
  <c r="S196" i="120"/>
  <c r="R196" i="120"/>
  <c r="S195" i="120"/>
  <c r="R195" i="120"/>
  <c r="S194" i="120"/>
  <c r="R194" i="120"/>
  <c r="S193" i="120"/>
  <c r="R193" i="120"/>
  <c r="S192" i="120"/>
  <c r="R192" i="120"/>
  <c r="S191" i="120"/>
  <c r="R191" i="120"/>
  <c r="S166" i="120"/>
  <c r="R166" i="120"/>
  <c r="S153" i="120"/>
  <c r="R153" i="120"/>
  <c r="S152" i="120"/>
  <c r="R152" i="120"/>
  <c r="S151" i="120"/>
  <c r="R151" i="120"/>
  <c r="S150" i="120"/>
  <c r="R150" i="120"/>
  <c r="S149" i="120"/>
  <c r="R149" i="120"/>
  <c r="S148" i="120"/>
  <c r="R148" i="120"/>
  <c r="S147" i="120"/>
  <c r="R147" i="120"/>
  <c r="S146" i="120"/>
  <c r="R146" i="120"/>
  <c r="S145" i="120"/>
  <c r="R145" i="120"/>
  <c r="S144" i="120"/>
  <c r="R144" i="120"/>
  <c r="S143" i="120"/>
  <c r="R143" i="120"/>
  <c r="S142" i="120"/>
  <c r="R142" i="120"/>
  <c r="S117" i="120"/>
  <c r="R117" i="120"/>
  <c r="S116" i="120"/>
  <c r="R116" i="120"/>
  <c r="S115" i="120"/>
  <c r="R115" i="120"/>
  <c r="S114" i="120"/>
  <c r="R114" i="120"/>
  <c r="S113" i="120"/>
  <c r="R113" i="120"/>
  <c r="S112" i="120"/>
  <c r="R112" i="120"/>
  <c r="S111" i="120"/>
  <c r="R111" i="120"/>
  <c r="S110" i="120"/>
  <c r="R110" i="120"/>
  <c r="S109" i="120"/>
  <c r="R109" i="120"/>
  <c r="S108" i="120"/>
  <c r="R108" i="120"/>
  <c r="S107" i="120"/>
  <c r="R107" i="120"/>
  <c r="S106" i="120"/>
  <c r="R106" i="120"/>
  <c r="S105" i="120"/>
  <c r="R105" i="120"/>
  <c r="S104" i="120"/>
  <c r="R104" i="120"/>
  <c r="S103" i="120"/>
  <c r="R103" i="120"/>
  <c r="S102" i="120"/>
  <c r="R102" i="120"/>
  <c r="S101" i="120"/>
  <c r="R101" i="120"/>
  <c r="S100" i="120"/>
  <c r="R100" i="120"/>
  <c r="S99" i="120"/>
  <c r="R99" i="120"/>
  <c r="S98" i="120"/>
  <c r="R98" i="120"/>
  <c r="S97" i="120"/>
  <c r="R97" i="120"/>
  <c r="S96" i="120"/>
  <c r="R96" i="120"/>
  <c r="S95" i="120"/>
  <c r="R95" i="120"/>
  <c r="S94" i="120"/>
  <c r="R94" i="120"/>
  <c r="S93" i="120"/>
  <c r="R93" i="120"/>
  <c r="S92" i="120"/>
  <c r="R92" i="120"/>
  <c r="S91" i="120"/>
  <c r="R91" i="120"/>
  <c r="S90" i="120"/>
  <c r="R90" i="120"/>
  <c r="S89" i="120"/>
  <c r="R89" i="120"/>
  <c r="S88" i="120"/>
  <c r="R88" i="120"/>
  <c r="S87" i="120"/>
  <c r="R87" i="120"/>
  <c r="S86" i="120"/>
  <c r="R86" i="120"/>
  <c r="S85" i="120"/>
  <c r="R85" i="120"/>
  <c r="S84" i="120"/>
  <c r="R84" i="120"/>
  <c r="S83" i="120"/>
  <c r="R83" i="120"/>
  <c r="S82" i="120"/>
  <c r="R82" i="120"/>
  <c r="S81" i="120"/>
  <c r="R81" i="120"/>
  <c r="S80" i="120"/>
  <c r="R80" i="120"/>
  <c r="S67" i="120"/>
  <c r="R67" i="120"/>
  <c r="S66" i="120"/>
  <c r="R66" i="120"/>
  <c r="S65" i="120"/>
  <c r="R65" i="120"/>
  <c r="S58" i="120"/>
  <c r="R58" i="120"/>
  <c r="S57" i="120"/>
  <c r="R57" i="120"/>
  <c r="S56" i="120"/>
  <c r="R56" i="120"/>
  <c r="S55" i="120"/>
  <c r="R55" i="120"/>
  <c r="S54" i="120"/>
  <c r="R54" i="120"/>
  <c r="S53" i="120"/>
  <c r="R53" i="120"/>
  <c r="S52" i="120"/>
  <c r="R52" i="120"/>
  <c r="S51" i="120"/>
  <c r="R51" i="120"/>
  <c r="S50" i="120"/>
  <c r="R50" i="120"/>
  <c r="S49" i="120"/>
  <c r="R49" i="120"/>
  <c r="S48" i="120"/>
  <c r="R48" i="120"/>
  <c r="S47" i="120"/>
  <c r="R47" i="120"/>
  <c r="S46" i="120"/>
  <c r="R46" i="120"/>
  <c r="S39" i="120"/>
  <c r="R39" i="120"/>
  <c r="S38" i="120"/>
  <c r="R38" i="120"/>
  <c r="S37" i="120"/>
  <c r="R37" i="120"/>
  <c r="S36" i="120"/>
  <c r="R36" i="120"/>
  <c r="S35" i="120"/>
  <c r="R35" i="120"/>
  <c r="S34" i="120"/>
  <c r="R34" i="120"/>
  <c r="S33" i="120"/>
  <c r="R33" i="120"/>
  <c r="S32" i="120"/>
  <c r="R32" i="120"/>
  <c r="S31" i="120"/>
  <c r="R31" i="120"/>
  <c r="S30" i="120"/>
  <c r="R30" i="120"/>
  <c r="S29" i="120"/>
  <c r="R29" i="120"/>
  <c r="S28" i="120"/>
  <c r="R28" i="120"/>
  <c r="S27" i="120"/>
  <c r="R27" i="120"/>
  <c r="S26" i="120"/>
  <c r="R26" i="120"/>
  <c r="S25" i="120"/>
  <c r="R25" i="120"/>
  <c r="S24" i="120"/>
  <c r="R24" i="120"/>
  <c r="S23" i="120"/>
  <c r="R23" i="120"/>
  <c r="S22" i="120"/>
  <c r="R22" i="120"/>
  <c r="S21" i="120"/>
  <c r="R21" i="120"/>
  <c r="S20" i="120"/>
  <c r="R20" i="120"/>
  <c r="S19" i="120"/>
  <c r="R19" i="120"/>
  <c r="S18" i="120"/>
  <c r="R18" i="120"/>
  <c r="S17" i="120"/>
  <c r="R17" i="120"/>
  <c r="S16" i="120"/>
  <c r="R16" i="120"/>
  <c r="S15" i="120"/>
  <c r="R15" i="120"/>
  <c r="S14" i="120"/>
  <c r="R14" i="120"/>
  <c r="S13" i="120"/>
  <c r="R13" i="120"/>
  <c r="S12" i="120"/>
  <c r="R12" i="120"/>
  <c r="S11" i="120"/>
  <c r="R11" i="120"/>
  <c r="S10" i="120"/>
  <c r="R10" i="120"/>
  <c r="S9" i="120"/>
  <c r="R9" i="120"/>
  <c r="S8" i="120"/>
  <c r="R8" i="120"/>
  <c r="S7" i="120"/>
  <c r="R7" i="120"/>
  <c r="S6" i="120"/>
  <c r="R6" i="120"/>
  <c r="S5" i="120"/>
  <c r="R5" i="120"/>
  <c r="S4" i="120"/>
  <c r="R4" i="120"/>
  <c r="S3" i="120"/>
  <c r="R3" i="120"/>
  <c r="S332" i="123"/>
  <c r="S331" i="123"/>
  <c r="S330" i="123"/>
  <c r="S329" i="123"/>
  <c r="S328" i="123"/>
  <c r="S327" i="123"/>
  <c r="S326" i="123"/>
  <c r="S325" i="123"/>
  <c r="S324" i="123"/>
  <c r="S323" i="123"/>
  <c r="S322" i="123"/>
  <c r="S321" i="123"/>
  <c r="S320" i="123"/>
  <c r="S319" i="123"/>
  <c r="S318" i="123"/>
  <c r="S317" i="123"/>
  <c r="S316" i="123"/>
  <c r="S315" i="123"/>
  <c r="S314" i="123"/>
  <c r="S313" i="123"/>
  <c r="S312" i="123"/>
  <c r="S311" i="123"/>
  <c r="S310" i="123"/>
  <c r="S309" i="123"/>
  <c r="S308" i="123"/>
  <c r="S305" i="123"/>
  <c r="S304" i="123"/>
  <c r="S303" i="123"/>
  <c r="S302" i="123"/>
  <c r="S301" i="123"/>
  <c r="S300" i="123"/>
  <c r="S299" i="123"/>
  <c r="S298" i="123"/>
  <c r="S297" i="123"/>
  <c r="S296" i="123"/>
  <c r="S295" i="123"/>
  <c r="S294" i="123"/>
  <c r="S293" i="123"/>
  <c r="S292" i="123"/>
  <c r="S291" i="123"/>
  <c r="S290" i="123"/>
  <c r="S289" i="123"/>
  <c r="S288" i="123"/>
  <c r="S287" i="123"/>
  <c r="S286" i="123"/>
  <c r="S285" i="123"/>
  <c r="S275" i="123"/>
  <c r="S274" i="123"/>
  <c r="S273" i="123"/>
  <c r="S272" i="123"/>
  <c r="S271" i="123"/>
  <c r="S270" i="123"/>
  <c r="S269" i="123"/>
  <c r="S268" i="123"/>
  <c r="S267" i="123"/>
  <c r="S266" i="123"/>
  <c r="S265" i="123"/>
  <c r="S264" i="123"/>
  <c r="S263" i="123"/>
  <c r="S238" i="123"/>
  <c r="S237" i="123"/>
  <c r="S236" i="123"/>
  <c r="S235" i="123"/>
  <c r="S234" i="123"/>
  <c r="S233" i="123"/>
  <c r="S232" i="123"/>
  <c r="S231" i="123"/>
  <c r="S230" i="123"/>
  <c r="S229" i="123"/>
  <c r="S228" i="123"/>
  <c r="S227" i="123"/>
  <c r="S226" i="123"/>
  <c r="S209" i="123"/>
  <c r="S208" i="123"/>
  <c r="S207" i="123"/>
  <c r="S203" i="123"/>
  <c r="S202" i="123"/>
  <c r="S201" i="123"/>
  <c r="S200" i="123"/>
  <c r="S199" i="123"/>
  <c r="S198" i="123"/>
  <c r="S197" i="123"/>
  <c r="S196" i="123"/>
  <c r="S195" i="123"/>
  <c r="S194" i="123"/>
  <c r="S193" i="123"/>
  <c r="S192" i="123"/>
  <c r="S191" i="123"/>
  <c r="S166" i="123"/>
  <c r="S153" i="123"/>
  <c r="S152" i="123"/>
  <c r="S151" i="123"/>
  <c r="S150" i="123"/>
  <c r="S149" i="123"/>
  <c r="S148" i="123"/>
  <c r="S147" i="123"/>
  <c r="S146" i="123"/>
  <c r="S145" i="123"/>
  <c r="S144" i="123"/>
  <c r="S143" i="123"/>
  <c r="S142" i="123"/>
  <c r="S117" i="123"/>
  <c r="S116" i="123"/>
  <c r="S115" i="123"/>
  <c r="S114" i="123"/>
  <c r="S113" i="123"/>
  <c r="S112" i="123"/>
  <c r="S111" i="123"/>
  <c r="S110" i="123"/>
  <c r="S109" i="123"/>
  <c r="S108" i="123"/>
  <c r="S107" i="123"/>
  <c r="S106" i="123"/>
  <c r="S105" i="123"/>
  <c r="S104" i="123"/>
  <c r="S103" i="123"/>
  <c r="S102" i="123"/>
  <c r="S101" i="123"/>
  <c r="S100" i="123"/>
  <c r="S99" i="123"/>
  <c r="S98" i="123"/>
  <c r="S97" i="123"/>
  <c r="S96" i="123"/>
  <c r="S95" i="123"/>
  <c r="S94" i="123"/>
  <c r="S93" i="123"/>
  <c r="S92" i="123"/>
  <c r="S91" i="123"/>
  <c r="S90" i="123"/>
  <c r="S89" i="123"/>
  <c r="S88" i="123"/>
  <c r="S87" i="123"/>
  <c r="S86" i="123"/>
  <c r="S85" i="123"/>
  <c r="S84" i="123"/>
  <c r="S83" i="123"/>
  <c r="S82" i="123"/>
  <c r="S81" i="123"/>
  <c r="S80" i="123"/>
  <c r="S67" i="123"/>
  <c r="S66" i="123"/>
  <c r="S65" i="123"/>
  <c r="S58" i="123"/>
  <c r="S57" i="123"/>
  <c r="S56" i="123"/>
  <c r="S55" i="123"/>
  <c r="S54" i="123"/>
  <c r="S53" i="123"/>
  <c r="S52" i="123"/>
  <c r="S51" i="123"/>
  <c r="S50" i="123"/>
  <c r="S49" i="123"/>
  <c r="S48" i="123"/>
  <c r="S47" i="123"/>
  <c r="S46" i="123"/>
  <c r="S39" i="123"/>
  <c r="S38" i="123"/>
  <c r="S37" i="123"/>
  <c r="S36" i="123"/>
  <c r="S35" i="123"/>
  <c r="S34" i="123"/>
  <c r="S33" i="123"/>
  <c r="S32" i="123"/>
  <c r="S31" i="123"/>
  <c r="S30" i="123"/>
  <c r="S29" i="123"/>
  <c r="S28" i="123"/>
  <c r="S27" i="123"/>
  <c r="S26" i="123"/>
  <c r="S25" i="123"/>
  <c r="S24" i="123"/>
  <c r="S23" i="123"/>
  <c r="S22" i="123"/>
  <c r="S21" i="123"/>
  <c r="S20" i="123"/>
  <c r="S19" i="123"/>
  <c r="S18" i="123"/>
  <c r="S17" i="123"/>
  <c r="S16" i="123"/>
  <c r="S15" i="123"/>
  <c r="S14" i="123"/>
  <c r="S13" i="123"/>
  <c r="S12" i="123"/>
  <c r="S11" i="123"/>
  <c r="S10" i="123"/>
  <c r="S9" i="123"/>
  <c r="S8" i="123"/>
  <c r="S7" i="123"/>
  <c r="S6" i="123"/>
  <c r="S5" i="123"/>
  <c r="S4" i="123"/>
  <c r="S3" i="123"/>
  <c r="R316" i="123"/>
  <c r="R315" i="123"/>
  <c r="R314" i="123"/>
  <c r="R313" i="123"/>
  <c r="R312" i="123"/>
  <c r="R311" i="123"/>
  <c r="R310" i="123"/>
  <c r="R309" i="123"/>
  <c r="R308" i="123"/>
  <c r="R305" i="123"/>
  <c r="R304" i="123"/>
  <c r="R303" i="123"/>
  <c r="R302" i="123"/>
  <c r="R301" i="123"/>
  <c r="R300" i="123"/>
  <c r="R299" i="123"/>
  <c r="R298" i="123"/>
  <c r="R297" i="123"/>
  <c r="R296" i="123"/>
  <c r="R295" i="123"/>
  <c r="R294" i="123"/>
  <c r="R293" i="123"/>
  <c r="R292" i="123"/>
  <c r="R291" i="123"/>
  <c r="R290" i="123"/>
  <c r="R289" i="123"/>
  <c r="R288" i="123"/>
  <c r="R287" i="123"/>
  <c r="R286" i="123"/>
  <c r="R285" i="123"/>
  <c r="R275" i="123"/>
  <c r="R274" i="123"/>
  <c r="R273" i="123"/>
  <c r="R272" i="123"/>
  <c r="R271" i="123"/>
  <c r="R270" i="123"/>
  <c r="R269" i="123"/>
  <c r="R268" i="123"/>
  <c r="R267" i="123"/>
  <c r="R266" i="123"/>
  <c r="R265" i="123"/>
  <c r="R264" i="123"/>
  <c r="R263" i="123"/>
  <c r="R238" i="123"/>
  <c r="R237" i="123"/>
  <c r="R236" i="123"/>
  <c r="R235" i="123"/>
  <c r="R234" i="123"/>
  <c r="R233" i="123"/>
  <c r="R232" i="123"/>
  <c r="R231" i="123"/>
  <c r="R230" i="123"/>
  <c r="R229" i="123"/>
  <c r="R228" i="123"/>
  <c r="R227" i="123"/>
  <c r="R226" i="123"/>
  <c r="R209" i="123"/>
  <c r="R208" i="123"/>
  <c r="R207" i="123"/>
  <c r="R203" i="123"/>
  <c r="R202" i="123"/>
  <c r="R201" i="123"/>
  <c r="R200" i="123"/>
  <c r="R199" i="123"/>
  <c r="R198" i="123"/>
  <c r="R197" i="123"/>
  <c r="R196" i="123"/>
  <c r="R195" i="123"/>
  <c r="R194" i="123"/>
  <c r="R193" i="123"/>
  <c r="R192" i="123"/>
  <c r="R191" i="123"/>
  <c r="R166" i="123"/>
  <c r="R153" i="123"/>
  <c r="R152" i="123"/>
  <c r="R151" i="123"/>
  <c r="R150" i="123"/>
  <c r="R149" i="123"/>
  <c r="R148" i="123"/>
  <c r="R147" i="123"/>
  <c r="R146" i="123"/>
  <c r="R145" i="123"/>
  <c r="R144" i="123"/>
  <c r="R143" i="123"/>
  <c r="R142" i="123"/>
  <c r="R117" i="123"/>
  <c r="R116" i="123"/>
  <c r="R115" i="123"/>
  <c r="R114" i="123"/>
  <c r="R113" i="123"/>
  <c r="R112" i="123"/>
  <c r="R111" i="123"/>
  <c r="R110" i="123"/>
  <c r="R109" i="123"/>
  <c r="R108" i="123"/>
  <c r="R107" i="123"/>
  <c r="R106" i="123"/>
  <c r="R105" i="123"/>
  <c r="R104" i="123"/>
  <c r="R103" i="123"/>
  <c r="R102" i="123"/>
  <c r="R101" i="123"/>
  <c r="R100" i="123"/>
  <c r="R99" i="123"/>
  <c r="R98" i="123"/>
  <c r="R97" i="123"/>
  <c r="R96" i="123"/>
  <c r="R95" i="123"/>
  <c r="R94" i="123"/>
  <c r="R93" i="123"/>
  <c r="R92" i="123"/>
  <c r="R91" i="123"/>
  <c r="R90" i="123"/>
  <c r="R89" i="123"/>
  <c r="R88" i="123"/>
  <c r="R87" i="123"/>
  <c r="R86" i="123"/>
  <c r="R85" i="123"/>
  <c r="R84" i="123"/>
  <c r="R83" i="123"/>
  <c r="R82" i="123"/>
  <c r="R81" i="123"/>
  <c r="R80" i="123"/>
  <c r="R67" i="123"/>
  <c r="R66" i="123"/>
  <c r="R65" i="123"/>
  <c r="R58" i="123"/>
  <c r="R57" i="123"/>
  <c r="R56" i="123"/>
  <c r="R55" i="123"/>
  <c r="R54" i="123"/>
  <c r="R53" i="123"/>
  <c r="R52" i="123"/>
  <c r="R51" i="123"/>
  <c r="R50" i="123"/>
  <c r="R49" i="123"/>
  <c r="R48" i="123"/>
  <c r="R47" i="123"/>
  <c r="R46" i="123"/>
  <c r="R39" i="123"/>
  <c r="R38" i="123"/>
  <c r="R37" i="123"/>
  <c r="R36" i="123"/>
  <c r="R35" i="123"/>
  <c r="R34" i="123"/>
  <c r="R33" i="123"/>
  <c r="R32" i="123"/>
  <c r="R31" i="123"/>
  <c r="R30" i="123"/>
  <c r="R29" i="123"/>
  <c r="R28" i="123"/>
  <c r="R27" i="123"/>
  <c r="R26" i="123"/>
  <c r="R25" i="123"/>
  <c r="R24" i="123"/>
  <c r="R23" i="123"/>
  <c r="R22" i="123"/>
  <c r="R21" i="123"/>
  <c r="R20" i="123"/>
  <c r="R19" i="123"/>
  <c r="R18" i="123"/>
  <c r="R17" i="123"/>
  <c r="R16" i="123"/>
  <c r="R15" i="123"/>
  <c r="R14" i="123"/>
  <c r="R13" i="123"/>
  <c r="R12" i="123"/>
  <c r="R11" i="123"/>
  <c r="R10" i="123"/>
  <c r="R9" i="123"/>
  <c r="R8" i="123"/>
  <c r="R7" i="123"/>
  <c r="R6" i="123"/>
  <c r="R5" i="123"/>
  <c r="R4" i="123"/>
  <c r="R3" i="123"/>
  <c r="S332" i="117"/>
  <c r="S331" i="117"/>
  <c r="S330" i="117"/>
  <c r="S329" i="117"/>
  <c r="S328" i="117"/>
  <c r="S327" i="117"/>
  <c r="S326" i="117"/>
  <c r="S325" i="117"/>
  <c r="S324" i="117"/>
  <c r="S323" i="117"/>
  <c r="S322" i="117"/>
  <c r="S321" i="117"/>
  <c r="S320" i="117"/>
  <c r="S319" i="117"/>
  <c r="S318" i="117"/>
  <c r="S317" i="117"/>
  <c r="S316" i="117"/>
  <c r="S315" i="117"/>
  <c r="S314" i="117"/>
  <c r="S313" i="117"/>
  <c r="S312" i="117"/>
  <c r="S311" i="117"/>
  <c r="S310" i="117"/>
  <c r="S309" i="117"/>
  <c r="S308" i="117"/>
  <c r="S305" i="117"/>
  <c r="S304" i="117"/>
  <c r="S303" i="117"/>
  <c r="S302" i="117"/>
  <c r="S301" i="117"/>
  <c r="S300" i="117"/>
  <c r="S299" i="117"/>
  <c r="S298" i="117"/>
  <c r="S297" i="117"/>
  <c r="S296" i="117"/>
  <c r="S295" i="117"/>
  <c r="S294" i="117"/>
  <c r="S293" i="117"/>
  <c r="S292" i="117"/>
  <c r="S291" i="117"/>
  <c r="S290" i="117"/>
  <c r="S289" i="117"/>
  <c r="S288" i="117"/>
  <c r="S287" i="117"/>
  <c r="S286" i="117"/>
  <c r="S285" i="117"/>
  <c r="S275" i="117"/>
  <c r="S274" i="117"/>
  <c r="S273" i="117"/>
  <c r="S272" i="117"/>
  <c r="S271" i="117"/>
  <c r="S270" i="117"/>
  <c r="S269" i="117"/>
  <c r="S268" i="117"/>
  <c r="S267" i="117"/>
  <c r="S266" i="117"/>
  <c r="S265" i="117"/>
  <c r="S264" i="117"/>
  <c r="S263" i="117"/>
  <c r="S238" i="117"/>
  <c r="S237" i="117"/>
  <c r="S236" i="117"/>
  <c r="S235" i="117"/>
  <c r="S234" i="117"/>
  <c r="S233" i="117"/>
  <c r="S232" i="117"/>
  <c r="S231" i="117"/>
  <c r="S230" i="117"/>
  <c r="S229" i="117"/>
  <c r="S228" i="117"/>
  <c r="S227" i="117"/>
  <c r="S226" i="117"/>
  <c r="S209" i="117"/>
  <c r="S208" i="117"/>
  <c r="S207" i="117"/>
  <c r="S203" i="117"/>
  <c r="S202" i="117"/>
  <c r="S201" i="117"/>
  <c r="S200" i="117"/>
  <c r="S199" i="117"/>
  <c r="S198" i="117"/>
  <c r="S197" i="117"/>
  <c r="S196" i="117"/>
  <c r="S195" i="117"/>
  <c r="S194" i="117"/>
  <c r="S193" i="117"/>
  <c r="S192" i="117"/>
  <c r="S191" i="117"/>
  <c r="S166" i="117"/>
  <c r="S153" i="117"/>
  <c r="S152" i="117"/>
  <c r="S151" i="117"/>
  <c r="S150" i="117"/>
  <c r="S149" i="117"/>
  <c r="S148" i="117"/>
  <c r="S147" i="117"/>
  <c r="S146" i="117"/>
  <c r="S145" i="117"/>
  <c r="S144" i="117"/>
  <c r="S143" i="117"/>
  <c r="S142" i="117"/>
  <c r="S117" i="117"/>
  <c r="S116" i="117"/>
  <c r="S115" i="117"/>
  <c r="S114" i="117"/>
  <c r="S113" i="117"/>
  <c r="S112" i="117"/>
  <c r="S111" i="117"/>
  <c r="S110" i="117"/>
  <c r="S109" i="117"/>
  <c r="S108" i="117"/>
  <c r="S107" i="117"/>
  <c r="S106" i="117"/>
  <c r="S105" i="117"/>
  <c r="S104" i="117"/>
  <c r="S103" i="117"/>
  <c r="S102" i="117"/>
  <c r="S101" i="117"/>
  <c r="S100" i="117"/>
  <c r="S99" i="117"/>
  <c r="S98" i="117"/>
  <c r="S97" i="117"/>
  <c r="S96" i="117"/>
  <c r="S95" i="117"/>
  <c r="S94" i="117"/>
  <c r="S93" i="117"/>
  <c r="S92" i="117"/>
  <c r="S91" i="117"/>
  <c r="S90" i="117"/>
  <c r="S89" i="117"/>
  <c r="S88" i="117"/>
  <c r="S87" i="117"/>
  <c r="S86" i="117"/>
  <c r="S85" i="117"/>
  <c r="S84" i="117"/>
  <c r="S83" i="117"/>
  <c r="S82" i="117"/>
  <c r="S81" i="117"/>
  <c r="S80" i="117"/>
  <c r="S67" i="117"/>
  <c r="S66" i="117"/>
  <c r="S65" i="117"/>
  <c r="S58" i="117"/>
  <c r="S57" i="117"/>
  <c r="S56" i="117"/>
  <c r="S55" i="117"/>
  <c r="S54" i="117"/>
  <c r="S53" i="117"/>
  <c r="S52" i="117"/>
  <c r="S51" i="117"/>
  <c r="S50" i="117"/>
  <c r="S49" i="117"/>
  <c r="S48" i="117"/>
  <c r="S47" i="117"/>
  <c r="S46" i="117"/>
  <c r="S39" i="117"/>
  <c r="S38" i="117"/>
  <c r="S37" i="117"/>
  <c r="S36" i="117"/>
  <c r="S35" i="117"/>
  <c r="S34" i="117"/>
  <c r="S33" i="117"/>
  <c r="S32" i="117"/>
  <c r="S31" i="117"/>
  <c r="S30" i="117"/>
  <c r="S29" i="117"/>
  <c r="S28" i="117"/>
  <c r="S27" i="117"/>
  <c r="S26" i="117"/>
  <c r="S25" i="117"/>
  <c r="S24" i="117"/>
  <c r="S23" i="117"/>
  <c r="S22" i="117"/>
  <c r="S21" i="117"/>
  <c r="S20" i="117"/>
  <c r="S19" i="117"/>
  <c r="S18" i="117"/>
  <c r="S17" i="117"/>
  <c r="S16" i="117"/>
  <c r="S15" i="117"/>
  <c r="S14" i="117"/>
  <c r="S13" i="117"/>
  <c r="S12" i="117"/>
  <c r="S11" i="117"/>
  <c r="S10" i="117"/>
  <c r="S9" i="117"/>
  <c r="S8" i="117"/>
  <c r="S7" i="117"/>
  <c r="S6" i="117"/>
  <c r="S5" i="117"/>
  <c r="S4" i="117"/>
  <c r="S3" i="117"/>
  <c r="R316" i="117"/>
  <c r="R315" i="117"/>
  <c r="R314" i="117"/>
  <c r="R313" i="117"/>
  <c r="R312" i="117"/>
  <c r="R311" i="117"/>
  <c r="R310" i="117"/>
  <c r="R309" i="117"/>
  <c r="R308" i="117"/>
  <c r="R305" i="117"/>
  <c r="R304" i="117"/>
  <c r="R303" i="117"/>
  <c r="R302" i="117"/>
  <c r="R301" i="117"/>
  <c r="R300" i="117"/>
  <c r="R299" i="117"/>
  <c r="R298" i="117"/>
  <c r="R297" i="117"/>
  <c r="R296" i="117"/>
  <c r="R295" i="117"/>
  <c r="R294" i="117"/>
  <c r="R293" i="117"/>
  <c r="R292" i="117"/>
  <c r="R291" i="117"/>
  <c r="R290" i="117"/>
  <c r="R289" i="117"/>
  <c r="R288" i="117"/>
  <c r="R287" i="117"/>
  <c r="R286" i="117"/>
  <c r="R285" i="117"/>
  <c r="R275" i="117"/>
  <c r="R274" i="117"/>
  <c r="R273" i="117"/>
  <c r="R272" i="117"/>
  <c r="R271" i="117"/>
  <c r="R270" i="117"/>
  <c r="R269" i="117"/>
  <c r="R268" i="117"/>
  <c r="R267" i="117"/>
  <c r="R266" i="117"/>
  <c r="R265" i="117"/>
  <c r="R264" i="117"/>
  <c r="R263" i="117"/>
  <c r="R238" i="117"/>
  <c r="R237" i="117"/>
  <c r="R236" i="117"/>
  <c r="R235" i="117"/>
  <c r="R234" i="117"/>
  <c r="R233" i="117"/>
  <c r="R232" i="117"/>
  <c r="R231" i="117"/>
  <c r="R230" i="117"/>
  <c r="R229" i="117"/>
  <c r="R228" i="117"/>
  <c r="R227" i="117"/>
  <c r="R226" i="117"/>
  <c r="R209" i="117"/>
  <c r="R208" i="117"/>
  <c r="R207" i="117"/>
  <c r="R203" i="117"/>
  <c r="R202" i="117"/>
  <c r="R201" i="117"/>
  <c r="R200" i="117"/>
  <c r="R199" i="117"/>
  <c r="R198" i="117"/>
  <c r="R197" i="117"/>
  <c r="R196" i="117"/>
  <c r="R195" i="117"/>
  <c r="R194" i="117"/>
  <c r="R193" i="117"/>
  <c r="R192" i="117"/>
  <c r="R191" i="117"/>
  <c r="R166" i="117"/>
  <c r="R153" i="117"/>
  <c r="R152" i="117"/>
  <c r="R151" i="117"/>
  <c r="R150" i="117"/>
  <c r="R149" i="117"/>
  <c r="R148" i="117"/>
  <c r="R147" i="117"/>
  <c r="R146" i="117"/>
  <c r="R145" i="117"/>
  <c r="R144" i="117"/>
  <c r="R143" i="117"/>
  <c r="R142" i="117"/>
  <c r="R117" i="117"/>
  <c r="R116" i="117"/>
  <c r="R115" i="117"/>
  <c r="R114" i="117"/>
  <c r="R113" i="117"/>
  <c r="R112" i="117"/>
  <c r="R111" i="117"/>
  <c r="R110" i="117"/>
  <c r="R109" i="117"/>
  <c r="R108" i="117"/>
  <c r="R107" i="117"/>
  <c r="R106" i="117"/>
  <c r="R105" i="117"/>
  <c r="R104" i="117"/>
  <c r="R103" i="117"/>
  <c r="R102" i="117"/>
  <c r="R101" i="117"/>
  <c r="R100" i="117"/>
  <c r="R99" i="117"/>
  <c r="R98" i="117"/>
  <c r="R97" i="117"/>
  <c r="R96" i="117"/>
  <c r="R95" i="117"/>
  <c r="R94" i="117"/>
  <c r="R93" i="117"/>
  <c r="R92" i="117"/>
  <c r="R91" i="117"/>
  <c r="R90" i="117"/>
  <c r="R89" i="117"/>
  <c r="R88" i="117"/>
  <c r="R87" i="117"/>
  <c r="R86" i="117"/>
  <c r="R85" i="117"/>
  <c r="R84" i="117"/>
  <c r="R83" i="117"/>
  <c r="R82" i="117"/>
  <c r="R81" i="117"/>
  <c r="R80" i="117"/>
  <c r="R67" i="117"/>
  <c r="R66" i="117"/>
  <c r="R65" i="117"/>
  <c r="R58" i="117"/>
  <c r="R57" i="117"/>
  <c r="R56" i="117"/>
  <c r="R55" i="117"/>
  <c r="R54" i="117"/>
  <c r="R53" i="117"/>
  <c r="R52" i="117"/>
  <c r="R51" i="117"/>
  <c r="R50" i="117"/>
  <c r="R49" i="117"/>
  <c r="R48" i="117"/>
  <c r="R47" i="117"/>
  <c r="R46" i="117"/>
  <c r="R39" i="117"/>
  <c r="R38" i="117"/>
  <c r="R37" i="117"/>
  <c r="R36" i="117"/>
  <c r="R35" i="117"/>
  <c r="R34" i="117"/>
  <c r="R33" i="117"/>
  <c r="R32" i="117"/>
  <c r="R31" i="117"/>
  <c r="R30" i="117"/>
  <c r="R29" i="117"/>
  <c r="R28" i="117"/>
  <c r="R27" i="117"/>
  <c r="R26" i="117"/>
  <c r="R25" i="117"/>
  <c r="R24" i="117"/>
  <c r="R23" i="117"/>
  <c r="R22" i="117"/>
  <c r="R21" i="117"/>
  <c r="R20" i="117"/>
  <c r="R19" i="117"/>
  <c r="R18" i="117"/>
  <c r="R17" i="117"/>
  <c r="R16" i="117"/>
  <c r="R15" i="117"/>
  <c r="R14" i="117"/>
  <c r="R13" i="117"/>
  <c r="R12" i="117"/>
  <c r="R11" i="117"/>
  <c r="R10" i="117"/>
  <c r="R9" i="117"/>
  <c r="R8" i="117"/>
  <c r="R7" i="117"/>
  <c r="R6" i="117"/>
  <c r="R5" i="117"/>
  <c r="R4" i="117"/>
  <c r="R3" i="117"/>
  <c r="H60" i="102"/>
  <c r="H63" i="102"/>
  <c r="H66" i="102"/>
  <c r="H50" i="102"/>
  <c r="H53" i="102"/>
  <c r="H56" i="102"/>
  <c r="S308" i="92"/>
  <c r="S307" i="92"/>
  <c r="S306" i="92"/>
  <c r="H43" i="109"/>
  <c r="H46" i="109"/>
  <c r="H49" i="109"/>
  <c r="H33" i="109"/>
  <c r="H36" i="109"/>
  <c r="H39" i="109"/>
  <c r="H23" i="109"/>
  <c r="H26" i="109"/>
  <c r="H29" i="109"/>
  <c r="H119" i="106"/>
  <c r="H122" i="106"/>
  <c r="H125" i="106"/>
  <c r="H109" i="106"/>
  <c r="H112" i="106"/>
  <c r="H115" i="106"/>
  <c r="H105" i="106"/>
  <c r="E100" i="106"/>
  <c r="G100" i="106"/>
  <c r="H100" i="106"/>
  <c r="H94" i="106"/>
  <c r="H97" i="106"/>
  <c r="H90" i="106"/>
  <c r="H86" i="106"/>
  <c r="H81" i="106"/>
  <c r="H71" i="106"/>
  <c r="H74" i="106"/>
  <c r="H77" i="106"/>
  <c r="H63" i="106"/>
  <c r="H66" i="106"/>
  <c r="H44" i="106"/>
  <c r="H47" i="106"/>
  <c r="H50" i="106"/>
  <c r="H53" i="106"/>
  <c r="H32" i="106"/>
  <c r="H35" i="106"/>
  <c r="H38" i="106"/>
  <c r="H41" i="106"/>
  <c r="H23" i="106"/>
  <c r="H26" i="106"/>
  <c r="H29" i="106"/>
  <c r="H125" i="105"/>
  <c r="H128" i="105"/>
  <c r="H115" i="105"/>
  <c r="H118" i="105"/>
  <c r="H121" i="105"/>
  <c r="H104" i="105"/>
  <c r="H107" i="105"/>
  <c r="H110" i="105"/>
  <c r="H100" i="105"/>
  <c r="H96" i="105"/>
  <c r="H80" i="105"/>
  <c r="H83" i="105"/>
  <c r="H86" i="105"/>
  <c r="H89" i="105"/>
  <c r="H92" i="105"/>
  <c r="H70" i="105"/>
  <c r="H73" i="105"/>
  <c r="H76" i="105"/>
  <c r="H60" i="105"/>
  <c r="H63" i="105"/>
  <c r="H66" i="105"/>
  <c r="H49" i="105"/>
  <c r="H52" i="105"/>
  <c r="H55" i="105"/>
  <c r="H105" i="104"/>
  <c r="H101" i="104"/>
  <c r="H98" i="104"/>
  <c r="H95" i="104"/>
  <c r="H91" i="104"/>
  <c r="H88" i="104"/>
  <c r="H85" i="104"/>
  <c r="H81" i="104"/>
  <c r="H78" i="104"/>
  <c r="H75" i="104"/>
  <c r="H68" i="104"/>
  <c r="H65" i="104"/>
  <c r="H62" i="104"/>
  <c r="H42" i="104"/>
  <c r="H39" i="104"/>
  <c r="H36" i="104"/>
  <c r="H29" i="104"/>
  <c r="H26" i="104"/>
  <c r="H23" i="104"/>
  <c r="H76" i="107"/>
  <c r="H81" i="107"/>
  <c r="H84" i="107"/>
  <c r="H66" i="107"/>
  <c r="H69" i="107"/>
  <c r="H72" i="107"/>
  <c r="H62" i="107"/>
  <c r="H59" i="107"/>
  <c r="H56" i="107"/>
  <c r="G49" i="107"/>
  <c r="H49" i="107"/>
  <c r="H45" i="107"/>
  <c r="G96" i="108"/>
  <c r="H96" i="108"/>
  <c r="G93" i="108"/>
  <c r="H93" i="108"/>
  <c r="G90" i="108"/>
  <c r="H90" i="108"/>
  <c r="G87" i="108"/>
  <c r="H87" i="108"/>
  <c r="H84" i="108"/>
  <c r="H81" i="108"/>
  <c r="H78" i="108"/>
  <c r="H75" i="108"/>
  <c r="H72" i="108"/>
  <c r="H69" i="108"/>
  <c r="H66" i="108"/>
  <c r="H63" i="108"/>
  <c r="H58" i="108"/>
  <c r="H55" i="108"/>
  <c r="H52" i="108"/>
  <c r="H48" i="108"/>
  <c r="H45" i="108"/>
  <c r="H42" i="108"/>
  <c r="H22" i="108"/>
  <c r="U174" i="124"/>
  <c r="U131" i="124"/>
  <c r="U116" i="124"/>
  <c r="U115" i="124"/>
  <c r="U110" i="124"/>
  <c r="U109" i="124"/>
  <c r="U104" i="124"/>
  <c r="U103" i="124"/>
  <c r="U98" i="124"/>
  <c r="U97" i="124"/>
  <c r="U92" i="124"/>
  <c r="U91" i="124"/>
  <c r="U86" i="124"/>
  <c r="U85" i="124"/>
  <c r="U73" i="124"/>
  <c r="U72" i="124"/>
  <c r="U39" i="124"/>
  <c r="U38" i="124"/>
  <c r="U33" i="124"/>
  <c r="U32" i="124"/>
  <c r="U27" i="124"/>
  <c r="U26" i="124"/>
  <c r="U21" i="124"/>
  <c r="U20" i="124"/>
  <c r="F46" i="105" l="1"/>
  <c r="E46" i="105"/>
  <c r="D46" i="105"/>
  <c r="E20" i="109"/>
  <c r="F20" i="109"/>
  <c r="G20" i="109"/>
  <c r="D20" i="109"/>
  <c r="E20" i="104"/>
  <c r="F20" i="104"/>
  <c r="G20" i="104"/>
  <c r="D20" i="104"/>
  <c r="D71" i="102"/>
  <c r="E71" i="102"/>
  <c r="F71" i="102"/>
  <c r="G71" i="102"/>
  <c r="D20" i="107"/>
  <c r="E20" i="107"/>
  <c r="F20" i="107"/>
  <c r="G20" i="107"/>
  <c r="L76" i="107"/>
  <c r="N76" i="107"/>
  <c r="N125" i="105"/>
  <c r="O102" i="106" l="1"/>
  <c r="G23" i="109" l="1"/>
  <c r="O20" i="106"/>
  <c r="O23" i="106"/>
  <c r="O26" i="106"/>
  <c r="G60" i="105"/>
  <c r="G65" i="104"/>
  <c r="G62" i="104"/>
  <c r="M20" i="106" l="1"/>
  <c r="G49" i="109" l="1"/>
  <c r="G46" i="109"/>
  <c r="G43" i="109"/>
  <c r="E49" i="109"/>
  <c r="E46" i="109"/>
  <c r="E43" i="109"/>
  <c r="G29" i="109"/>
  <c r="G26" i="109"/>
  <c r="E39" i="109"/>
  <c r="E36" i="109"/>
  <c r="E33" i="109"/>
  <c r="G33" i="109"/>
  <c r="G36" i="109"/>
  <c r="G39" i="109"/>
  <c r="E29" i="109" l="1"/>
  <c r="E26" i="109"/>
  <c r="E23" i="109"/>
  <c r="R308" i="92" l="1"/>
  <c r="Q332" i="92"/>
  <c r="Q331" i="92"/>
  <c r="Q330" i="92"/>
  <c r="Q329" i="92"/>
  <c r="Q328" i="92"/>
  <c r="Q327" i="92"/>
  <c r="Q326" i="92"/>
  <c r="Q325" i="92"/>
  <c r="Q324" i="92"/>
  <c r="Q323" i="92"/>
  <c r="Q322" i="92"/>
  <c r="Q321" i="92"/>
  <c r="Q320" i="92"/>
  <c r="Q319" i="92"/>
  <c r="Q318" i="92"/>
  <c r="Q317" i="92"/>
  <c r="Q316" i="92"/>
  <c r="Q315" i="92"/>
  <c r="Q314" i="92"/>
  <c r="Q313" i="92"/>
  <c r="Q312" i="92"/>
  <c r="Q310" i="92"/>
  <c r="Q309" i="92"/>
  <c r="Q308" i="92"/>
  <c r="P332" i="92"/>
  <c r="P331" i="92"/>
  <c r="P330" i="92"/>
  <c r="P329" i="92"/>
  <c r="P328" i="92"/>
  <c r="P327" i="92"/>
  <c r="P326" i="92"/>
  <c r="P325" i="92"/>
  <c r="P324" i="92"/>
  <c r="P323" i="92"/>
  <c r="P322" i="92"/>
  <c r="P321" i="92"/>
  <c r="P320" i="92"/>
  <c r="P319" i="92"/>
  <c r="P318" i="92"/>
  <c r="P317" i="92"/>
  <c r="P316" i="92"/>
  <c r="P315" i="92"/>
  <c r="P314" i="92"/>
  <c r="P313" i="92"/>
  <c r="P312" i="92"/>
  <c r="P311" i="92"/>
  <c r="P310" i="92"/>
  <c r="P309" i="92"/>
  <c r="P308" i="92"/>
  <c r="P305" i="92"/>
  <c r="P304" i="92"/>
  <c r="P303" i="92"/>
  <c r="P302" i="92"/>
  <c r="P301" i="92"/>
  <c r="P300" i="92"/>
  <c r="P299" i="92"/>
  <c r="P298" i="92"/>
  <c r="P244" i="92"/>
  <c r="P243" i="92"/>
  <c r="P242" i="92"/>
  <c r="P225" i="92"/>
  <c r="P222" i="92"/>
  <c r="P215" i="92"/>
  <c r="P214" i="92"/>
  <c r="P212" i="92"/>
  <c r="P211" i="92"/>
  <c r="P210" i="92"/>
  <c r="P209" i="92"/>
  <c r="P208" i="92"/>
  <c r="P207" i="92"/>
  <c r="P206" i="92"/>
  <c r="P205" i="92"/>
  <c r="P204" i="92"/>
  <c r="P190" i="92"/>
  <c r="P189" i="92"/>
  <c r="P188" i="92"/>
  <c r="P187" i="92"/>
  <c r="P186" i="92"/>
  <c r="P141" i="92"/>
  <c r="P140" i="92"/>
  <c r="O332" i="92"/>
  <c r="O331" i="92"/>
  <c r="O330" i="92"/>
  <c r="O329" i="92"/>
  <c r="O328" i="92"/>
  <c r="O327" i="92"/>
  <c r="O326" i="92"/>
  <c r="O325" i="92"/>
  <c r="O324" i="92"/>
  <c r="O323" i="92"/>
  <c r="O322" i="92"/>
  <c r="O321" i="92"/>
  <c r="O320" i="92"/>
  <c r="O319" i="92"/>
  <c r="O318" i="92"/>
  <c r="O317" i="92"/>
  <c r="O316" i="92"/>
  <c r="O315" i="92"/>
  <c r="O314" i="92"/>
  <c r="O313" i="92"/>
  <c r="O312" i="92"/>
  <c r="O311" i="92"/>
  <c r="O310" i="92"/>
  <c r="O309" i="92"/>
  <c r="O308" i="92"/>
  <c r="O305" i="92"/>
  <c r="O304" i="92"/>
  <c r="O303" i="92"/>
  <c r="O302" i="92"/>
  <c r="O301" i="92"/>
  <c r="O300" i="92"/>
  <c r="O299" i="92"/>
  <c r="O298" i="92"/>
  <c r="O244" i="92"/>
  <c r="O243" i="92"/>
  <c r="O242" i="92"/>
  <c r="O225" i="92"/>
  <c r="O222" i="92"/>
  <c r="O215" i="92"/>
  <c r="O214" i="92"/>
  <c r="O212" i="92"/>
  <c r="O211" i="92"/>
  <c r="O210" i="92"/>
  <c r="O209" i="92"/>
  <c r="O208" i="92"/>
  <c r="O207" i="92"/>
  <c r="O206" i="92"/>
  <c r="O205" i="92"/>
  <c r="O204" i="92"/>
  <c r="O190" i="92"/>
  <c r="O189" i="92"/>
  <c r="O188" i="92"/>
  <c r="O187" i="92"/>
  <c r="O186" i="92"/>
  <c r="O141" i="92"/>
  <c r="O140" i="92"/>
  <c r="Q307" i="123"/>
  <c r="P307" i="92" s="1"/>
  <c r="Q306" i="123"/>
  <c r="P306" i="92" s="1"/>
  <c r="U174" i="123"/>
  <c r="U131" i="123"/>
  <c r="U116" i="123"/>
  <c r="U115" i="123"/>
  <c r="U110" i="123"/>
  <c r="U109" i="123"/>
  <c r="U104" i="123"/>
  <c r="U103" i="123"/>
  <c r="U98" i="123"/>
  <c r="U97" i="123"/>
  <c r="U92" i="123"/>
  <c r="U91" i="123"/>
  <c r="U86" i="123"/>
  <c r="U85" i="123"/>
  <c r="U73" i="123"/>
  <c r="U72" i="123"/>
  <c r="U39" i="123"/>
  <c r="U38" i="123"/>
  <c r="U33" i="123"/>
  <c r="U32" i="123"/>
  <c r="U27" i="123"/>
  <c r="U26" i="123"/>
  <c r="U21" i="123"/>
  <c r="U20" i="123"/>
  <c r="G66" i="102"/>
  <c r="E66" i="102"/>
  <c r="G63" i="102"/>
  <c r="E63" i="102"/>
  <c r="G60" i="102"/>
  <c r="E60" i="102"/>
  <c r="G56" i="102"/>
  <c r="F56" i="102"/>
  <c r="E56" i="102"/>
  <c r="G53" i="102"/>
  <c r="F53" i="102"/>
  <c r="E53" i="102"/>
  <c r="G50" i="102"/>
  <c r="F50" i="102"/>
  <c r="E50" i="102"/>
  <c r="Q307" i="122"/>
  <c r="R307" i="92" s="1"/>
  <c r="Q306" i="122"/>
  <c r="R306" i="92" s="1"/>
  <c r="U174" i="122"/>
  <c r="U131" i="122"/>
  <c r="U116" i="122"/>
  <c r="U115" i="122"/>
  <c r="U110" i="122"/>
  <c r="U109" i="122"/>
  <c r="U104" i="122"/>
  <c r="U103" i="122"/>
  <c r="U98" i="122"/>
  <c r="U97" i="122"/>
  <c r="U92" i="122"/>
  <c r="U91" i="122"/>
  <c r="U86" i="122"/>
  <c r="U85" i="122"/>
  <c r="U73" i="122"/>
  <c r="U72" i="122"/>
  <c r="U39" i="122"/>
  <c r="U38" i="122"/>
  <c r="U33" i="122"/>
  <c r="U32" i="122"/>
  <c r="U27" i="122"/>
  <c r="U26" i="122"/>
  <c r="U21" i="122"/>
  <c r="U20" i="122"/>
  <c r="F87" i="108" l="1"/>
  <c r="E87" i="108"/>
  <c r="G84" i="108"/>
  <c r="F84" i="108"/>
  <c r="E84" i="108"/>
  <c r="G81" i="108"/>
  <c r="F81" i="108"/>
  <c r="E81" i="108"/>
  <c r="G78" i="108"/>
  <c r="F78" i="108"/>
  <c r="E78" i="108"/>
  <c r="G75" i="108"/>
  <c r="F75" i="108"/>
  <c r="E75" i="108"/>
  <c r="G72" i="108"/>
  <c r="F72" i="108"/>
  <c r="E72" i="108"/>
  <c r="G69" i="108"/>
  <c r="F69" i="108"/>
  <c r="E69" i="108"/>
  <c r="G66" i="108"/>
  <c r="F66" i="108"/>
  <c r="E66" i="108"/>
  <c r="G63" i="108"/>
  <c r="F63" i="108"/>
  <c r="E63" i="108"/>
  <c r="G58" i="108"/>
  <c r="E58" i="108"/>
  <c r="G55" i="108"/>
  <c r="E55" i="108"/>
  <c r="G52" i="108"/>
  <c r="E52" i="108"/>
  <c r="G48" i="108"/>
  <c r="F48" i="108"/>
  <c r="E48" i="108"/>
  <c r="G45" i="108"/>
  <c r="E45" i="108"/>
  <c r="G42" i="108"/>
  <c r="F42" i="108"/>
  <c r="E42" i="108"/>
  <c r="G22" i="108"/>
  <c r="F22" i="108"/>
  <c r="E22" i="108"/>
  <c r="G84" i="107"/>
  <c r="F84" i="107"/>
  <c r="E84" i="107"/>
  <c r="G81" i="107"/>
  <c r="F81" i="107"/>
  <c r="E81" i="107"/>
  <c r="G76" i="107"/>
  <c r="F76" i="107"/>
  <c r="E76" i="107"/>
  <c r="G72" i="107"/>
  <c r="E72" i="107"/>
  <c r="G69" i="107"/>
  <c r="E69" i="107"/>
  <c r="G66" i="107"/>
  <c r="E66" i="107"/>
  <c r="G62" i="107"/>
  <c r="F62" i="107"/>
  <c r="E62" i="107"/>
  <c r="G59" i="107"/>
  <c r="E59" i="107"/>
  <c r="G56" i="107"/>
  <c r="F56" i="107"/>
  <c r="E56" i="107"/>
  <c r="G45" i="107"/>
  <c r="E45" i="107"/>
  <c r="G128" i="105"/>
  <c r="E128" i="105"/>
  <c r="G125" i="105"/>
  <c r="E125" i="105"/>
  <c r="G121" i="105"/>
  <c r="E121" i="105"/>
  <c r="G118" i="105"/>
  <c r="E118" i="105"/>
  <c r="G115" i="105"/>
  <c r="E115" i="105"/>
  <c r="G110" i="105"/>
  <c r="F110" i="105"/>
  <c r="E110" i="105"/>
  <c r="G107" i="105"/>
  <c r="E107" i="105"/>
  <c r="G104" i="105"/>
  <c r="F104" i="105"/>
  <c r="E104" i="105"/>
  <c r="G100" i="105"/>
  <c r="E100" i="105"/>
  <c r="G96" i="105"/>
  <c r="F96" i="105"/>
  <c r="E96" i="105"/>
  <c r="G92" i="105"/>
  <c r="F92" i="105"/>
  <c r="E92" i="105"/>
  <c r="G89" i="105"/>
  <c r="F89" i="105"/>
  <c r="E89" i="105"/>
  <c r="G86" i="105"/>
  <c r="F86" i="105"/>
  <c r="E86" i="105"/>
  <c r="G83" i="105"/>
  <c r="F83" i="105"/>
  <c r="E83" i="105"/>
  <c r="G80" i="105"/>
  <c r="F80" i="105"/>
  <c r="E80" i="105"/>
  <c r="G76" i="105"/>
  <c r="E76" i="105"/>
  <c r="G73" i="105"/>
  <c r="E73" i="105"/>
  <c r="G70" i="105"/>
  <c r="E70" i="105"/>
  <c r="G66" i="105"/>
  <c r="E66" i="105"/>
  <c r="G63" i="105"/>
  <c r="E63" i="105"/>
  <c r="F60" i="105"/>
  <c r="E60" i="105"/>
  <c r="G55" i="105"/>
  <c r="E55" i="105"/>
  <c r="G52" i="105"/>
  <c r="E52" i="105"/>
  <c r="G49" i="105"/>
  <c r="F49" i="105"/>
  <c r="E49" i="105"/>
  <c r="G105" i="104"/>
  <c r="G101" i="104"/>
  <c r="E101" i="104"/>
  <c r="G98" i="104"/>
  <c r="E98" i="104"/>
  <c r="G95" i="104"/>
  <c r="E95" i="104"/>
  <c r="G91" i="104"/>
  <c r="E91" i="104"/>
  <c r="G88" i="104"/>
  <c r="E88" i="104"/>
  <c r="G85" i="104"/>
  <c r="E85" i="104"/>
  <c r="G81" i="104"/>
  <c r="F81" i="104"/>
  <c r="E81" i="104"/>
  <c r="G78" i="104"/>
  <c r="F78" i="104"/>
  <c r="E78" i="104"/>
  <c r="G75" i="104"/>
  <c r="F75" i="104"/>
  <c r="E75" i="104"/>
  <c r="G68" i="104"/>
  <c r="E68" i="104"/>
  <c r="E65" i="104"/>
  <c r="F62" i="104"/>
  <c r="E62" i="104"/>
  <c r="G42" i="104"/>
  <c r="E42" i="104"/>
  <c r="G39" i="104"/>
  <c r="E39" i="104"/>
  <c r="G36" i="104"/>
  <c r="F36" i="104"/>
  <c r="E36" i="104"/>
  <c r="G29" i="104"/>
  <c r="E29" i="104"/>
  <c r="G26" i="104"/>
  <c r="E26" i="104"/>
  <c r="G23" i="104"/>
  <c r="F23" i="104"/>
  <c r="E23" i="104"/>
  <c r="M66" i="106"/>
  <c r="N66" i="106"/>
  <c r="O66" i="106"/>
  <c r="M63" i="106"/>
  <c r="N63" i="106"/>
  <c r="O63" i="106"/>
  <c r="S293" i="92" l="1"/>
  <c r="S294" i="92"/>
  <c r="N244" i="92"/>
  <c r="S206" i="92"/>
  <c r="S209" i="92"/>
  <c r="S244" i="92"/>
  <c r="N242" i="92"/>
  <c r="S211" i="92"/>
  <c r="S292" i="92"/>
  <c r="S210" i="92"/>
  <c r="S296" i="92"/>
  <c r="M240" i="92"/>
  <c r="S291" i="92"/>
  <c r="N239" i="92"/>
  <c r="S241" i="92"/>
  <c r="N243" i="92"/>
  <c r="S222" i="92"/>
  <c r="S285" i="92"/>
  <c r="S240" i="92"/>
  <c r="M244" i="92"/>
  <c r="S290" i="92"/>
  <c r="S304" i="92"/>
  <c r="S286" i="92"/>
  <c r="S297" i="92"/>
  <c r="S289" i="92"/>
  <c r="M241" i="92"/>
  <c r="N240" i="92"/>
  <c r="S242" i="92"/>
  <c r="S288" i="92"/>
  <c r="S204" i="92"/>
  <c r="S243" i="92"/>
  <c r="S208" i="92"/>
  <c r="S212" i="92"/>
  <c r="M243" i="92"/>
  <c r="S295" i="92"/>
  <c r="S207" i="92"/>
  <c r="M242" i="92"/>
  <c r="S287" i="92"/>
  <c r="S205" i="92"/>
  <c r="N241" i="92"/>
  <c r="G125" i="106"/>
  <c r="E125" i="106"/>
  <c r="G122" i="106"/>
  <c r="E122" i="106"/>
  <c r="G119" i="106"/>
  <c r="E119" i="106"/>
  <c r="G115" i="106"/>
  <c r="F115" i="106"/>
  <c r="E115" i="106"/>
  <c r="G112" i="106"/>
  <c r="E112" i="106"/>
  <c r="G109" i="106"/>
  <c r="F109" i="106"/>
  <c r="E109" i="106"/>
  <c r="G105" i="106"/>
  <c r="F105" i="106"/>
  <c r="E105" i="106"/>
  <c r="G97" i="106"/>
  <c r="F97" i="106"/>
  <c r="E97" i="106"/>
  <c r="G94" i="106"/>
  <c r="F94" i="106"/>
  <c r="E94" i="106"/>
  <c r="G90" i="106"/>
  <c r="F90" i="106"/>
  <c r="E90" i="106"/>
  <c r="G86" i="106"/>
  <c r="F86" i="106"/>
  <c r="E86" i="106"/>
  <c r="G81" i="106"/>
  <c r="E81" i="106"/>
  <c r="G77" i="106"/>
  <c r="F77" i="106"/>
  <c r="E77" i="106"/>
  <c r="G74" i="106"/>
  <c r="F74" i="106"/>
  <c r="E74" i="106"/>
  <c r="G71" i="106"/>
  <c r="F71" i="106"/>
  <c r="E71" i="106"/>
  <c r="G66" i="106"/>
  <c r="F66" i="106"/>
  <c r="E66" i="106"/>
  <c r="G63" i="106"/>
  <c r="F63" i="106"/>
  <c r="E63" i="106"/>
  <c r="G23" i="106"/>
  <c r="M53" i="106"/>
  <c r="E53" i="106" s="1"/>
  <c r="N53" i="106"/>
  <c r="O53" i="106"/>
  <c r="G53" i="106" s="1"/>
  <c r="M50" i="106"/>
  <c r="E50" i="106" s="1"/>
  <c r="N50" i="106"/>
  <c r="F50" i="106" s="1"/>
  <c r="O50" i="106"/>
  <c r="G50" i="106" s="1"/>
  <c r="M47" i="106"/>
  <c r="E47" i="106" s="1"/>
  <c r="N47" i="106"/>
  <c r="O47" i="106"/>
  <c r="G47" i="106" s="1"/>
  <c r="M44" i="106"/>
  <c r="E44" i="106" s="1"/>
  <c r="N44" i="106"/>
  <c r="F44" i="106" s="1"/>
  <c r="O44" i="106"/>
  <c r="G44" i="106" s="1"/>
  <c r="M41" i="106"/>
  <c r="E41" i="106" s="1"/>
  <c r="N41" i="106"/>
  <c r="F41" i="106" s="1"/>
  <c r="O41" i="106"/>
  <c r="G41" i="106" s="1"/>
  <c r="M38" i="106"/>
  <c r="E38" i="106" s="1"/>
  <c r="N38" i="106"/>
  <c r="F38" i="106" s="1"/>
  <c r="O38" i="106"/>
  <c r="G38" i="106" s="1"/>
  <c r="M35" i="106"/>
  <c r="E35" i="106" s="1"/>
  <c r="N35" i="106"/>
  <c r="O35" i="106"/>
  <c r="G35" i="106" s="1"/>
  <c r="M32" i="106"/>
  <c r="E32" i="106" s="1"/>
  <c r="N32" i="106"/>
  <c r="F32" i="106" s="1"/>
  <c r="O32" i="106"/>
  <c r="G32" i="106" s="1"/>
  <c r="M29" i="106"/>
  <c r="E29" i="106" s="1"/>
  <c r="N29" i="106"/>
  <c r="O29" i="106"/>
  <c r="G29" i="106" s="1"/>
  <c r="M26" i="106"/>
  <c r="E26" i="106" s="1"/>
  <c r="N26" i="106"/>
  <c r="F26" i="106" s="1"/>
  <c r="G26" i="106"/>
  <c r="M23" i="106"/>
  <c r="E23" i="106" s="1"/>
  <c r="N23" i="106"/>
  <c r="E20" i="106"/>
  <c r="N20" i="106"/>
  <c r="F20" i="106" s="1"/>
  <c r="G20" i="106"/>
  <c r="M102" i="106" l="1"/>
  <c r="N102" i="106"/>
  <c r="L102" i="106" l="1"/>
  <c r="X4" i="92" l="1"/>
  <c r="X5" i="92"/>
  <c r="X6" i="92"/>
  <c r="X7" i="92"/>
  <c r="X8" i="92"/>
  <c r="X9" i="92"/>
  <c r="X10" i="92"/>
  <c r="X11" i="92"/>
  <c r="X12" i="92"/>
  <c r="X13" i="92"/>
  <c r="X14" i="92"/>
  <c r="X15" i="92"/>
  <c r="X16" i="92"/>
  <c r="X17" i="92"/>
  <c r="X18" i="92"/>
  <c r="X19" i="92"/>
  <c r="X20" i="92"/>
  <c r="X21" i="92"/>
  <c r="X22" i="92"/>
  <c r="X23" i="92"/>
  <c r="X24" i="92"/>
  <c r="X25" i="92"/>
  <c r="X26" i="92"/>
  <c r="X27" i="92"/>
  <c r="X28" i="92"/>
  <c r="X29" i="92"/>
  <c r="X30" i="92"/>
  <c r="X31" i="92"/>
  <c r="X32" i="92"/>
  <c r="X33" i="92"/>
  <c r="X34" i="92"/>
  <c r="X35" i="92"/>
  <c r="X36" i="92"/>
  <c r="X37" i="92"/>
  <c r="X38" i="92"/>
  <c r="X39" i="92"/>
  <c r="X40" i="92"/>
  <c r="X41" i="92"/>
  <c r="X42" i="92"/>
  <c r="X43" i="92"/>
  <c r="X44" i="92"/>
  <c r="X45" i="92"/>
  <c r="X46" i="92"/>
  <c r="X47" i="92"/>
  <c r="X48" i="92"/>
  <c r="X49" i="92"/>
  <c r="X50" i="92"/>
  <c r="X51" i="92"/>
  <c r="X52" i="92"/>
  <c r="X53" i="92"/>
  <c r="X54" i="92"/>
  <c r="X55" i="92"/>
  <c r="X56" i="92"/>
  <c r="X57" i="92"/>
  <c r="X58" i="92"/>
  <c r="X59" i="92"/>
  <c r="X60" i="92"/>
  <c r="X61" i="92"/>
  <c r="X65" i="92"/>
  <c r="X66" i="92"/>
  <c r="X67" i="92"/>
  <c r="X68" i="92"/>
  <c r="X69" i="92"/>
  <c r="X70" i="92"/>
  <c r="X71" i="92"/>
  <c r="X72" i="92"/>
  <c r="X73" i="92"/>
  <c r="X74" i="92"/>
  <c r="X75" i="92"/>
  <c r="X76" i="92"/>
  <c r="X77" i="92"/>
  <c r="X78" i="92"/>
  <c r="X79" i="92"/>
  <c r="X80" i="92"/>
  <c r="X81" i="92"/>
  <c r="X82" i="92"/>
  <c r="X83" i="92"/>
  <c r="X84" i="92"/>
  <c r="X85" i="92"/>
  <c r="X86" i="92"/>
  <c r="X87" i="92"/>
  <c r="X88" i="92"/>
  <c r="X89" i="92"/>
  <c r="X90" i="92"/>
  <c r="X91" i="92"/>
  <c r="X92" i="92"/>
  <c r="X93" i="92"/>
  <c r="X94" i="92"/>
  <c r="X95" i="92"/>
  <c r="X96" i="92"/>
  <c r="X97" i="92"/>
  <c r="X98" i="92"/>
  <c r="X99" i="92"/>
  <c r="X100" i="92"/>
  <c r="X101" i="92"/>
  <c r="X102" i="92"/>
  <c r="X103" i="92"/>
  <c r="X104" i="92"/>
  <c r="X105" i="92"/>
  <c r="X106" i="92"/>
  <c r="X107" i="92"/>
  <c r="X108" i="92"/>
  <c r="X109" i="92"/>
  <c r="X110" i="92"/>
  <c r="X111" i="92"/>
  <c r="X112" i="92"/>
  <c r="X113" i="92"/>
  <c r="X114" i="92"/>
  <c r="X115" i="92"/>
  <c r="X116" i="92"/>
  <c r="X117" i="92"/>
  <c r="X118" i="92"/>
  <c r="X119" i="92"/>
  <c r="X120" i="92"/>
  <c r="X121" i="92"/>
  <c r="X122" i="92"/>
  <c r="X123" i="92"/>
  <c r="X124" i="92"/>
  <c r="X125" i="92"/>
  <c r="X126" i="92"/>
  <c r="X127" i="92"/>
  <c r="X128" i="92"/>
  <c r="X129" i="92"/>
  <c r="X130" i="92"/>
  <c r="X131" i="92"/>
  <c r="X132" i="92"/>
  <c r="X133" i="92"/>
  <c r="X134" i="92"/>
  <c r="X135" i="92"/>
  <c r="X136" i="92"/>
  <c r="X137" i="92"/>
  <c r="X138" i="92"/>
  <c r="X139" i="92"/>
  <c r="X140" i="92"/>
  <c r="X141" i="92"/>
  <c r="X142" i="92"/>
  <c r="X143" i="92"/>
  <c r="X144" i="92"/>
  <c r="X145" i="92"/>
  <c r="X146" i="92"/>
  <c r="X147" i="92"/>
  <c r="X148" i="92"/>
  <c r="X149" i="92"/>
  <c r="X150" i="92"/>
  <c r="X151" i="92"/>
  <c r="X152" i="92"/>
  <c r="X153" i="92"/>
  <c r="X154" i="92"/>
  <c r="X155" i="92"/>
  <c r="X156" i="92"/>
  <c r="X157" i="92"/>
  <c r="X158" i="92"/>
  <c r="X159" i="92"/>
  <c r="X160" i="92"/>
  <c r="X161" i="92"/>
  <c r="X162" i="92"/>
  <c r="X163" i="92"/>
  <c r="X164" i="92"/>
  <c r="X165" i="92"/>
  <c r="X166" i="92"/>
  <c r="X167" i="92"/>
  <c r="X168" i="92"/>
  <c r="X169" i="92"/>
  <c r="X170" i="92"/>
  <c r="X171" i="92"/>
  <c r="X172" i="92"/>
  <c r="X173" i="92"/>
  <c r="X174" i="92"/>
  <c r="X175" i="92"/>
  <c r="X176" i="92"/>
  <c r="X177" i="92"/>
  <c r="X178" i="92"/>
  <c r="X179" i="92"/>
  <c r="X180" i="92"/>
  <c r="X181" i="92"/>
  <c r="X182" i="92"/>
  <c r="X183" i="92"/>
  <c r="X184" i="92"/>
  <c r="X185" i="92"/>
  <c r="X191" i="92"/>
  <c r="X192" i="92"/>
  <c r="X193" i="92"/>
  <c r="X194" i="92"/>
  <c r="X195" i="92"/>
  <c r="X196" i="92"/>
  <c r="X197" i="92"/>
  <c r="X198" i="92"/>
  <c r="X199" i="92"/>
  <c r="X200" i="92"/>
  <c r="X201" i="92"/>
  <c r="X202" i="92"/>
  <c r="X203" i="92"/>
  <c r="X213" i="92"/>
  <c r="X214" i="92"/>
  <c r="X215" i="92"/>
  <c r="X216" i="92"/>
  <c r="X217" i="92"/>
  <c r="X218" i="92"/>
  <c r="X219" i="92"/>
  <c r="X220" i="92"/>
  <c r="X221" i="92"/>
  <c r="X223" i="92"/>
  <c r="X224" i="92"/>
  <c r="X225" i="92"/>
  <c r="X226" i="92"/>
  <c r="X227" i="92"/>
  <c r="X228" i="92"/>
  <c r="X229" i="92"/>
  <c r="X230" i="92"/>
  <c r="X231" i="92"/>
  <c r="X232" i="92"/>
  <c r="X233" i="92"/>
  <c r="X234" i="92"/>
  <c r="X235" i="92"/>
  <c r="X236" i="92"/>
  <c r="X237" i="92"/>
  <c r="X238" i="92"/>
  <c r="X239" i="92"/>
  <c r="X240" i="92"/>
  <c r="X241" i="92"/>
  <c r="X242" i="92"/>
  <c r="X243" i="92"/>
  <c r="X244" i="92"/>
  <c r="X245" i="92"/>
  <c r="X246" i="92"/>
  <c r="X247" i="92"/>
  <c r="X248" i="92"/>
  <c r="X249" i="92"/>
  <c r="X250" i="92"/>
  <c r="X251" i="92"/>
  <c r="X252" i="92"/>
  <c r="X253" i="92"/>
  <c r="X254" i="92"/>
  <c r="X255" i="92"/>
  <c r="X256" i="92"/>
  <c r="X257" i="92"/>
  <c r="X258" i="92"/>
  <c r="X259" i="92"/>
  <c r="X260" i="92"/>
  <c r="X261" i="92"/>
  <c r="X262" i="92"/>
  <c r="X263" i="92"/>
  <c r="X264" i="92"/>
  <c r="X265" i="92"/>
  <c r="X266" i="92"/>
  <c r="X267" i="92"/>
  <c r="X268" i="92"/>
  <c r="X269" i="92"/>
  <c r="X270" i="92"/>
  <c r="X271" i="92"/>
  <c r="X272" i="92"/>
  <c r="X273" i="92"/>
  <c r="X274" i="92"/>
  <c r="X275" i="92"/>
  <c r="X276" i="92"/>
  <c r="X277" i="92"/>
  <c r="X278" i="92"/>
  <c r="X279" i="92"/>
  <c r="X280" i="92"/>
  <c r="X281" i="92"/>
  <c r="X282" i="92"/>
  <c r="X283" i="92"/>
  <c r="X284" i="92"/>
  <c r="X285" i="92"/>
  <c r="X286" i="92"/>
  <c r="X287" i="92"/>
  <c r="X288" i="92"/>
  <c r="X289" i="92"/>
  <c r="X290" i="92"/>
  <c r="X291" i="92"/>
  <c r="X292" i="92"/>
  <c r="X293" i="92"/>
  <c r="X294" i="92"/>
  <c r="X295" i="92"/>
  <c r="X296" i="92"/>
  <c r="X297" i="92"/>
  <c r="X298" i="92"/>
  <c r="X299" i="92"/>
  <c r="X300" i="92"/>
  <c r="X301" i="92"/>
  <c r="X302" i="92"/>
  <c r="X303" i="92"/>
  <c r="X304" i="92"/>
  <c r="X305" i="92"/>
  <c r="X306" i="92"/>
  <c r="X307" i="92"/>
  <c r="X308" i="92"/>
  <c r="X3" i="92"/>
  <c r="W4" i="92"/>
  <c r="W5" i="92"/>
  <c r="W6" i="92"/>
  <c r="W7" i="92"/>
  <c r="W8" i="92"/>
  <c r="W9" i="92"/>
  <c r="W10" i="92"/>
  <c r="W11" i="92"/>
  <c r="W12" i="92"/>
  <c r="W13" i="92"/>
  <c r="W14" i="92"/>
  <c r="W15" i="92"/>
  <c r="W16" i="92"/>
  <c r="W17" i="92"/>
  <c r="W18" i="92"/>
  <c r="W19" i="92"/>
  <c r="W20" i="92"/>
  <c r="W21" i="92"/>
  <c r="W22" i="92"/>
  <c r="W23" i="92"/>
  <c r="W24" i="92"/>
  <c r="W25" i="92"/>
  <c r="W26" i="92"/>
  <c r="W27" i="92"/>
  <c r="W28" i="92"/>
  <c r="W29" i="92"/>
  <c r="W30" i="92"/>
  <c r="W31" i="92"/>
  <c r="W32" i="92"/>
  <c r="W33" i="92"/>
  <c r="W34" i="92"/>
  <c r="W35" i="92"/>
  <c r="W36" i="92"/>
  <c r="W37" i="92"/>
  <c r="W38" i="92"/>
  <c r="W39" i="92"/>
  <c r="W40" i="92"/>
  <c r="W41" i="92"/>
  <c r="W42" i="92"/>
  <c r="W43" i="92"/>
  <c r="W44" i="92"/>
  <c r="W45" i="92"/>
  <c r="W46" i="92"/>
  <c r="W47" i="92"/>
  <c r="W48" i="92"/>
  <c r="W49" i="92"/>
  <c r="W50" i="92"/>
  <c r="W51" i="92"/>
  <c r="W52" i="92"/>
  <c r="W53" i="92"/>
  <c r="W54" i="92"/>
  <c r="W55" i="92"/>
  <c r="W56" i="92"/>
  <c r="W57" i="92"/>
  <c r="W58" i="92"/>
  <c r="W59" i="92"/>
  <c r="W60" i="92"/>
  <c r="W61" i="92"/>
  <c r="W65" i="92"/>
  <c r="W66" i="92"/>
  <c r="W67" i="92"/>
  <c r="W68" i="92"/>
  <c r="W69" i="92"/>
  <c r="W70" i="92"/>
  <c r="W71" i="92"/>
  <c r="W72" i="92"/>
  <c r="W73" i="92"/>
  <c r="W74" i="92"/>
  <c r="W75" i="92"/>
  <c r="W76" i="92"/>
  <c r="W77" i="92"/>
  <c r="W78" i="92"/>
  <c r="W79" i="92"/>
  <c r="W80" i="92"/>
  <c r="W81" i="92"/>
  <c r="W82" i="92"/>
  <c r="W83" i="92"/>
  <c r="W84" i="92"/>
  <c r="W85" i="92"/>
  <c r="W86" i="92"/>
  <c r="W87" i="92"/>
  <c r="W88" i="92"/>
  <c r="W89" i="92"/>
  <c r="W90" i="92"/>
  <c r="W91" i="92"/>
  <c r="W92" i="92"/>
  <c r="W93" i="92"/>
  <c r="W94" i="92"/>
  <c r="W95" i="92"/>
  <c r="W96" i="92"/>
  <c r="W97" i="92"/>
  <c r="W98" i="92"/>
  <c r="W99" i="92"/>
  <c r="W100" i="92"/>
  <c r="W101" i="92"/>
  <c r="W102" i="92"/>
  <c r="W103" i="92"/>
  <c r="W104" i="92"/>
  <c r="W105" i="92"/>
  <c r="W106" i="92"/>
  <c r="W107" i="92"/>
  <c r="W108" i="92"/>
  <c r="W109" i="92"/>
  <c r="W110" i="92"/>
  <c r="W111" i="92"/>
  <c r="W112" i="92"/>
  <c r="W113" i="92"/>
  <c r="W114" i="92"/>
  <c r="W115" i="92"/>
  <c r="W116" i="92"/>
  <c r="W117" i="92"/>
  <c r="W118" i="92"/>
  <c r="W119" i="92"/>
  <c r="W120" i="92"/>
  <c r="W121" i="92"/>
  <c r="W122" i="92"/>
  <c r="W123" i="92"/>
  <c r="W124" i="92"/>
  <c r="W125" i="92"/>
  <c r="W126" i="92"/>
  <c r="W127" i="92"/>
  <c r="W128" i="92"/>
  <c r="W129" i="92"/>
  <c r="W130" i="92"/>
  <c r="W131" i="92"/>
  <c r="W132" i="92"/>
  <c r="W133" i="92"/>
  <c r="W134" i="92"/>
  <c r="W135" i="92"/>
  <c r="W136" i="92"/>
  <c r="W137" i="92"/>
  <c r="W138" i="92"/>
  <c r="W139" i="92"/>
  <c r="W140" i="92"/>
  <c r="W141" i="92"/>
  <c r="W142" i="92"/>
  <c r="W143" i="92"/>
  <c r="W144" i="92"/>
  <c r="W145" i="92"/>
  <c r="W146" i="92"/>
  <c r="W147" i="92"/>
  <c r="W148" i="92"/>
  <c r="W149" i="92"/>
  <c r="W150" i="92"/>
  <c r="W151" i="92"/>
  <c r="W152" i="92"/>
  <c r="W153" i="92"/>
  <c r="W154" i="92"/>
  <c r="W155" i="92"/>
  <c r="W156" i="92"/>
  <c r="W157" i="92"/>
  <c r="W158" i="92"/>
  <c r="W159" i="92"/>
  <c r="W160" i="92"/>
  <c r="W161" i="92"/>
  <c r="W162" i="92"/>
  <c r="W163" i="92"/>
  <c r="W164" i="92"/>
  <c r="W165" i="92"/>
  <c r="W166" i="92"/>
  <c r="W167" i="92"/>
  <c r="W168" i="92"/>
  <c r="W169" i="92"/>
  <c r="W170" i="92"/>
  <c r="W171" i="92"/>
  <c r="W172" i="92"/>
  <c r="W173" i="92"/>
  <c r="W174" i="92"/>
  <c r="W175" i="92"/>
  <c r="W176" i="92"/>
  <c r="W177" i="92"/>
  <c r="W178" i="92"/>
  <c r="W179" i="92"/>
  <c r="W180" i="92"/>
  <c r="W181" i="92"/>
  <c r="W182" i="92"/>
  <c r="W183" i="92"/>
  <c r="W184" i="92"/>
  <c r="W185" i="92"/>
  <c r="W191" i="92"/>
  <c r="W192" i="92"/>
  <c r="W193" i="92"/>
  <c r="W194" i="92"/>
  <c r="W195" i="92"/>
  <c r="W196" i="92"/>
  <c r="W197" i="92"/>
  <c r="W198" i="92"/>
  <c r="W199" i="92"/>
  <c r="W200" i="92"/>
  <c r="W201" i="92"/>
  <c r="W202" i="92"/>
  <c r="W203" i="92"/>
  <c r="W213" i="92"/>
  <c r="W214" i="92"/>
  <c r="W215" i="92"/>
  <c r="W216" i="92"/>
  <c r="W217" i="92"/>
  <c r="W218" i="92"/>
  <c r="W219" i="92"/>
  <c r="W220" i="92"/>
  <c r="W221" i="92"/>
  <c r="W223" i="92"/>
  <c r="W224" i="92"/>
  <c r="W225" i="92"/>
  <c r="W226" i="92"/>
  <c r="W227" i="92"/>
  <c r="W228" i="92"/>
  <c r="W229" i="92"/>
  <c r="W230" i="92"/>
  <c r="W231" i="92"/>
  <c r="W232" i="92"/>
  <c r="W233" i="92"/>
  <c r="W234" i="92"/>
  <c r="W235" i="92"/>
  <c r="W236" i="92"/>
  <c r="W237" i="92"/>
  <c r="W238" i="92"/>
  <c r="W239" i="92"/>
  <c r="W240" i="92"/>
  <c r="W241" i="92"/>
  <c r="W242" i="92"/>
  <c r="W243" i="92"/>
  <c r="W244" i="92"/>
  <c r="W245" i="92"/>
  <c r="W246" i="92"/>
  <c r="W247" i="92"/>
  <c r="W248" i="92"/>
  <c r="W249" i="92"/>
  <c r="W250" i="92"/>
  <c r="W251" i="92"/>
  <c r="W252" i="92"/>
  <c r="W253" i="92"/>
  <c r="W254" i="92"/>
  <c r="W255" i="92"/>
  <c r="W256" i="92"/>
  <c r="W257" i="92"/>
  <c r="W258" i="92"/>
  <c r="W259" i="92"/>
  <c r="W260" i="92"/>
  <c r="W261" i="92"/>
  <c r="W262" i="92"/>
  <c r="W263" i="92"/>
  <c r="W264" i="92"/>
  <c r="W265" i="92"/>
  <c r="W266" i="92"/>
  <c r="W267" i="92"/>
  <c r="W268" i="92"/>
  <c r="W269" i="92"/>
  <c r="W270" i="92"/>
  <c r="W271" i="92"/>
  <c r="W272" i="92"/>
  <c r="W273" i="92"/>
  <c r="W274" i="92"/>
  <c r="W275" i="92"/>
  <c r="W276" i="92"/>
  <c r="W277" i="92"/>
  <c r="W278" i="92"/>
  <c r="W279" i="92"/>
  <c r="W280" i="92"/>
  <c r="W281" i="92"/>
  <c r="W282" i="92"/>
  <c r="W283" i="92"/>
  <c r="W284" i="92"/>
  <c r="W285" i="92"/>
  <c r="W286" i="92"/>
  <c r="W287" i="92"/>
  <c r="W288" i="92"/>
  <c r="W289" i="92"/>
  <c r="W290" i="92"/>
  <c r="W291" i="92"/>
  <c r="W292" i="92"/>
  <c r="W293" i="92"/>
  <c r="W294" i="92"/>
  <c r="W295" i="92"/>
  <c r="W296" i="92"/>
  <c r="W297" i="92"/>
  <c r="W298" i="92"/>
  <c r="W299" i="92"/>
  <c r="W300" i="92"/>
  <c r="W301" i="92"/>
  <c r="W302" i="92"/>
  <c r="W303" i="92"/>
  <c r="W304" i="92"/>
  <c r="W305" i="92"/>
  <c r="W306" i="92"/>
  <c r="W307" i="92"/>
  <c r="W308" i="92"/>
  <c r="W3" i="92"/>
  <c r="V4" i="92"/>
  <c r="V5" i="92"/>
  <c r="V6" i="92"/>
  <c r="V7" i="92"/>
  <c r="V8" i="92"/>
  <c r="V9" i="92"/>
  <c r="V10" i="92"/>
  <c r="V11" i="92"/>
  <c r="V12" i="92"/>
  <c r="V13" i="92"/>
  <c r="V14" i="92"/>
  <c r="V15" i="92"/>
  <c r="V16" i="92"/>
  <c r="V17" i="92"/>
  <c r="V18" i="92"/>
  <c r="V19" i="92"/>
  <c r="V20" i="92"/>
  <c r="V21" i="92"/>
  <c r="V22" i="92"/>
  <c r="V23" i="92"/>
  <c r="V24" i="92"/>
  <c r="V25" i="92"/>
  <c r="V26" i="92"/>
  <c r="V27" i="92"/>
  <c r="V28" i="92"/>
  <c r="V29" i="92"/>
  <c r="V30" i="92"/>
  <c r="V31" i="92"/>
  <c r="V32" i="92"/>
  <c r="V33" i="92"/>
  <c r="V34" i="92"/>
  <c r="V35" i="92"/>
  <c r="V36" i="92"/>
  <c r="V37" i="92"/>
  <c r="V38" i="92"/>
  <c r="V39" i="92"/>
  <c r="V40" i="92"/>
  <c r="V41" i="92"/>
  <c r="V42" i="92"/>
  <c r="V43" i="92"/>
  <c r="V44" i="92"/>
  <c r="V45" i="92"/>
  <c r="V46" i="92"/>
  <c r="V47" i="92"/>
  <c r="V48" i="92"/>
  <c r="V49" i="92"/>
  <c r="V50" i="92"/>
  <c r="V51" i="92"/>
  <c r="V52" i="92"/>
  <c r="V53" i="92"/>
  <c r="V54" i="92"/>
  <c r="V55" i="92"/>
  <c r="V56" i="92"/>
  <c r="V57" i="92"/>
  <c r="V58" i="92"/>
  <c r="V59" i="92"/>
  <c r="V60" i="92"/>
  <c r="V61" i="92"/>
  <c r="V63" i="92"/>
  <c r="V65" i="92"/>
  <c r="V66" i="92"/>
  <c r="V67" i="92"/>
  <c r="V68" i="92"/>
  <c r="V69" i="92"/>
  <c r="V70" i="92"/>
  <c r="V71" i="92"/>
  <c r="V72" i="92"/>
  <c r="V73" i="92"/>
  <c r="V74" i="92"/>
  <c r="V75" i="92"/>
  <c r="V76" i="92"/>
  <c r="V77" i="92"/>
  <c r="V78" i="92"/>
  <c r="V79" i="92"/>
  <c r="V80" i="92"/>
  <c r="V81" i="92"/>
  <c r="V82" i="92"/>
  <c r="V83" i="92"/>
  <c r="V84" i="92"/>
  <c r="V85" i="92"/>
  <c r="V86" i="92"/>
  <c r="V87" i="92"/>
  <c r="V88" i="92"/>
  <c r="V89" i="92"/>
  <c r="V90" i="92"/>
  <c r="V91" i="92"/>
  <c r="V92" i="92"/>
  <c r="V93" i="92"/>
  <c r="V94" i="92"/>
  <c r="V95" i="92"/>
  <c r="V96" i="92"/>
  <c r="V97" i="92"/>
  <c r="V98" i="92"/>
  <c r="V99" i="92"/>
  <c r="V100" i="92"/>
  <c r="V101" i="92"/>
  <c r="V102" i="92"/>
  <c r="V103" i="92"/>
  <c r="V104" i="92"/>
  <c r="V105" i="92"/>
  <c r="V106" i="92"/>
  <c r="V107" i="92"/>
  <c r="V108" i="92"/>
  <c r="V109" i="92"/>
  <c r="V110" i="92"/>
  <c r="V111" i="92"/>
  <c r="V112" i="92"/>
  <c r="V113" i="92"/>
  <c r="V114" i="92"/>
  <c r="V115" i="92"/>
  <c r="V116" i="92"/>
  <c r="V117" i="92"/>
  <c r="V118" i="92"/>
  <c r="V119" i="92"/>
  <c r="V120" i="92"/>
  <c r="V121" i="92"/>
  <c r="V122" i="92"/>
  <c r="V123" i="92"/>
  <c r="V124" i="92"/>
  <c r="V125" i="92"/>
  <c r="V126" i="92"/>
  <c r="V127" i="92"/>
  <c r="V128" i="92"/>
  <c r="V129" i="92"/>
  <c r="V130" i="92"/>
  <c r="V131" i="92"/>
  <c r="V132" i="92"/>
  <c r="V133" i="92"/>
  <c r="V134" i="92"/>
  <c r="V135" i="92"/>
  <c r="V136" i="92"/>
  <c r="V137" i="92"/>
  <c r="V138" i="92"/>
  <c r="V139" i="92"/>
  <c r="V140" i="92"/>
  <c r="V141" i="92"/>
  <c r="V142" i="92"/>
  <c r="V143" i="92"/>
  <c r="V144" i="92"/>
  <c r="V145" i="92"/>
  <c r="V146" i="92"/>
  <c r="V147" i="92"/>
  <c r="V148" i="92"/>
  <c r="V149" i="92"/>
  <c r="V150" i="92"/>
  <c r="V151" i="92"/>
  <c r="V152" i="92"/>
  <c r="V153" i="92"/>
  <c r="V154" i="92"/>
  <c r="V155" i="92"/>
  <c r="V156" i="92"/>
  <c r="V157" i="92"/>
  <c r="V158" i="92"/>
  <c r="V159" i="92"/>
  <c r="V160" i="92"/>
  <c r="V161" i="92"/>
  <c r="V162" i="92"/>
  <c r="V163" i="92"/>
  <c r="V164" i="92"/>
  <c r="V165" i="92"/>
  <c r="V166" i="92"/>
  <c r="V167" i="92"/>
  <c r="V168" i="92"/>
  <c r="V169" i="92"/>
  <c r="V170" i="92"/>
  <c r="V171" i="92"/>
  <c r="V172" i="92"/>
  <c r="V173" i="92"/>
  <c r="V174" i="92"/>
  <c r="V175" i="92"/>
  <c r="V176" i="92"/>
  <c r="V177" i="92"/>
  <c r="V178" i="92"/>
  <c r="V179" i="92"/>
  <c r="V180" i="92"/>
  <c r="V181" i="92"/>
  <c r="V182" i="92"/>
  <c r="V183" i="92"/>
  <c r="V184" i="92"/>
  <c r="V185" i="92"/>
  <c r="V186" i="92"/>
  <c r="V187" i="92"/>
  <c r="V188" i="92"/>
  <c r="V189" i="92"/>
  <c r="V190" i="92"/>
  <c r="V191" i="92"/>
  <c r="V192" i="92"/>
  <c r="V193" i="92"/>
  <c r="V194" i="92"/>
  <c r="V195" i="92"/>
  <c r="V196" i="92"/>
  <c r="V197" i="92"/>
  <c r="V198" i="92"/>
  <c r="V199" i="92"/>
  <c r="V200" i="92"/>
  <c r="V201" i="92"/>
  <c r="V202" i="92"/>
  <c r="V203" i="92"/>
  <c r="V204" i="92"/>
  <c r="V205" i="92"/>
  <c r="V206" i="92"/>
  <c r="V207" i="92"/>
  <c r="V208" i="92"/>
  <c r="V209" i="92"/>
  <c r="V210" i="92"/>
  <c r="V211" i="92"/>
  <c r="V212" i="92"/>
  <c r="V213" i="92"/>
  <c r="V214" i="92"/>
  <c r="V215" i="92"/>
  <c r="V216" i="92"/>
  <c r="V217" i="92"/>
  <c r="V218" i="92"/>
  <c r="V219" i="92"/>
  <c r="V220" i="92"/>
  <c r="V221" i="92"/>
  <c r="V222" i="92"/>
  <c r="V223" i="92"/>
  <c r="V224" i="92"/>
  <c r="V225" i="92"/>
  <c r="V226" i="92"/>
  <c r="V227" i="92"/>
  <c r="V228" i="92"/>
  <c r="V229" i="92"/>
  <c r="V230" i="92"/>
  <c r="V231" i="92"/>
  <c r="V232" i="92"/>
  <c r="V233" i="92"/>
  <c r="V234" i="92"/>
  <c r="V235" i="92"/>
  <c r="V236" i="92"/>
  <c r="V237" i="92"/>
  <c r="V238" i="92"/>
  <c r="V239" i="92"/>
  <c r="V240" i="92"/>
  <c r="V241" i="92"/>
  <c r="V242" i="92"/>
  <c r="V243" i="92"/>
  <c r="V244" i="92"/>
  <c r="V245" i="92"/>
  <c r="V246" i="92"/>
  <c r="V247" i="92"/>
  <c r="V248" i="92"/>
  <c r="V249" i="92"/>
  <c r="V250" i="92"/>
  <c r="V251" i="92"/>
  <c r="V252" i="92"/>
  <c r="V253" i="92"/>
  <c r="V254" i="92"/>
  <c r="V255" i="92"/>
  <c r="V256" i="92"/>
  <c r="V257" i="92"/>
  <c r="V258" i="92"/>
  <c r="V259" i="92"/>
  <c r="V260" i="92"/>
  <c r="V261" i="92"/>
  <c r="V262" i="92"/>
  <c r="V263" i="92"/>
  <c r="V264" i="92"/>
  <c r="V265" i="92"/>
  <c r="V266" i="92"/>
  <c r="V267" i="92"/>
  <c r="V268" i="92"/>
  <c r="V269" i="92"/>
  <c r="V270" i="92"/>
  <c r="V271" i="92"/>
  <c r="V272" i="92"/>
  <c r="V273" i="92"/>
  <c r="V274" i="92"/>
  <c r="V275" i="92"/>
  <c r="V276" i="92"/>
  <c r="V277" i="92"/>
  <c r="V278" i="92"/>
  <c r="V279" i="92"/>
  <c r="V280" i="92"/>
  <c r="V281" i="92"/>
  <c r="V282" i="92"/>
  <c r="V283" i="92"/>
  <c r="V284" i="92"/>
  <c r="V285" i="92"/>
  <c r="V286" i="92"/>
  <c r="V287" i="92"/>
  <c r="V288" i="92"/>
  <c r="V289" i="92"/>
  <c r="V290" i="92"/>
  <c r="V291" i="92"/>
  <c r="V292" i="92"/>
  <c r="V293" i="92"/>
  <c r="V294" i="92"/>
  <c r="V295" i="92"/>
  <c r="V296" i="92"/>
  <c r="V297" i="92"/>
  <c r="V298" i="92"/>
  <c r="V299" i="92"/>
  <c r="V300" i="92"/>
  <c r="V301" i="92"/>
  <c r="V302" i="92"/>
  <c r="V303" i="92"/>
  <c r="V304" i="92"/>
  <c r="V305" i="92"/>
  <c r="V306" i="92"/>
  <c r="V307" i="92"/>
  <c r="V308" i="92"/>
  <c r="V3" i="92"/>
  <c r="U4" i="92"/>
  <c r="U5" i="92"/>
  <c r="U6" i="92"/>
  <c r="U7" i="92"/>
  <c r="U8" i="92"/>
  <c r="U9" i="92"/>
  <c r="U10" i="92"/>
  <c r="U11" i="92"/>
  <c r="U12" i="92"/>
  <c r="U13" i="92"/>
  <c r="U14" i="92"/>
  <c r="U15" i="92"/>
  <c r="U16" i="92"/>
  <c r="U17" i="92"/>
  <c r="U18" i="92"/>
  <c r="U19" i="92"/>
  <c r="U20" i="92"/>
  <c r="U21" i="92"/>
  <c r="U22" i="92"/>
  <c r="U23" i="92"/>
  <c r="U24" i="92"/>
  <c r="U25" i="92"/>
  <c r="U26" i="92"/>
  <c r="U27" i="92"/>
  <c r="U28" i="92"/>
  <c r="U29" i="92"/>
  <c r="U30" i="92"/>
  <c r="U31" i="92"/>
  <c r="U32" i="92"/>
  <c r="U33" i="92"/>
  <c r="U34" i="92"/>
  <c r="U35" i="92"/>
  <c r="U36" i="92"/>
  <c r="U37" i="92"/>
  <c r="U38" i="92"/>
  <c r="U39" i="92"/>
  <c r="U40" i="92"/>
  <c r="U41" i="92"/>
  <c r="U42" i="92"/>
  <c r="U43" i="92"/>
  <c r="U44" i="92"/>
  <c r="U45" i="92"/>
  <c r="U46" i="92"/>
  <c r="U47" i="92"/>
  <c r="U48" i="92"/>
  <c r="U49" i="92"/>
  <c r="U50" i="92"/>
  <c r="U51" i="92"/>
  <c r="U52" i="92"/>
  <c r="U53" i="92"/>
  <c r="U54" i="92"/>
  <c r="U55" i="92"/>
  <c r="U56" i="92"/>
  <c r="U57" i="92"/>
  <c r="U58" i="92"/>
  <c r="U59" i="92"/>
  <c r="U60" i="92"/>
  <c r="U61" i="92"/>
  <c r="U63" i="92"/>
  <c r="U65" i="92"/>
  <c r="U66" i="92"/>
  <c r="U67" i="92"/>
  <c r="U68" i="92"/>
  <c r="U69" i="92"/>
  <c r="U70" i="92"/>
  <c r="U71" i="92"/>
  <c r="U72" i="92"/>
  <c r="U73" i="92"/>
  <c r="U74" i="92"/>
  <c r="U75" i="92"/>
  <c r="U76" i="92"/>
  <c r="U77" i="92"/>
  <c r="U78" i="92"/>
  <c r="U79" i="92"/>
  <c r="U80" i="92"/>
  <c r="U81" i="92"/>
  <c r="U82" i="92"/>
  <c r="U83" i="92"/>
  <c r="U84" i="92"/>
  <c r="U85" i="92"/>
  <c r="U86" i="92"/>
  <c r="U87" i="92"/>
  <c r="U88" i="92"/>
  <c r="U89" i="92"/>
  <c r="U90" i="92"/>
  <c r="U91" i="92"/>
  <c r="U92" i="92"/>
  <c r="U93" i="92"/>
  <c r="U94" i="92"/>
  <c r="U95" i="92"/>
  <c r="U96" i="92"/>
  <c r="U97" i="92"/>
  <c r="U98" i="92"/>
  <c r="U99" i="92"/>
  <c r="U100" i="92"/>
  <c r="U101" i="92"/>
  <c r="U102" i="92"/>
  <c r="U103" i="92"/>
  <c r="U104" i="92"/>
  <c r="U105" i="92"/>
  <c r="U106" i="92"/>
  <c r="U107" i="92"/>
  <c r="U108" i="92"/>
  <c r="U109" i="92"/>
  <c r="U110" i="92"/>
  <c r="U111" i="92"/>
  <c r="U112" i="92"/>
  <c r="U113" i="92"/>
  <c r="U114" i="92"/>
  <c r="U115" i="92"/>
  <c r="U116" i="92"/>
  <c r="U117" i="92"/>
  <c r="U118" i="92"/>
  <c r="U119" i="92"/>
  <c r="U120" i="92"/>
  <c r="U121" i="92"/>
  <c r="U122" i="92"/>
  <c r="U123" i="92"/>
  <c r="U124" i="92"/>
  <c r="U125" i="92"/>
  <c r="U126" i="92"/>
  <c r="U127" i="92"/>
  <c r="U128" i="92"/>
  <c r="U129" i="92"/>
  <c r="U130" i="92"/>
  <c r="U131" i="92"/>
  <c r="U132" i="92"/>
  <c r="U133" i="92"/>
  <c r="U134" i="92"/>
  <c r="U135" i="92"/>
  <c r="U136" i="92"/>
  <c r="U137" i="92"/>
  <c r="U138" i="92"/>
  <c r="U139" i="92"/>
  <c r="U140" i="92"/>
  <c r="U141" i="92"/>
  <c r="U142" i="92"/>
  <c r="U143" i="92"/>
  <c r="U144" i="92"/>
  <c r="U145" i="92"/>
  <c r="U146" i="92"/>
  <c r="U147" i="92"/>
  <c r="U148" i="92"/>
  <c r="U149" i="92"/>
  <c r="U150" i="92"/>
  <c r="U151" i="92"/>
  <c r="U152" i="92"/>
  <c r="U153" i="92"/>
  <c r="U154" i="92"/>
  <c r="U155" i="92"/>
  <c r="U156" i="92"/>
  <c r="U157" i="92"/>
  <c r="U158" i="92"/>
  <c r="U159" i="92"/>
  <c r="U160" i="92"/>
  <c r="U161" i="92"/>
  <c r="U162" i="92"/>
  <c r="U163" i="92"/>
  <c r="U164" i="92"/>
  <c r="U165" i="92"/>
  <c r="U166" i="92"/>
  <c r="U167" i="92"/>
  <c r="U168" i="92"/>
  <c r="U169" i="92"/>
  <c r="U170" i="92"/>
  <c r="U171" i="92"/>
  <c r="U172" i="92"/>
  <c r="U173" i="92"/>
  <c r="U174" i="92"/>
  <c r="U175" i="92"/>
  <c r="U176" i="92"/>
  <c r="U177" i="92"/>
  <c r="U178" i="92"/>
  <c r="U179" i="92"/>
  <c r="U180" i="92"/>
  <c r="U181" i="92"/>
  <c r="U182" i="92"/>
  <c r="U183" i="92"/>
  <c r="U184" i="92"/>
  <c r="U185" i="92"/>
  <c r="U186" i="92"/>
  <c r="U187" i="92"/>
  <c r="U188" i="92"/>
  <c r="U189" i="92"/>
  <c r="U190" i="92"/>
  <c r="U191" i="92"/>
  <c r="U192" i="92"/>
  <c r="U193" i="92"/>
  <c r="U194" i="92"/>
  <c r="U195" i="92"/>
  <c r="U196" i="92"/>
  <c r="U197" i="92"/>
  <c r="U198" i="92"/>
  <c r="U199" i="92"/>
  <c r="U200" i="92"/>
  <c r="U201" i="92"/>
  <c r="U202" i="92"/>
  <c r="U203" i="92"/>
  <c r="U204" i="92"/>
  <c r="U205" i="92"/>
  <c r="U206" i="92"/>
  <c r="U207" i="92"/>
  <c r="U208" i="92"/>
  <c r="U209" i="92"/>
  <c r="U210" i="92"/>
  <c r="U211" i="92"/>
  <c r="U212" i="92"/>
  <c r="U213" i="92"/>
  <c r="U214" i="92"/>
  <c r="U215" i="92"/>
  <c r="U216" i="92"/>
  <c r="U217" i="92"/>
  <c r="U218" i="92"/>
  <c r="U219" i="92"/>
  <c r="U220" i="92"/>
  <c r="U221" i="92"/>
  <c r="U222" i="92"/>
  <c r="U223" i="92"/>
  <c r="U224" i="92"/>
  <c r="U225" i="92"/>
  <c r="U226" i="92"/>
  <c r="U227" i="92"/>
  <c r="U228" i="92"/>
  <c r="U229" i="92"/>
  <c r="U230" i="92"/>
  <c r="U231" i="92"/>
  <c r="U232" i="92"/>
  <c r="U233" i="92"/>
  <c r="U234" i="92"/>
  <c r="U235" i="92"/>
  <c r="U236" i="92"/>
  <c r="U237" i="92"/>
  <c r="U238" i="92"/>
  <c r="U239" i="92"/>
  <c r="U240" i="92"/>
  <c r="U241" i="92"/>
  <c r="U242" i="92"/>
  <c r="U243" i="92"/>
  <c r="U244" i="92"/>
  <c r="U245" i="92"/>
  <c r="U246" i="92"/>
  <c r="U247" i="92"/>
  <c r="U248" i="92"/>
  <c r="U249" i="92"/>
  <c r="U250" i="92"/>
  <c r="U251" i="92"/>
  <c r="U252" i="92"/>
  <c r="U253" i="92"/>
  <c r="U254" i="92"/>
  <c r="U255" i="92"/>
  <c r="U256" i="92"/>
  <c r="U257" i="92"/>
  <c r="U258" i="92"/>
  <c r="U259" i="92"/>
  <c r="U260" i="92"/>
  <c r="U261" i="92"/>
  <c r="U262" i="92"/>
  <c r="U263" i="92"/>
  <c r="U264" i="92"/>
  <c r="U265" i="92"/>
  <c r="U266" i="92"/>
  <c r="U267" i="92"/>
  <c r="U268" i="92"/>
  <c r="U269" i="92"/>
  <c r="U270" i="92"/>
  <c r="U271" i="92"/>
  <c r="U272" i="92"/>
  <c r="U273" i="92"/>
  <c r="U274" i="92"/>
  <c r="U275" i="92"/>
  <c r="U276" i="92"/>
  <c r="U277" i="92"/>
  <c r="U278" i="92"/>
  <c r="U279" i="92"/>
  <c r="U280" i="92"/>
  <c r="U281" i="92"/>
  <c r="U282" i="92"/>
  <c r="U283" i="92"/>
  <c r="U284" i="92"/>
  <c r="U285" i="92"/>
  <c r="U286" i="92"/>
  <c r="U287" i="92"/>
  <c r="U288" i="92"/>
  <c r="U289" i="92"/>
  <c r="U290" i="92"/>
  <c r="U291" i="92"/>
  <c r="U292" i="92"/>
  <c r="U293" i="92"/>
  <c r="U294" i="92"/>
  <c r="U295" i="92"/>
  <c r="U296" i="92"/>
  <c r="U297" i="92"/>
  <c r="U298" i="92"/>
  <c r="U299" i="92"/>
  <c r="U300" i="92"/>
  <c r="U301" i="92"/>
  <c r="U302" i="92"/>
  <c r="U303" i="92"/>
  <c r="U304" i="92"/>
  <c r="U305" i="92"/>
  <c r="U306" i="92"/>
  <c r="U307" i="92"/>
  <c r="U308" i="92"/>
  <c r="U3" i="92"/>
  <c r="T4" i="92"/>
  <c r="T5" i="92"/>
  <c r="T6" i="92"/>
  <c r="T7" i="92"/>
  <c r="T8" i="92"/>
  <c r="T9" i="92"/>
  <c r="T10" i="92"/>
  <c r="T11" i="92"/>
  <c r="T12" i="92"/>
  <c r="T13" i="92"/>
  <c r="T14" i="92"/>
  <c r="T15" i="92"/>
  <c r="T16" i="92"/>
  <c r="T17" i="92"/>
  <c r="T18" i="92"/>
  <c r="T19" i="92"/>
  <c r="T20" i="92"/>
  <c r="T21" i="92"/>
  <c r="T22" i="92"/>
  <c r="T23" i="92"/>
  <c r="T24" i="92"/>
  <c r="T25" i="92"/>
  <c r="T26" i="92"/>
  <c r="T27" i="92"/>
  <c r="T28" i="92"/>
  <c r="T29" i="92"/>
  <c r="T30" i="92"/>
  <c r="T31" i="92"/>
  <c r="T32" i="92"/>
  <c r="T33" i="92"/>
  <c r="T34" i="92"/>
  <c r="T35" i="92"/>
  <c r="T36" i="92"/>
  <c r="T37" i="92"/>
  <c r="T38" i="92"/>
  <c r="T39" i="92"/>
  <c r="T40" i="92"/>
  <c r="T41" i="92"/>
  <c r="T42" i="92"/>
  <c r="T43" i="92"/>
  <c r="T44" i="92"/>
  <c r="T45" i="92"/>
  <c r="T46" i="92"/>
  <c r="T47" i="92"/>
  <c r="T48" i="92"/>
  <c r="T49" i="92"/>
  <c r="T50" i="92"/>
  <c r="T51" i="92"/>
  <c r="T52" i="92"/>
  <c r="T53" i="92"/>
  <c r="T54" i="92"/>
  <c r="T55" i="92"/>
  <c r="T56" i="92"/>
  <c r="T57" i="92"/>
  <c r="T58" i="92"/>
  <c r="T59" i="92"/>
  <c r="T60" i="92"/>
  <c r="T61" i="92"/>
  <c r="T63" i="92"/>
  <c r="T64" i="92"/>
  <c r="T65" i="92"/>
  <c r="T66" i="92"/>
  <c r="T67" i="92"/>
  <c r="T68" i="92"/>
  <c r="T69" i="92"/>
  <c r="T70" i="92"/>
  <c r="T71" i="92"/>
  <c r="T72" i="92"/>
  <c r="T73" i="92"/>
  <c r="T74" i="92"/>
  <c r="T75" i="92"/>
  <c r="T76" i="92"/>
  <c r="T77" i="92"/>
  <c r="T78" i="92"/>
  <c r="T79" i="92"/>
  <c r="T80" i="92"/>
  <c r="T81" i="92"/>
  <c r="T82" i="92"/>
  <c r="T83" i="92"/>
  <c r="T84" i="92"/>
  <c r="T85" i="92"/>
  <c r="T86" i="92"/>
  <c r="T87" i="92"/>
  <c r="T88" i="92"/>
  <c r="T89" i="92"/>
  <c r="T90" i="92"/>
  <c r="T91" i="92"/>
  <c r="T92" i="92"/>
  <c r="T93" i="92"/>
  <c r="T94" i="92"/>
  <c r="T95" i="92"/>
  <c r="T96" i="92"/>
  <c r="T97" i="92"/>
  <c r="T98" i="92"/>
  <c r="T99" i="92"/>
  <c r="T100" i="92"/>
  <c r="T101" i="92"/>
  <c r="T102" i="92"/>
  <c r="T103" i="92"/>
  <c r="T104" i="92"/>
  <c r="T105" i="92"/>
  <c r="T106" i="92"/>
  <c r="T107" i="92"/>
  <c r="T108" i="92"/>
  <c r="T109" i="92"/>
  <c r="T110" i="92"/>
  <c r="T111" i="92"/>
  <c r="T112" i="92"/>
  <c r="T113" i="92"/>
  <c r="T114" i="92"/>
  <c r="T115" i="92"/>
  <c r="T116" i="92"/>
  <c r="T117" i="92"/>
  <c r="T118" i="92"/>
  <c r="T119" i="92"/>
  <c r="T120" i="92"/>
  <c r="T121" i="92"/>
  <c r="T122" i="92"/>
  <c r="T123" i="92"/>
  <c r="T124" i="92"/>
  <c r="T125" i="92"/>
  <c r="T126" i="92"/>
  <c r="T127" i="92"/>
  <c r="T128" i="92"/>
  <c r="T129" i="92"/>
  <c r="T130" i="92"/>
  <c r="T131" i="92"/>
  <c r="T132" i="92"/>
  <c r="T133" i="92"/>
  <c r="T134" i="92"/>
  <c r="T135" i="92"/>
  <c r="T136" i="92"/>
  <c r="T137" i="92"/>
  <c r="T138" i="92"/>
  <c r="T139" i="92"/>
  <c r="T140" i="92"/>
  <c r="T141" i="92"/>
  <c r="T142" i="92"/>
  <c r="T143" i="92"/>
  <c r="T144" i="92"/>
  <c r="T145" i="92"/>
  <c r="T146" i="92"/>
  <c r="T147" i="92"/>
  <c r="T148" i="92"/>
  <c r="T149" i="92"/>
  <c r="T150" i="92"/>
  <c r="T151" i="92"/>
  <c r="T152" i="92"/>
  <c r="T153" i="92"/>
  <c r="T154" i="92"/>
  <c r="T155" i="92"/>
  <c r="T156" i="92"/>
  <c r="T157" i="92"/>
  <c r="T158" i="92"/>
  <c r="T159" i="92"/>
  <c r="T160" i="92"/>
  <c r="T161" i="92"/>
  <c r="T162" i="92"/>
  <c r="T163" i="92"/>
  <c r="T164" i="92"/>
  <c r="T165" i="92"/>
  <c r="T166" i="92"/>
  <c r="T167" i="92"/>
  <c r="T168" i="92"/>
  <c r="T169" i="92"/>
  <c r="T170" i="92"/>
  <c r="T171" i="92"/>
  <c r="T172" i="92"/>
  <c r="T173" i="92"/>
  <c r="T174" i="92"/>
  <c r="T175" i="92"/>
  <c r="T176" i="92"/>
  <c r="T177" i="92"/>
  <c r="T178" i="92"/>
  <c r="T179" i="92"/>
  <c r="T180" i="92"/>
  <c r="T181" i="92"/>
  <c r="T182" i="92"/>
  <c r="T183" i="92"/>
  <c r="T184" i="92"/>
  <c r="T185" i="92"/>
  <c r="T186" i="92"/>
  <c r="T187" i="92"/>
  <c r="T188" i="92"/>
  <c r="T189" i="92"/>
  <c r="T190" i="92"/>
  <c r="T191" i="92"/>
  <c r="T192" i="92"/>
  <c r="T193" i="92"/>
  <c r="T194" i="92"/>
  <c r="T195" i="92"/>
  <c r="T196" i="92"/>
  <c r="T197" i="92"/>
  <c r="T198" i="92"/>
  <c r="T199" i="92"/>
  <c r="T200" i="92"/>
  <c r="T201" i="92"/>
  <c r="T202" i="92"/>
  <c r="T203" i="92"/>
  <c r="T204" i="92"/>
  <c r="T205" i="92"/>
  <c r="T206" i="92"/>
  <c r="T207" i="92"/>
  <c r="T208" i="92"/>
  <c r="T209" i="92"/>
  <c r="T210" i="92"/>
  <c r="T211" i="92"/>
  <c r="T212" i="92"/>
  <c r="T213" i="92"/>
  <c r="T214" i="92"/>
  <c r="T215" i="92"/>
  <c r="T216" i="92"/>
  <c r="T217" i="92"/>
  <c r="T218" i="92"/>
  <c r="T219" i="92"/>
  <c r="T220" i="92"/>
  <c r="T221" i="92"/>
  <c r="T222" i="92"/>
  <c r="T223" i="92"/>
  <c r="T224" i="92"/>
  <c r="T225" i="92"/>
  <c r="T226" i="92"/>
  <c r="T227" i="92"/>
  <c r="T228" i="92"/>
  <c r="T229" i="92"/>
  <c r="T230" i="92"/>
  <c r="T231" i="92"/>
  <c r="T232" i="92"/>
  <c r="T233" i="92"/>
  <c r="T234" i="92"/>
  <c r="T235" i="92"/>
  <c r="T236" i="92"/>
  <c r="T237" i="92"/>
  <c r="T238" i="92"/>
  <c r="T239" i="92"/>
  <c r="T240" i="92"/>
  <c r="T241" i="92"/>
  <c r="T242" i="92"/>
  <c r="T243" i="92"/>
  <c r="T244" i="92"/>
  <c r="T245" i="92"/>
  <c r="T246" i="92"/>
  <c r="T247" i="92"/>
  <c r="T248" i="92"/>
  <c r="T249" i="92"/>
  <c r="T250" i="92"/>
  <c r="T251" i="92"/>
  <c r="T252" i="92"/>
  <c r="T253" i="92"/>
  <c r="T254" i="92"/>
  <c r="T255" i="92"/>
  <c r="T256" i="92"/>
  <c r="T257" i="92"/>
  <c r="T258" i="92"/>
  <c r="T259" i="92"/>
  <c r="T260" i="92"/>
  <c r="T261" i="92"/>
  <c r="T262" i="92"/>
  <c r="T263" i="92"/>
  <c r="T264" i="92"/>
  <c r="T265" i="92"/>
  <c r="T266" i="92"/>
  <c r="T267" i="92"/>
  <c r="T268" i="92"/>
  <c r="T269" i="92"/>
  <c r="T270" i="92"/>
  <c r="T271" i="92"/>
  <c r="T272" i="92"/>
  <c r="T273" i="92"/>
  <c r="T274" i="92"/>
  <c r="T275" i="92"/>
  <c r="T276" i="92"/>
  <c r="T277" i="92"/>
  <c r="T278" i="92"/>
  <c r="T279" i="92"/>
  <c r="T280" i="92"/>
  <c r="T281" i="92"/>
  <c r="T282" i="92"/>
  <c r="T283" i="92"/>
  <c r="T284" i="92"/>
  <c r="T285" i="92"/>
  <c r="T286" i="92"/>
  <c r="T287" i="92"/>
  <c r="T288" i="92"/>
  <c r="T289" i="92"/>
  <c r="T290" i="92"/>
  <c r="T291" i="92"/>
  <c r="T292" i="92"/>
  <c r="T293" i="92"/>
  <c r="T294" i="92"/>
  <c r="T295" i="92"/>
  <c r="T296" i="92"/>
  <c r="T297" i="92"/>
  <c r="T298" i="92"/>
  <c r="T299" i="92"/>
  <c r="T300" i="92"/>
  <c r="T301" i="92"/>
  <c r="T302" i="92"/>
  <c r="T303" i="92"/>
  <c r="T304" i="92"/>
  <c r="T305" i="92"/>
  <c r="T306" i="92"/>
  <c r="T307" i="92"/>
  <c r="T308" i="92"/>
  <c r="T3" i="92"/>
  <c r="N128" i="105" l="1"/>
  <c r="D76" i="107"/>
  <c r="L106" i="106"/>
  <c r="Q307" i="120" l="1"/>
  <c r="Q307" i="92" s="1"/>
  <c r="Q307" i="117"/>
  <c r="O307" i="92" s="1"/>
  <c r="Q306" i="120" l="1"/>
  <c r="Q306" i="92" s="1"/>
  <c r="U174" i="120"/>
  <c r="U131" i="120"/>
  <c r="U116" i="120"/>
  <c r="U115" i="120"/>
  <c r="U110" i="120"/>
  <c r="U109" i="120"/>
  <c r="U104" i="120"/>
  <c r="U103" i="120"/>
  <c r="U98" i="120"/>
  <c r="U97" i="120"/>
  <c r="U92" i="120"/>
  <c r="U91" i="120"/>
  <c r="U86" i="120"/>
  <c r="U85" i="120"/>
  <c r="U73" i="120"/>
  <c r="U72" i="120"/>
  <c r="U39" i="120"/>
  <c r="U38" i="120"/>
  <c r="U33" i="120"/>
  <c r="U32" i="120"/>
  <c r="U27" i="120"/>
  <c r="U26" i="120"/>
  <c r="U21" i="120"/>
  <c r="U20" i="120"/>
  <c r="L63" i="106" l="1"/>
  <c r="N50" i="109"/>
  <c r="F49" i="109" s="1"/>
  <c r="N47" i="109"/>
  <c r="N46" i="109"/>
  <c r="N44" i="109"/>
  <c r="F43" i="109" s="1"/>
  <c r="N36" i="109"/>
  <c r="F39" i="109"/>
  <c r="F33" i="109"/>
  <c r="F29" i="109"/>
  <c r="F26" i="109"/>
  <c r="F23" i="109"/>
  <c r="E96" i="108"/>
  <c r="F96" i="108"/>
  <c r="E93" i="108"/>
  <c r="F93" i="108"/>
  <c r="E90" i="108"/>
  <c r="F90" i="108"/>
  <c r="N59" i="108"/>
  <c r="F58" i="108" s="1"/>
  <c r="N56" i="108"/>
  <c r="N55" i="108"/>
  <c r="N53" i="108"/>
  <c r="F52" i="108" s="1"/>
  <c r="N45" i="108"/>
  <c r="F45" i="108" s="1"/>
  <c r="F49" i="107"/>
  <c r="F55" i="108" l="1"/>
  <c r="F36" i="109"/>
  <c r="F46" i="109"/>
  <c r="Q306" i="117"/>
  <c r="O306" i="92" s="1"/>
  <c r="F45" i="107"/>
  <c r="N73" i="107" l="1"/>
  <c r="F72" i="107" s="1"/>
  <c r="N70" i="107"/>
  <c r="N69" i="107"/>
  <c r="F69" i="107" s="1"/>
  <c r="N67" i="107"/>
  <c r="F66" i="107" s="1"/>
  <c r="N59" i="107"/>
  <c r="F59" i="107" s="1"/>
  <c r="D119" i="106"/>
  <c r="N126" i="106"/>
  <c r="F125" i="106" s="1"/>
  <c r="N123" i="106"/>
  <c r="N122" i="106"/>
  <c r="N120" i="106"/>
  <c r="F119" i="106" s="1"/>
  <c r="N112" i="106"/>
  <c r="F112" i="106" s="1"/>
  <c r="F100" i="106"/>
  <c r="L66" i="106"/>
  <c r="F122" i="106" l="1"/>
  <c r="N81" i="106"/>
  <c r="F81" i="106" s="1"/>
  <c r="F128" i="105"/>
  <c r="F125" i="105"/>
  <c r="N122" i="105"/>
  <c r="F121" i="105" s="1"/>
  <c r="N119" i="105"/>
  <c r="N116" i="105"/>
  <c r="F115" i="105" s="1"/>
  <c r="N118" i="105"/>
  <c r="N107" i="105"/>
  <c r="F107" i="105" s="1"/>
  <c r="F118" i="105" l="1"/>
  <c r="N54" i="106"/>
  <c r="F53" i="106" s="1"/>
  <c r="N48" i="106"/>
  <c r="F47" i="106" s="1"/>
  <c r="N36" i="106"/>
  <c r="F35" i="106" s="1"/>
  <c r="N30" i="106"/>
  <c r="F29" i="106" s="1"/>
  <c r="N24" i="106"/>
  <c r="F23" i="106" s="1"/>
  <c r="N101" i="105"/>
  <c r="F100" i="105" s="1"/>
  <c r="L83" i="105"/>
  <c r="F70" i="105"/>
  <c r="N74" i="105"/>
  <c r="N67" i="105"/>
  <c r="N64" i="105"/>
  <c r="F63" i="105" s="1"/>
  <c r="N56" i="105"/>
  <c r="F55" i="105" s="1"/>
  <c r="N53" i="105"/>
  <c r="F52" i="105" s="1"/>
  <c r="F105" i="104"/>
  <c r="N98" i="104"/>
  <c r="L98" i="104"/>
  <c r="L88" i="104"/>
  <c r="N88" i="104"/>
  <c r="N86" i="104"/>
  <c r="F85" i="104" s="1"/>
  <c r="N89" i="104"/>
  <c r="N92" i="104"/>
  <c r="F91" i="104" s="1"/>
  <c r="L92" i="104"/>
  <c r="L89" i="104"/>
  <c r="L86" i="104"/>
  <c r="F88" i="104" l="1"/>
  <c r="L96" i="104"/>
  <c r="L99" i="104"/>
  <c r="L102" i="104"/>
  <c r="N102" i="104"/>
  <c r="F101" i="104" s="1"/>
  <c r="N99" i="104"/>
  <c r="F98" i="104" s="1"/>
  <c r="N96" i="104"/>
  <c r="F95" i="104" s="1"/>
  <c r="F66" i="105"/>
  <c r="F73" i="105"/>
  <c r="N77" i="105"/>
  <c r="F76" i="105" s="1"/>
  <c r="N66" i="104" l="1"/>
  <c r="F65" i="104" s="1"/>
  <c r="N69" i="104"/>
  <c r="F68" i="104" s="1"/>
  <c r="N40" i="104"/>
  <c r="F39" i="104" s="1"/>
  <c r="L40" i="104"/>
  <c r="N27" i="104"/>
  <c r="F26" i="104" s="1"/>
  <c r="N30" i="104" l="1"/>
  <c r="F29" i="104" s="1"/>
  <c r="L43" i="104"/>
  <c r="N43" i="104"/>
  <c r="F42" i="104" s="1"/>
  <c r="N61" i="102"/>
  <c r="F60" i="102" s="1"/>
  <c r="N63" i="102"/>
  <c r="N64" i="102"/>
  <c r="N67" i="102"/>
  <c r="F66" i="102" s="1"/>
  <c r="L63" i="102"/>
  <c r="F63" i="102" l="1"/>
  <c r="L69" i="104"/>
  <c r="L66" i="104"/>
  <c r="L86" i="105" l="1"/>
  <c r="L61" i="105"/>
  <c r="L67" i="105" s="1"/>
  <c r="L71" i="105"/>
  <c r="L56" i="105"/>
  <c r="L53" i="105"/>
  <c r="L87" i="105"/>
  <c r="L64" i="105" l="1"/>
  <c r="L77" i="105"/>
  <c r="L74" i="105"/>
  <c r="L67" i="102"/>
  <c r="L64" i="102"/>
  <c r="L61" i="102"/>
  <c r="D100" i="105" l="1"/>
  <c r="D49" i="109" l="1"/>
  <c r="D46" i="109"/>
  <c r="D43" i="109"/>
  <c r="D39" i="109"/>
  <c r="D36" i="109"/>
  <c r="D33" i="109"/>
  <c r="D58" i="108" l="1"/>
  <c r="D55" i="108"/>
  <c r="D52" i="108"/>
  <c r="D48" i="108"/>
  <c r="D45" i="108"/>
  <c r="D42" i="108"/>
  <c r="D45" i="107"/>
  <c r="Q11" i="123"/>
  <c r="S126" i="120"/>
  <c r="Q271" i="123"/>
  <c r="Q33" i="124"/>
  <c r="R120" i="124"/>
  <c r="R262" i="120"/>
  <c r="S283" i="117"/>
  <c r="Q249" i="123"/>
  <c r="S276" i="122"/>
  <c r="R139" i="124"/>
  <c r="R185" i="124"/>
  <c r="R118" i="117"/>
  <c r="R163" i="120"/>
  <c r="R262" i="122"/>
  <c r="S156" i="123"/>
  <c r="Q62" i="123"/>
  <c r="S141" i="117"/>
  <c r="S170" i="120"/>
  <c r="Q17" i="123"/>
  <c r="S127" i="123"/>
  <c r="S189" i="117"/>
  <c r="Q117" i="124"/>
  <c r="R159" i="124"/>
  <c r="Q144" i="122"/>
  <c r="R127" i="124"/>
  <c r="R169" i="123"/>
  <c r="R185" i="117"/>
  <c r="R158" i="124"/>
  <c r="R62" i="123"/>
  <c r="Q170" i="123"/>
  <c r="Q230" i="123"/>
  <c r="S186" i="117"/>
  <c r="S186" i="120"/>
  <c r="R173" i="123"/>
  <c r="Q221" i="123"/>
  <c r="Q206" i="122"/>
  <c r="Q91" i="124"/>
  <c r="S131" i="117"/>
  <c r="S168" i="117"/>
  <c r="S160" i="117"/>
  <c r="Q246" i="124"/>
  <c r="R172" i="124"/>
  <c r="R205" i="122"/>
  <c r="R282" i="123"/>
  <c r="Q183" i="124"/>
  <c r="S281" i="123"/>
  <c r="Q119" i="123"/>
  <c r="Q30" i="123"/>
  <c r="R215" i="117"/>
  <c r="R40" i="120"/>
  <c r="Q173" i="122"/>
  <c r="R277" i="123"/>
  <c r="Q177" i="124"/>
  <c r="Q3" i="124"/>
  <c r="Q257" i="124"/>
  <c r="S139" i="123"/>
  <c r="Q125" i="124"/>
  <c r="R131" i="120"/>
  <c r="S183" i="124"/>
  <c r="Q258" i="123"/>
  <c r="R258" i="123"/>
  <c r="S64" i="123"/>
  <c r="R44" i="123"/>
  <c r="R172" i="123"/>
  <c r="S125" i="117"/>
  <c r="S168" i="123"/>
  <c r="S73" i="120"/>
  <c r="S260" i="117"/>
  <c r="Q130" i="123"/>
  <c r="Q11" i="124"/>
  <c r="Q188" i="124"/>
  <c r="Q197" i="123"/>
  <c r="Q68" i="124"/>
  <c r="Q177" i="122"/>
  <c r="Q119" i="122"/>
  <c r="Q23" i="124"/>
  <c r="Q180" i="123"/>
  <c r="Q14" i="124"/>
  <c r="R211" i="123"/>
  <c r="R220" i="117"/>
  <c r="R69" i="117"/>
  <c r="Q249" i="122"/>
  <c r="S59" i="122"/>
  <c r="Q135" i="124"/>
  <c r="S155" i="124"/>
  <c r="Q108" i="124"/>
  <c r="R60" i="124"/>
  <c r="Q255" i="124"/>
  <c r="R249" i="117"/>
  <c r="Q273" i="124"/>
  <c r="S284" i="124"/>
  <c r="S213" i="124"/>
  <c r="R128" i="124"/>
  <c r="R283" i="123"/>
  <c r="R133" i="124"/>
  <c r="R170" i="117"/>
  <c r="R175" i="120"/>
  <c r="R254" i="117"/>
  <c r="Q161" i="124"/>
  <c r="R79" i="117"/>
  <c r="Q131" i="123"/>
  <c r="R158" i="120"/>
  <c r="S189" i="120"/>
  <c r="R172" i="122"/>
  <c r="Q236" i="124"/>
  <c r="S72" i="122"/>
  <c r="S242" i="117"/>
  <c r="R78" i="123"/>
  <c r="Q88" i="124"/>
  <c r="Q156" i="120"/>
  <c r="S254" i="123"/>
  <c r="Q231" i="123"/>
  <c r="Q152" i="124"/>
  <c r="S222" i="120"/>
  <c r="Q147" i="122"/>
  <c r="R41" i="122"/>
  <c r="Q71" i="124"/>
  <c r="Q96" i="124"/>
  <c r="Q32" i="122"/>
  <c r="S167" i="120"/>
  <c r="Q59" i="122"/>
  <c r="S257" i="123"/>
  <c r="R160" i="120"/>
  <c r="Q110" i="122"/>
  <c r="Q136" i="124"/>
  <c r="Q86" i="124"/>
  <c r="Q197" i="124"/>
  <c r="S135" i="124"/>
  <c r="R79" i="123"/>
  <c r="Q89" i="124"/>
  <c r="Q172" i="122"/>
  <c r="R42" i="123"/>
  <c r="Q77" i="122"/>
  <c r="Q245" i="124"/>
  <c r="R68" i="122"/>
  <c r="S220" i="123"/>
  <c r="R261" i="122"/>
  <c r="Q24" i="124"/>
  <c r="S169" i="124"/>
  <c r="R63" i="117"/>
  <c r="S242" i="120"/>
  <c r="Q149" i="124"/>
  <c r="S169" i="117"/>
  <c r="R190" i="120"/>
  <c r="Q45" i="122"/>
  <c r="S120" i="122"/>
  <c r="R244" i="120"/>
  <c r="S244" i="117"/>
  <c r="R137" i="122"/>
  <c r="R165" i="124"/>
  <c r="S258" i="117"/>
  <c r="S175" i="120"/>
  <c r="Q139" i="123"/>
  <c r="S211" i="120"/>
  <c r="S250" i="122"/>
  <c r="Q128" i="124"/>
  <c r="S172" i="123"/>
  <c r="S44" i="123"/>
  <c r="Q229" i="123"/>
  <c r="R255" i="124"/>
  <c r="R204" i="120"/>
  <c r="S129" i="123"/>
  <c r="Q142" i="123"/>
  <c r="Q243" i="122"/>
  <c r="S185" i="122"/>
  <c r="Q158" i="122"/>
  <c r="S250" i="124"/>
  <c r="Q278" i="122"/>
  <c r="S216" i="123"/>
  <c r="R168" i="124"/>
  <c r="S123" i="124"/>
  <c r="S176" i="124"/>
  <c r="Q261" i="122"/>
  <c r="R239" i="123"/>
  <c r="R61" i="122"/>
  <c r="S169" i="120"/>
  <c r="Q270" i="124"/>
  <c r="Q52" i="122"/>
  <c r="Q103" i="123"/>
  <c r="S189" i="124"/>
  <c r="S222" i="123"/>
  <c r="S280" i="117"/>
  <c r="S165" i="124"/>
  <c r="Q287" i="122"/>
  <c r="Q80" i="123"/>
  <c r="S131" i="120"/>
  <c r="R217" i="120"/>
  <c r="Q69" i="124"/>
  <c r="S70" i="120"/>
  <c r="S261" i="120"/>
  <c r="S174" i="123"/>
  <c r="R179" i="120"/>
  <c r="Q175" i="123"/>
  <c r="R70" i="117"/>
  <c r="S73" i="122"/>
  <c r="Q121" i="123"/>
  <c r="Q290" i="123"/>
  <c r="Q101" i="124"/>
  <c r="Q194" i="123"/>
  <c r="Q198" i="122"/>
  <c r="Q112" i="123"/>
  <c r="R214" i="123"/>
  <c r="S155" i="120"/>
  <c r="R125" i="122"/>
  <c r="S76" i="124"/>
  <c r="R73" i="122"/>
  <c r="S184" i="120"/>
  <c r="Q250" i="124"/>
  <c r="S62" i="124"/>
  <c r="Q247" i="123"/>
  <c r="R259" i="122"/>
  <c r="Q40" i="123"/>
  <c r="S131" i="124"/>
  <c r="S245" i="124"/>
  <c r="Q101" i="122"/>
  <c r="R74" i="117"/>
  <c r="S278" i="123"/>
  <c r="S182" i="122"/>
  <c r="R141" i="123"/>
  <c r="Q213" i="124"/>
  <c r="S214" i="123"/>
  <c r="R126" i="122"/>
  <c r="Q216" i="124"/>
  <c r="Q220" i="123"/>
  <c r="Q26" i="122"/>
  <c r="S121" i="124"/>
  <c r="Q150" i="122"/>
  <c r="Q185" i="122"/>
  <c r="Q147" i="124"/>
  <c r="S204" i="122"/>
  <c r="S138" i="123"/>
  <c r="Q154" i="124"/>
  <c r="S174" i="124"/>
  <c r="S282" i="122"/>
  <c r="S242" i="122"/>
  <c r="S74" i="124"/>
  <c r="R154" i="124"/>
  <c r="R251" i="123"/>
  <c r="S130" i="117"/>
  <c r="Q86" i="120"/>
  <c r="Q13" i="124"/>
  <c r="S60" i="124"/>
  <c r="Q296" i="122"/>
  <c r="Q76" i="122"/>
  <c r="Q25" i="120"/>
  <c r="R255" i="117"/>
  <c r="S176" i="122"/>
  <c r="S136" i="117"/>
  <c r="Q56" i="122"/>
  <c r="S165" i="120"/>
  <c r="R280" i="117"/>
  <c r="S139" i="120"/>
  <c r="S130" i="124"/>
  <c r="R215" i="124"/>
  <c r="Q141" i="122"/>
  <c r="Q145" i="122"/>
  <c r="Q122" i="122"/>
  <c r="S190" i="123"/>
  <c r="R176" i="120"/>
  <c r="S41" i="123"/>
  <c r="Q217" i="124"/>
  <c r="R244" i="123"/>
  <c r="S133" i="117"/>
  <c r="S224" i="117"/>
  <c r="S184" i="122"/>
  <c r="Q57" i="122"/>
  <c r="R182" i="124"/>
  <c r="R41" i="124"/>
  <c r="Q47" i="124"/>
  <c r="R78" i="122"/>
  <c r="S132" i="117"/>
  <c r="R241" i="120"/>
  <c r="R132" i="124"/>
  <c r="S223" i="122"/>
  <c r="Q231" i="122"/>
  <c r="Q180" i="122"/>
  <c r="R280" i="122"/>
  <c r="S73" i="123"/>
  <c r="R155" i="117"/>
  <c r="S180" i="117"/>
  <c r="S118" i="120"/>
  <c r="R213" i="120"/>
  <c r="Q267" i="123"/>
  <c r="Q9" i="122"/>
  <c r="Q40" i="124"/>
  <c r="Q94" i="124"/>
  <c r="S240" i="123"/>
  <c r="Q112" i="124"/>
  <c r="R205" i="120"/>
  <c r="Q15" i="122"/>
  <c r="S218" i="124"/>
  <c r="Q3" i="122"/>
  <c r="S120" i="117"/>
  <c r="R181" i="122"/>
  <c r="R223" i="120"/>
  <c r="Q192" i="124"/>
  <c r="Q184" i="124"/>
  <c r="R188" i="123"/>
  <c r="Q265" i="122"/>
  <c r="Q139" i="124"/>
  <c r="Q18" i="124"/>
  <c r="R170" i="123"/>
  <c r="Q153" i="124"/>
  <c r="S154" i="123"/>
  <c r="Q41" i="122"/>
  <c r="R276" i="122"/>
  <c r="Q130" i="124"/>
  <c r="R212" i="122"/>
  <c r="S160" i="120"/>
  <c r="R171" i="123"/>
  <c r="R281" i="122"/>
  <c r="S179" i="120"/>
  <c r="S253" i="124"/>
  <c r="S247" i="120"/>
  <c r="Q201" i="123"/>
  <c r="S177" i="122"/>
  <c r="Q161" i="122"/>
  <c r="S79" i="122"/>
  <c r="Q75" i="124"/>
  <c r="Q157" i="124"/>
  <c r="S282" i="117"/>
  <c r="R77" i="123"/>
  <c r="Q169" i="124"/>
  <c r="Q27" i="123"/>
  <c r="R167" i="122"/>
  <c r="R281" i="120"/>
  <c r="R63" i="123"/>
  <c r="Q146" i="122"/>
  <c r="S219" i="120"/>
  <c r="R159" i="122"/>
  <c r="S219" i="124"/>
  <c r="S180" i="123"/>
  <c r="S157" i="122"/>
  <c r="Q228" i="124"/>
  <c r="S70" i="123"/>
  <c r="Q79" i="123"/>
  <c r="R130" i="123"/>
  <c r="S61" i="122"/>
  <c r="S213" i="122"/>
  <c r="R242" i="122"/>
  <c r="S59" i="124"/>
  <c r="R248" i="122"/>
  <c r="Q238" i="122"/>
  <c r="S125" i="120"/>
  <c r="Q151" i="123"/>
  <c r="R239" i="120"/>
  <c r="R206" i="122"/>
  <c r="Q105" i="123"/>
  <c r="Q258" i="122"/>
  <c r="S69" i="117"/>
  <c r="R278" i="123"/>
  <c r="Q41" i="124"/>
  <c r="Q122" i="123"/>
  <c r="R164" i="124"/>
  <c r="R257" i="122"/>
  <c r="Q100" i="120"/>
  <c r="R64" i="117"/>
  <c r="S171" i="117"/>
  <c r="S188" i="122"/>
  <c r="S45" i="122"/>
  <c r="R160" i="117"/>
  <c r="S139" i="117"/>
  <c r="S127" i="122"/>
  <c r="Q42" i="123"/>
  <c r="Q72" i="122"/>
  <c r="Q94" i="120"/>
  <c r="Q54" i="123"/>
  <c r="S162" i="120"/>
  <c r="S223" i="123"/>
  <c r="S260" i="122"/>
  <c r="Q27" i="122"/>
  <c r="Q68" i="122"/>
  <c r="R184" i="120"/>
  <c r="R128" i="123"/>
  <c r="Q156" i="122"/>
  <c r="S215" i="122"/>
  <c r="Q127" i="123"/>
  <c r="Q144" i="123"/>
  <c r="S168" i="124"/>
  <c r="Q165" i="124"/>
  <c r="Q179" i="123"/>
  <c r="Q60" i="122"/>
  <c r="Q112" i="122"/>
  <c r="Q106" i="124"/>
  <c r="S128" i="122"/>
  <c r="R281" i="117"/>
  <c r="Q172" i="123"/>
  <c r="Q29" i="122"/>
  <c r="S79" i="117"/>
  <c r="R206" i="117"/>
  <c r="Q154" i="123"/>
  <c r="Q259" i="122"/>
  <c r="S138" i="124"/>
  <c r="R279" i="124"/>
  <c r="Q182" i="123"/>
  <c r="R262" i="117"/>
  <c r="Q64" i="124"/>
  <c r="Q228" i="123"/>
  <c r="S171" i="124"/>
  <c r="Q102" i="123"/>
  <c r="R247" i="120"/>
  <c r="S60" i="123"/>
  <c r="S276" i="117"/>
  <c r="R167" i="120"/>
  <c r="R72" i="120"/>
  <c r="R206" i="123"/>
  <c r="R189" i="124"/>
  <c r="R73" i="124"/>
  <c r="S179" i="123"/>
  <c r="S188" i="124"/>
  <c r="Q113" i="123"/>
  <c r="Q302" i="124"/>
  <c r="S78" i="122"/>
  <c r="Q35" i="124"/>
  <c r="Q231" i="124"/>
  <c r="Q150" i="123"/>
  <c r="R219" i="117"/>
  <c r="Q94" i="122"/>
  <c r="Q122" i="124"/>
  <c r="S154" i="124"/>
  <c r="S282" i="120"/>
  <c r="Q251" i="123"/>
  <c r="R250" i="124"/>
  <c r="Q145" i="123"/>
  <c r="R168" i="120"/>
  <c r="Q256" i="124"/>
  <c r="S70" i="122"/>
  <c r="Q70" i="124"/>
  <c r="R123" i="117"/>
  <c r="S240" i="122"/>
  <c r="Q194" i="124"/>
  <c r="Q53" i="124"/>
  <c r="Q218" i="123"/>
  <c r="Q84" i="123"/>
  <c r="Q10" i="124"/>
  <c r="Q34" i="124"/>
  <c r="Q230" i="124"/>
  <c r="Q17" i="124"/>
  <c r="R174" i="122"/>
  <c r="R134" i="122"/>
  <c r="S42" i="122"/>
  <c r="R259" i="123"/>
  <c r="R161" i="123"/>
  <c r="S253" i="123"/>
  <c r="R279" i="123"/>
  <c r="Q68" i="123"/>
  <c r="Q103" i="124"/>
  <c r="S155" i="122"/>
  <c r="S76" i="122"/>
  <c r="S255" i="120"/>
  <c r="Q49" i="124"/>
  <c r="Q194" i="122"/>
  <c r="Q279" i="122"/>
  <c r="Q195" i="124"/>
  <c r="S262" i="124"/>
  <c r="R118" i="120"/>
  <c r="R75" i="124"/>
  <c r="R279" i="122"/>
  <c r="Q151" i="124"/>
  <c r="S123" i="122"/>
  <c r="R59" i="117"/>
  <c r="Q110" i="123"/>
  <c r="S140" i="120"/>
  <c r="S79" i="124"/>
  <c r="R74" i="124"/>
  <c r="S64" i="120"/>
  <c r="Q225" i="124"/>
  <c r="Q134" i="122"/>
  <c r="S128" i="123"/>
  <c r="R119" i="122"/>
  <c r="Q48" i="124"/>
  <c r="Q80" i="122"/>
  <c r="Q116" i="123"/>
  <c r="S118" i="124"/>
  <c r="Q164" i="124"/>
  <c r="Q85" i="122"/>
  <c r="Q293" i="123"/>
  <c r="R177" i="122"/>
  <c r="Q269" i="122"/>
  <c r="Q110" i="124"/>
  <c r="Q87" i="124"/>
  <c r="S248" i="117"/>
  <c r="S283" i="124"/>
  <c r="Q191" i="124"/>
  <c r="R189" i="123"/>
  <c r="Q170" i="122"/>
  <c r="Q196" i="124"/>
  <c r="Q59" i="124"/>
  <c r="R242" i="123"/>
  <c r="S224" i="123"/>
  <c r="Q67" i="122"/>
  <c r="R154" i="122"/>
  <c r="Q9" i="124"/>
  <c r="Q234" i="120"/>
  <c r="R138" i="122"/>
  <c r="R284" i="122"/>
  <c r="Q262" i="120"/>
  <c r="Q199" i="124"/>
  <c r="S284" i="122"/>
  <c r="Q301" i="122"/>
  <c r="Q202" i="124"/>
  <c r="R243" i="117"/>
  <c r="Q200" i="124"/>
  <c r="R186" i="117"/>
  <c r="Q255" i="122"/>
  <c r="Q131" i="122"/>
  <c r="Q90" i="123"/>
  <c r="S222" i="117"/>
  <c r="Q133" i="124"/>
  <c r="R129" i="124"/>
  <c r="R45" i="124"/>
  <c r="S173" i="122"/>
  <c r="Q227" i="123"/>
  <c r="R177" i="124"/>
  <c r="Q111" i="124"/>
  <c r="Q269" i="124"/>
  <c r="S188" i="117"/>
  <c r="Q240" i="122"/>
  <c r="R213" i="117"/>
  <c r="R246" i="123"/>
  <c r="S122" i="122"/>
  <c r="Q104" i="123"/>
  <c r="S253" i="117"/>
  <c r="S126" i="122"/>
  <c r="S224" i="120"/>
  <c r="Q61" i="123"/>
  <c r="Q93" i="124"/>
  <c r="Q63" i="124"/>
  <c r="Q50" i="123"/>
  <c r="R157" i="120"/>
  <c r="Q99" i="124"/>
  <c r="Q144" i="124"/>
  <c r="R45" i="122"/>
  <c r="Q181" i="122"/>
  <c r="Q114" i="123"/>
  <c r="R250" i="120"/>
  <c r="S241" i="123"/>
  <c r="S187" i="120"/>
  <c r="R76" i="124"/>
  <c r="Q55" i="124"/>
  <c r="S184" i="117"/>
  <c r="S169" i="122"/>
  <c r="Q93" i="122"/>
  <c r="Q106" i="122"/>
  <c r="S178" i="117"/>
  <c r="Q202" i="123"/>
  <c r="Q267" i="122"/>
  <c r="R220" i="122"/>
  <c r="S77" i="123"/>
  <c r="Q256" i="122"/>
  <c r="S164" i="120"/>
  <c r="R62" i="122"/>
  <c r="R123" i="120"/>
  <c r="R75" i="122"/>
  <c r="R40" i="122"/>
  <c r="R120" i="122"/>
  <c r="S119" i="120"/>
  <c r="R126" i="124"/>
  <c r="R164" i="120"/>
  <c r="S241" i="122"/>
  <c r="R223" i="124"/>
  <c r="R123" i="124"/>
  <c r="Q246" i="122"/>
  <c r="S280" i="122"/>
  <c r="R159" i="117"/>
  <c r="R213" i="123"/>
  <c r="R75" i="120"/>
  <c r="Q162" i="123"/>
  <c r="R61" i="117"/>
  <c r="Q304" i="122"/>
  <c r="Q237" i="122"/>
  <c r="S161" i="124"/>
  <c r="R121" i="117"/>
  <c r="Q266" i="124"/>
  <c r="R60" i="122"/>
  <c r="R161" i="120"/>
  <c r="Q33" i="123"/>
  <c r="Q179" i="124"/>
  <c r="Q82" i="124"/>
  <c r="Q13" i="122"/>
  <c r="S159" i="123"/>
  <c r="Q177" i="123"/>
  <c r="R225" i="124"/>
  <c r="R278" i="120"/>
  <c r="S69" i="124"/>
  <c r="Q160" i="123"/>
  <c r="Q257" i="123"/>
  <c r="S75" i="124"/>
  <c r="Q181" i="124"/>
  <c r="Q178" i="124"/>
  <c r="R63" i="120"/>
  <c r="Q221" i="124"/>
  <c r="R157" i="123"/>
  <c r="R280" i="120"/>
  <c r="S243" i="123"/>
  <c r="R44" i="117"/>
  <c r="Q219" i="122"/>
  <c r="R204" i="122"/>
  <c r="S281" i="117"/>
  <c r="S139" i="122"/>
  <c r="R168" i="122"/>
  <c r="Q16" i="124"/>
  <c r="Q38" i="123"/>
  <c r="Q105" i="122"/>
  <c r="Q5" i="124"/>
  <c r="Q272" i="122"/>
  <c r="R246" i="122"/>
  <c r="Q110" i="120"/>
  <c r="Q289" i="123"/>
  <c r="S138" i="122"/>
  <c r="R134" i="117"/>
  <c r="S281" i="124"/>
  <c r="Q107" i="123"/>
  <c r="S249" i="123"/>
  <c r="Q179" i="122"/>
  <c r="R258" i="117"/>
  <c r="Q72" i="124"/>
  <c r="S279" i="124"/>
  <c r="R137" i="123"/>
  <c r="S174" i="122"/>
  <c r="Q248" i="124"/>
  <c r="S169" i="123"/>
  <c r="Q8" i="123"/>
  <c r="R181" i="120"/>
  <c r="R252" i="117"/>
  <c r="Q66" i="123"/>
  <c r="S45" i="117"/>
  <c r="S59" i="120"/>
  <c r="R132" i="123"/>
  <c r="Q148" i="124"/>
  <c r="S62" i="120"/>
  <c r="Q104" i="124"/>
  <c r="Q270" i="122"/>
  <c r="R171" i="117"/>
  <c r="S40" i="120"/>
  <c r="R133" i="117"/>
  <c r="Q12" i="124"/>
  <c r="Q4" i="123"/>
  <c r="Q3" i="123"/>
  <c r="R120" i="120"/>
  <c r="Q88" i="123"/>
  <c r="Q4" i="122"/>
  <c r="R169" i="124"/>
  <c r="R127" i="117"/>
  <c r="S44" i="124"/>
  <c r="Q141" i="124"/>
  <c r="R282" i="117"/>
  <c r="Q149" i="123"/>
  <c r="S213" i="123"/>
  <c r="S158" i="123"/>
  <c r="R70" i="124"/>
  <c r="Q161" i="123"/>
  <c r="S131" i="123"/>
  <c r="Q61" i="124"/>
  <c r="R214" i="120"/>
  <c r="Q241" i="123"/>
  <c r="R170" i="122"/>
  <c r="Q268" i="122"/>
  <c r="Q223" i="122"/>
  <c r="Q94" i="123"/>
  <c r="Q109" i="123"/>
  <c r="S254" i="122"/>
  <c r="R221" i="122"/>
  <c r="R210" i="120"/>
  <c r="S241" i="117"/>
  <c r="S256" i="120"/>
  <c r="R42" i="117"/>
  <c r="R219" i="120"/>
  <c r="Q280" i="122"/>
  <c r="Q168" i="124"/>
  <c r="R178" i="123"/>
  <c r="S257" i="122"/>
  <c r="Q249" i="124"/>
  <c r="R249" i="122"/>
  <c r="S246" i="122"/>
  <c r="R212" i="117"/>
  <c r="Q171" i="124"/>
  <c r="Q183" i="122"/>
  <c r="Q22" i="122"/>
  <c r="Q303" i="122"/>
  <c r="R60" i="117"/>
  <c r="S74" i="120"/>
  <c r="Q28" i="123"/>
  <c r="S159" i="120"/>
  <c r="R43" i="120"/>
  <c r="S247" i="117"/>
  <c r="R71" i="122"/>
  <c r="Q123" i="124"/>
  <c r="S78" i="117"/>
  <c r="S156" i="124"/>
  <c r="Q153" i="122"/>
  <c r="S244" i="120"/>
  <c r="R262" i="124"/>
  <c r="S181" i="124"/>
  <c r="S219" i="122"/>
  <c r="R165" i="122"/>
  <c r="R128" i="120"/>
  <c r="S225" i="120"/>
  <c r="R127" i="123"/>
  <c r="S212" i="117"/>
  <c r="Q7" i="122"/>
  <c r="R219" i="122"/>
  <c r="Q261" i="120"/>
  <c r="Q235" i="122"/>
  <c r="S59" i="123"/>
  <c r="Q10" i="122"/>
  <c r="S205" i="120"/>
  <c r="S215" i="117"/>
  <c r="S216" i="120"/>
  <c r="S136" i="124"/>
  <c r="R154" i="120"/>
  <c r="S134" i="117"/>
  <c r="R224" i="120"/>
  <c r="R42" i="120"/>
  <c r="Q232" i="124"/>
  <c r="R258" i="124"/>
  <c r="R188" i="124"/>
  <c r="R173" i="124"/>
  <c r="R250" i="122"/>
  <c r="S225" i="122"/>
  <c r="R165" i="123"/>
  <c r="Q139" i="122"/>
  <c r="Q47" i="122"/>
  <c r="R136" i="120"/>
  <c r="R164" i="122"/>
  <c r="Q84" i="124"/>
  <c r="S79" i="123"/>
  <c r="R225" i="122"/>
  <c r="R190" i="123"/>
  <c r="R257" i="120"/>
  <c r="S119" i="117"/>
  <c r="Q133" i="123"/>
  <c r="S141" i="124"/>
  <c r="R138" i="124"/>
  <c r="R171" i="124"/>
  <c r="Q274" i="123"/>
  <c r="R261" i="124"/>
  <c r="Q288" i="123"/>
  <c r="Q223" i="120"/>
  <c r="R186" i="122"/>
  <c r="Q128" i="123"/>
  <c r="R239" i="122"/>
  <c r="R124" i="117"/>
  <c r="R77" i="122"/>
  <c r="S249" i="117"/>
  <c r="R205" i="123"/>
  <c r="Q215" i="124"/>
  <c r="S134" i="120"/>
  <c r="Q272" i="124"/>
  <c r="R225" i="123"/>
  <c r="R220" i="124"/>
  <c r="R222" i="122"/>
  <c r="S212" i="123"/>
  <c r="S170" i="124"/>
  <c r="R183" i="124"/>
  <c r="Q277" i="123"/>
  <c r="Q271" i="122"/>
  <c r="S158" i="124"/>
  <c r="Q66" i="122"/>
  <c r="Q18" i="122"/>
  <c r="S157" i="123"/>
  <c r="R64" i="120"/>
  <c r="Q283" i="123"/>
  <c r="R141" i="124"/>
  <c r="Q90" i="122"/>
  <c r="S175" i="122"/>
  <c r="Q203" i="122"/>
  <c r="Q237" i="123"/>
  <c r="Q83" i="124"/>
  <c r="Q283" i="122"/>
  <c r="R181" i="123"/>
  <c r="Q61" i="122"/>
  <c r="R222" i="117"/>
  <c r="Q281" i="124"/>
  <c r="R213" i="122"/>
  <c r="R256" i="123"/>
  <c r="R245" i="117"/>
  <c r="R245" i="124"/>
  <c r="Q162" i="122"/>
  <c r="Q126" i="123"/>
  <c r="R42" i="124"/>
  <c r="S60" i="122"/>
  <c r="R171" i="122"/>
  <c r="S155" i="123"/>
  <c r="S156" i="120"/>
  <c r="R282" i="120"/>
  <c r="R128" i="117"/>
  <c r="S223" i="124"/>
  <c r="S44" i="120"/>
  <c r="S68" i="117"/>
  <c r="S252" i="124"/>
  <c r="Q8" i="124"/>
  <c r="R78" i="117"/>
  <c r="R185" i="123"/>
  <c r="S213" i="120"/>
  <c r="S173" i="120"/>
  <c r="R225" i="117"/>
  <c r="S164" i="123"/>
  <c r="R176" i="123"/>
  <c r="R279" i="120"/>
  <c r="S62" i="117"/>
  <c r="R259" i="124"/>
  <c r="S204" i="117"/>
  <c r="S247" i="124"/>
  <c r="S161" i="122"/>
  <c r="S185" i="120"/>
  <c r="R211" i="120"/>
  <c r="S70" i="124"/>
  <c r="R170" i="124"/>
  <c r="R74" i="120"/>
  <c r="R59" i="123"/>
  <c r="Q132" i="123"/>
  <c r="R70" i="122"/>
  <c r="Q204" i="122"/>
  <c r="Q118" i="124"/>
  <c r="S68" i="122"/>
  <c r="R258" i="120"/>
  <c r="S121" i="122"/>
  <c r="R185" i="120"/>
  <c r="Q12" i="122"/>
  <c r="Q155" i="122"/>
  <c r="Q233" i="123"/>
  <c r="R68" i="123"/>
  <c r="Q83" i="123"/>
  <c r="Q287" i="123"/>
  <c r="S157" i="117"/>
  <c r="S171" i="123"/>
  <c r="S216" i="117"/>
  <c r="S68" i="123"/>
  <c r="S175" i="117"/>
  <c r="S190" i="117"/>
  <c r="R172" i="120"/>
  <c r="Q118" i="123"/>
  <c r="Q178" i="123"/>
  <c r="S43" i="117"/>
  <c r="S246" i="124"/>
  <c r="S214" i="122"/>
  <c r="Q282" i="124"/>
  <c r="Q82" i="122"/>
  <c r="Q59" i="123"/>
  <c r="R177" i="120"/>
  <c r="S239" i="120"/>
  <c r="R250" i="123"/>
  <c r="S60" i="117"/>
  <c r="R249" i="123"/>
  <c r="S118" i="122"/>
  <c r="Q116" i="122"/>
  <c r="Q92" i="123"/>
  <c r="Q42" i="124"/>
  <c r="R72" i="122"/>
  <c r="R253" i="124"/>
  <c r="R131" i="122"/>
  <c r="R278" i="117"/>
  <c r="S125" i="123"/>
  <c r="R60" i="123"/>
  <c r="R214" i="122"/>
  <c r="S282" i="123"/>
  <c r="R123" i="122"/>
  <c r="Q184" i="122"/>
  <c r="Q286" i="122"/>
  <c r="R121" i="123"/>
  <c r="S122" i="124"/>
  <c r="R182" i="120"/>
  <c r="R277" i="120"/>
  <c r="Q291" i="122"/>
  <c r="Q290" i="122"/>
  <c r="Q173" i="123"/>
  <c r="S251" i="124"/>
  <c r="Q32" i="123"/>
  <c r="S124" i="124"/>
  <c r="S254" i="117"/>
  <c r="S40" i="122"/>
  <c r="Q155" i="124"/>
  <c r="R132" i="117"/>
  <c r="Q134" i="123"/>
  <c r="R260" i="117"/>
  <c r="S161" i="117"/>
  <c r="S260" i="123"/>
  <c r="S256" i="124"/>
  <c r="Q169" i="123"/>
  <c r="S261" i="122"/>
  <c r="R218" i="122"/>
  <c r="R64" i="124"/>
  <c r="S135" i="117"/>
  <c r="Q100" i="122"/>
  <c r="R135" i="123"/>
  <c r="Q156" i="124"/>
  <c r="Q280" i="124"/>
  <c r="Q127" i="124"/>
  <c r="S215" i="120"/>
  <c r="S124" i="123"/>
  <c r="Q250" i="123"/>
  <c r="S215" i="124"/>
  <c r="R137" i="120"/>
  <c r="R130" i="120"/>
  <c r="S218" i="120"/>
  <c r="R240" i="117"/>
  <c r="S168" i="120"/>
  <c r="Q217" i="123"/>
  <c r="R240" i="120"/>
  <c r="Q11" i="122"/>
  <c r="S217" i="120"/>
  <c r="S126" i="124"/>
  <c r="S167" i="122"/>
  <c r="S171" i="120"/>
  <c r="Q48" i="122"/>
  <c r="R217" i="117"/>
  <c r="S220" i="120"/>
  <c r="S261" i="124"/>
  <c r="S76" i="123"/>
  <c r="Q181" i="123"/>
  <c r="R174" i="120"/>
  <c r="Q55" i="123"/>
  <c r="S187" i="122"/>
  <c r="R280" i="124"/>
  <c r="R188" i="117"/>
  <c r="R240" i="122"/>
  <c r="R136" i="117"/>
  <c r="S244" i="122"/>
  <c r="Q89" i="122"/>
  <c r="Q108" i="122"/>
  <c r="S181" i="123"/>
  <c r="Q109" i="120"/>
  <c r="R281" i="124"/>
  <c r="Q54" i="124"/>
  <c r="S181" i="117"/>
  <c r="R243" i="120"/>
  <c r="Q157" i="123"/>
  <c r="S41" i="122"/>
  <c r="R252" i="123"/>
  <c r="S277" i="124"/>
  <c r="S217" i="117"/>
  <c r="S73" i="117"/>
  <c r="R219" i="124"/>
  <c r="S239" i="117"/>
  <c r="S119" i="122"/>
  <c r="Q186" i="124"/>
  <c r="Q224" i="123"/>
  <c r="R178" i="120"/>
  <c r="R284" i="123"/>
  <c r="R277" i="122"/>
  <c r="Q85" i="124"/>
  <c r="Q193" i="123"/>
  <c r="Q106" i="120"/>
  <c r="R204" i="117"/>
  <c r="Q275" i="123"/>
  <c r="S276" i="123"/>
  <c r="Q195" i="123"/>
  <c r="R260" i="123"/>
  <c r="S134" i="123"/>
  <c r="S278" i="117"/>
  <c r="S127" i="117"/>
  <c r="S167" i="123"/>
  <c r="R248" i="120"/>
  <c r="S277" i="117"/>
  <c r="S163" i="120"/>
  <c r="R223" i="117"/>
  <c r="Q29" i="123"/>
  <c r="S206" i="117"/>
  <c r="R179" i="117"/>
  <c r="S250" i="123"/>
  <c r="Q14" i="122"/>
  <c r="Q24" i="123"/>
  <c r="S174" i="117"/>
  <c r="R127" i="122"/>
  <c r="Q259" i="123"/>
  <c r="S182" i="124"/>
  <c r="S125" i="122"/>
  <c r="S185" i="123"/>
  <c r="Q298" i="122"/>
  <c r="S41" i="124"/>
  <c r="Q242" i="122"/>
  <c r="S252" i="120"/>
  <c r="R189" i="122"/>
  <c r="R212" i="120"/>
  <c r="R77" i="124"/>
  <c r="Q81" i="124"/>
  <c r="Q164" i="123"/>
  <c r="Q180" i="124"/>
  <c r="R254" i="123"/>
  <c r="Q280" i="120"/>
  <c r="Q25" i="123"/>
  <c r="Q26" i="124"/>
  <c r="Q117" i="123"/>
  <c r="Q213" i="123"/>
  <c r="Q213" i="122"/>
  <c r="Q294" i="123"/>
  <c r="Q260" i="124"/>
  <c r="R121" i="124"/>
  <c r="Q197" i="120"/>
  <c r="R154" i="123"/>
  <c r="S157" i="124"/>
  <c r="R123" i="123"/>
  <c r="S190" i="124"/>
  <c r="Q33" i="122"/>
  <c r="R118" i="123"/>
  <c r="Q97" i="123"/>
  <c r="Q286" i="123"/>
  <c r="R187" i="122"/>
  <c r="R249" i="120"/>
  <c r="S259" i="124"/>
  <c r="Q78" i="123"/>
  <c r="S159" i="122"/>
  <c r="Q137" i="120"/>
  <c r="S277" i="120"/>
  <c r="R165" i="120"/>
  <c r="S177" i="117"/>
  <c r="S159" i="124"/>
  <c r="Q142" i="122"/>
  <c r="S214" i="124"/>
  <c r="Q237" i="120"/>
  <c r="Q229" i="124"/>
  <c r="S63" i="120"/>
  <c r="Q107" i="122"/>
  <c r="Q98" i="123"/>
  <c r="Q4" i="120"/>
  <c r="R220" i="123"/>
  <c r="Q282" i="123"/>
  <c r="Q212" i="120"/>
  <c r="Q37" i="122"/>
  <c r="Q162" i="120"/>
  <c r="Q70" i="122"/>
  <c r="Q124" i="120"/>
  <c r="S222" i="122"/>
  <c r="Q282" i="122"/>
  <c r="Q301" i="120"/>
  <c r="R241" i="117"/>
  <c r="R140" i="120"/>
  <c r="S163" i="124"/>
  <c r="R161" i="117"/>
  <c r="R158" i="123"/>
  <c r="Q113" i="122"/>
  <c r="Q183" i="123"/>
  <c r="R180" i="124"/>
  <c r="Q235" i="123"/>
  <c r="Q291" i="123"/>
  <c r="Q184" i="123"/>
  <c r="Q206" i="120"/>
  <c r="S180" i="120"/>
  <c r="Q275" i="124"/>
  <c r="S276" i="120"/>
  <c r="R213" i="124"/>
  <c r="R43" i="122"/>
  <c r="Q79" i="124"/>
  <c r="R248" i="117"/>
  <c r="Q158" i="124"/>
  <c r="Q289" i="122"/>
  <c r="S217" i="122"/>
  <c r="R224" i="122"/>
  <c r="S180" i="124"/>
  <c r="Q276" i="122"/>
  <c r="Q124" i="122"/>
  <c r="R218" i="123"/>
  <c r="R62" i="124"/>
  <c r="S216" i="122"/>
  <c r="S43" i="122"/>
  <c r="S61" i="124"/>
  <c r="Q88" i="122"/>
  <c r="R156" i="120"/>
  <c r="S221" i="124"/>
  <c r="Q197" i="122"/>
  <c r="S257" i="117"/>
  <c r="Q295" i="122"/>
  <c r="Q46" i="123"/>
  <c r="Q67" i="124"/>
  <c r="Q99" i="123"/>
  <c r="S133" i="120"/>
  <c r="Q296" i="123"/>
  <c r="S71" i="124"/>
  <c r="Q261" i="123"/>
  <c r="Q15" i="123"/>
  <c r="R154" i="117"/>
  <c r="Q259" i="124"/>
  <c r="Q176" i="123"/>
  <c r="Q120" i="124"/>
  <c r="Q76" i="124"/>
  <c r="R138" i="120"/>
  <c r="R254" i="120"/>
  <c r="R163" i="124"/>
  <c r="Q284" i="124"/>
  <c r="S246" i="117"/>
  <c r="R217" i="123"/>
  <c r="Q76" i="123"/>
  <c r="R174" i="123"/>
  <c r="S140" i="122"/>
  <c r="S125" i="124"/>
  <c r="Q189" i="124"/>
  <c r="S63" i="123"/>
  <c r="Q253" i="120"/>
  <c r="Q268" i="123"/>
  <c r="R124" i="122"/>
  <c r="S221" i="117"/>
  <c r="R141" i="120"/>
  <c r="S140" i="123"/>
  <c r="S126" i="117"/>
  <c r="R175" i="122"/>
  <c r="R129" i="120"/>
  <c r="Q60" i="123"/>
  <c r="Q49" i="122"/>
  <c r="Q92" i="122"/>
  <c r="R136" i="122"/>
  <c r="Q143" i="122"/>
  <c r="R282" i="124"/>
  <c r="Q226" i="123"/>
  <c r="Q18" i="120"/>
  <c r="R178" i="122"/>
  <c r="R240" i="123"/>
  <c r="S126" i="123"/>
  <c r="R210" i="117"/>
  <c r="R59" i="120"/>
  <c r="Q107" i="124"/>
  <c r="R64" i="123"/>
  <c r="Q248" i="123"/>
  <c r="S123" i="120"/>
  <c r="R162" i="123"/>
  <c r="R119" i="123"/>
  <c r="R178" i="117"/>
  <c r="Q221" i="122"/>
  <c r="Q257" i="122"/>
  <c r="S179" i="117"/>
  <c r="Q241" i="122"/>
  <c r="R245" i="120"/>
  <c r="S163" i="123"/>
  <c r="R216" i="122"/>
  <c r="Q36" i="123"/>
  <c r="R125" i="124"/>
  <c r="R64" i="122"/>
  <c r="S176" i="120"/>
  <c r="Q111" i="120"/>
  <c r="R254" i="122"/>
  <c r="Q26" i="123"/>
  <c r="Q154" i="122"/>
  <c r="Q272" i="123"/>
  <c r="Q227" i="120"/>
  <c r="R71" i="123"/>
  <c r="Q5" i="122"/>
  <c r="R190" i="122"/>
  <c r="S257" i="120"/>
  <c r="Q22" i="120"/>
  <c r="Q224" i="124"/>
  <c r="S164" i="124"/>
  <c r="S124" i="117"/>
  <c r="R126" i="117"/>
  <c r="Q173" i="120"/>
  <c r="R44" i="122"/>
  <c r="R217" i="124"/>
  <c r="R133" i="123"/>
  <c r="R131" i="117"/>
  <c r="Q183" i="120"/>
  <c r="R261" i="120"/>
  <c r="S249" i="122"/>
  <c r="Q286" i="120"/>
  <c r="R70" i="123"/>
  <c r="Q53" i="123"/>
  <c r="Q73" i="124"/>
  <c r="S190" i="120"/>
  <c r="R127" i="120"/>
  <c r="S74" i="117"/>
  <c r="Q120" i="122"/>
  <c r="S72" i="120"/>
  <c r="Q299" i="124"/>
  <c r="S154" i="122"/>
  <c r="R239" i="117"/>
  <c r="R155" i="120"/>
  <c r="Q126" i="124"/>
  <c r="R176" i="122"/>
  <c r="Q235" i="124"/>
  <c r="Q187" i="122"/>
  <c r="S186" i="122"/>
  <c r="S253" i="122"/>
  <c r="Q19" i="120"/>
  <c r="Q188" i="122"/>
  <c r="Q176" i="122"/>
  <c r="Q132" i="122"/>
  <c r="Q285" i="122"/>
  <c r="R171" i="120"/>
  <c r="Q227" i="122"/>
  <c r="Q58" i="122"/>
  <c r="R187" i="120"/>
  <c r="R225" i="120"/>
  <c r="Q142" i="124"/>
  <c r="Q125" i="122"/>
  <c r="Q226" i="124"/>
  <c r="Q171" i="122"/>
  <c r="S255" i="117"/>
  <c r="Q117" i="122"/>
  <c r="S218" i="117"/>
  <c r="S44" i="117"/>
  <c r="R180" i="120"/>
  <c r="Q16" i="123"/>
  <c r="Q35" i="120"/>
  <c r="Q242" i="120"/>
  <c r="Q18" i="123"/>
  <c r="R69" i="123"/>
  <c r="Q37" i="123"/>
  <c r="S176" i="117"/>
  <c r="S248" i="124"/>
  <c r="S282" i="124"/>
  <c r="Q214" i="122"/>
  <c r="S71" i="123"/>
  <c r="R77" i="117"/>
  <c r="S244" i="123"/>
  <c r="Q220" i="124"/>
  <c r="Q207" i="122"/>
  <c r="R131" i="124"/>
  <c r="Q273" i="122"/>
  <c r="S154" i="117"/>
  <c r="Q176" i="124"/>
  <c r="Q60" i="124"/>
  <c r="R179" i="123"/>
  <c r="Q119" i="120"/>
  <c r="S221" i="120"/>
  <c r="Q276" i="124"/>
  <c r="Q302" i="122"/>
  <c r="R155" i="123"/>
  <c r="R162" i="124"/>
  <c r="R215" i="122"/>
  <c r="Q19" i="124"/>
  <c r="S245" i="117"/>
  <c r="S158" i="122"/>
  <c r="S120" i="124"/>
  <c r="Q167" i="124"/>
  <c r="R135" i="117"/>
  <c r="R223" i="122"/>
  <c r="Q43" i="123"/>
  <c r="R71" i="120"/>
  <c r="Q17" i="122"/>
  <c r="S40" i="124"/>
  <c r="S225" i="124"/>
  <c r="R223" i="123"/>
  <c r="Q148" i="123"/>
  <c r="Q69" i="123"/>
  <c r="R179" i="122"/>
  <c r="Q201" i="120"/>
  <c r="S162" i="124"/>
  <c r="S160" i="122"/>
  <c r="S256" i="117"/>
  <c r="Q148" i="122"/>
  <c r="Q201" i="122"/>
  <c r="Q62" i="122"/>
  <c r="R190" i="117"/>
  <c r="Q87" i="123"/>
  <c r="Q173" i="124"/>
  <c r="Q29" i="124"/>
  <c r="Q175" i="122"/>
  <c r="Q300" i="120"/>
  <c r="S250" i="117"/>
  <c r="Q198" i="120"/>
  <c r="R173" i="122"/>
  <c r="Q264" i="123"/>
  <c r="Q175" i="124"/>
  <c r="S165" i="117"/>
  <c r="R78" i="120"/>
  <c r="Q21" i="124"/>
  <c r="Q225" i="120"/>
  <c r="S62" i="123"/>
  <c r="S260" i="124"/>
  <c r="Q228" i="122"/>
  <c r="Q98" i="120"/>
  <c r="S123" i="117"/>
  <c r="R261" i="117"/>
  <c r="Q225" i="122"/>
  <c r="S255" i="123"/>
  <c r="Q20" i="120"/>
  <c r="Q304" i="120"/>
  <c r="R248" i="124"/>
  <c r="Q238" i="124"/>
  <c r="Q150" i="120"/>
  <c r="Q214" i="120"/>
  <c r="Q5" i="123"/>
  <c r="Q303" i="120"/>
  <c r="Q285" i="120"/>
  <c r="R214" i="117"/>
  <c r="Q141" i="120"/>
  <c r="Q123" i="120"/>
  <c r="Q186" i="122"/>
  <c r="R251" i="122"/>
  <c r="Q81" i="120"/>
  <c r="R45" i="117"/>
  <c r="R120" i="117"/>
  <c r="Q251" i="120"/>
  <c r="S220" i="122"/>
  <c r="S251" i="122"/>
  <c r="R169" i="120"/>
  <c r="Q296" i="120"/>
  <c r="Q61" i="120"/>
  <c r="Q217" i="122"/>
  <c r="S251" i="123"/>
  <c r="S173" i="123"/>
  <c r="R217" i="122"/>
  <c r="Q238" i="123"/>
  <c r="Q30" i="122"/>
  <c r="Q87" i="122"/>
  <c r="S164" i="122"/>
  <c r="S59" i="117"/>
  <c r="R168" i="117"/>
  <c r="Q91" i="123"/>
  <c r="S129" i="120"/>
  <c r="R245" i="122"/>
  <c r="S45" i="124"/>
  <c r="R216" i="123"/>
  <c r="S245" i="120"/>
  <c r="Q279" i="123"/>
  <c r="S76" i="120"/>
  <c r="S221" i="123"/>
  <c r="S162" i="122"/>
  <c r="S43" i="124"/>
  <c r="R172" i="117"/>
  <c r="R280" i="123"/>
  <c r="R125" i="117"/>
  <c r="Q138" i="122"/>
  <c r="Q81" i="122"/>
  <c r="Q99" i="120"/>
  <c r="Q52" i="123"/>
  <c r="S189" i="122"/>
  <c r="Q233" i="124"/>
  <c r="Q56" i="124"/>
  <c r="R180" i="117"/>
  <c r="S77" i="124"/>
  <c r="Q100" i="123"/>
  <c r="S141" i="123"/>
  <c r="R122" i="123"/>
  <c r="Q83" i="122"/>
  <c r="R252" i="124"/>
  <c r="Q28" i="124"/>
  <c r="R141" i="122"/>
  <c r="S41" i="117"/>
  <c r="Q130" i="122"/>
  <c r="R139" i="120"/>
  <c r="S130" i="122"/>
  <c r="Q32" i="120"/>
  <c r="S141" i="120"/>
  <c r="Q31" i="120"/>
  <c r="Q263" i="124"/>
  <c r="S251" i="117"/>
  <c r="R260" i="122"/>
  <c r="S75" i="120"/>
  <c r="S215" i="123"/>
  <c r="Q254" i="123"/>
  <c r="R182" i="123"/>
  <c r="Q278" i="124"/>
  <c r="Q98" i="122"/>
  <c r="Q6" i="124"/>
  <c r="S132" i="123"/>
  <c r="Q36" i="124"/>
  <c r="S128" i="117"/>
  <c r="S69" i="120"/>
  <c r="R126" i="120"/>
  <c r="Q232" i="123"/>
  <c r="S71" i="117"/>
  <c r="Q268" i="124"/>
  <c r="S240" i="117"/>
  <c r="Q204" i="120"/>
  <c r="R126" i="123"/>
  <c r="Q71" i="122"/>
  <c r="Q264" i="122"/>
  <c r="Q274" i="124"/>
  <c r="R134" i="123"/>
  <c r="S77" i="120"/>
  <c r="Q277" i="122"/>
  <c r="Q45" i="123"/>
  <c r="R40" i="123"/>
  <c r="Q246" i="123"/>
  <c r="S122" i="120"/>
  <c r="S187" i="117"/>
  <c r="Q244" i="122"/>
  <c r="R125" i="123"/>
  <c r="R79" i="120"/>
  <c r="Q95" i="123"/>
  <c r="S64" i="124"/>
  <c r="S211" i="122"/>
  <c r="Q71" i="123"/>
  <c r="S164" i="117"/>
  <c r="Q218" i="124"/>
  <c r="R177" i="123"/>
  <c r="S258" i="123"/>
  <c r="S252" i="122"/>
  <c r="R255" i="123"/>
  <c r="S210" i="122"/>
  <c r="S284" i="117"/>
  <c r="Q153" i="123"/>
  <c r="Q268" i="120"/>
  <c r="S253" i="120"/>
  <c r="Q297" i="123"/>
  <c r="Q274" i="120"/>
  <c r="Q210" i="122"/>
  <c r="Q127" i="120"/>
  <c r="Q121" i="120"/>
  <c r="Q168" i="123"/>
  <c r="Q36" i="122"/>
  <c r="R156" i="122"/>
  <c r="Q281" i="120"/>
  <c r="S212" i="122"/>
  <c r="R175" i="123"/>
  <c r="Q58" i="120"/>
  <c r="Q50" i="122"/>
  <c r="R256" i="120"/>
  <c r="R241" i="122"/>
  <c r="Q90" i="124"/>
  <c r="Q57" i="120"/>
  <c r="S223" i="120"/>
  <c r="S176" i="123"/>
  <c r="S170" i="123"/>
  <c r="Q257" i="120"/>
  <c r="Q112" i="120"/>
  <c r="R78" i="124"/>
  <c r="Q199" i="122"/>
  <c r="S135" i="120"/>
  <c r="Q290" i="120"/>
  <c r="R251" i="124"/>
  <c r="S205" i="117"/>
  <c r="R138" i="123"/>
  <c r="Q118" i="122"/>
  <c r="Q198" i="124"/>
  <c r="S63" i="117"/>
  <c r="S156" i="117"/>
  <c r="Q30" i="124"/>
  <c r="R276" i="117"/>
  <c r="R122" i="117"/>
  <c r="S128" i="124"/>
  <c r="Q163" i="122"/>
  <c r="Q70" i="123"/>
  <c r="Q131" i="124"/>
  <c r="Q81" i="123"/>
  <c r="S42" i="120"/>
  <c r="S178" i="123"/>
  <c r="R41" i="117"/>
  <c r="Q240" i="123"/>
  <c r="R205" i="117"/>
  <c r="R246" i="120"/>
  <c r="R173" i="120"/>
  <c r="R186" i="120"/>
  <c r="Q200" i="122"/>
  <c r="R159" i="120"/>
  <c r="S218" i="122"/>
  <c r="S135" i="122"/>
  <c r="Q174" i="122"/>
  <c r="Q25" i="124"/>
  <c r="S167" i="117"/>
  <c r="Q27" i="124"/>
  <c r="Q15" i="124"/>
  <c r="Q73" i="122"/>
  <c r="R242" i="117"/>
  <c r="Q115" i="122"/>
  <c r="R167" i="123"/>
  <c r="S155" i="117"/>
  <c r="S181" i="120"/>
  <c r="Q62" i="124"/>
  <c r="S180" i="122"/>
  <c r="S219" i="123"/>
  <c r="R252" i="122"/>
  <c r="Q229" i="122"/>
  <c r="Q245" i="123"/>
  <c r="R206" i="120"/>
  <c r="R187" i="124"/>
  <c r="Q124" i="123"/>
  <c r="S251" i="120"/>
  <c r="Q166" i="124"/>
  <c r="S137" i="122"/>
  <c r="Q275" i="122"/>
  <c r="Q215" i="120"/>
  <c r="R44" i="120"/>
  <c r="S168" i="122"/>
  <c r="Q46" i="122"/>
  <c r="R79" i="124"/>
  <c r="S182" i="120"/>
  <c r="Q125" i="123"/>
  <c r="R163" i="122"/>
  <c r="S63" i="122"/>
  <c r="Q8" i="122"/>
  <c r="R43" i="123"/>
  <c r="R160" i="123"/>
  <c r="R214" i="124"/>
  <c r="R210" i="123"/>
  <c r="Q300" i="122"/>
  <c r="R137" i="117"/>
  <c r="Q283" i="124"/>
  <c r="Q99" i="122"/>
  <c r="S77" i="117"/>
  <c r="R215" i="123"/>
  <c r="Q223" i="123"/>
  <c r="R251" i="120"/>
  <c r="S118" i="117"/>
  <c r="Q44" i="122"/>
  <c r="Q79" i="122"/>
  <c r="Q284" i="123"/>
  <c r="R128" i="122"/>
  <c r="S178" i="124"/>
  <c r="Q202" i="120"/>
  <c r="Q6" i="123"/>
  <c r="Q252" i="124"/>
  <c r="Q215" i="122"/>
  <c r="S71" i="120"/>
  <c r="R189" i="117"/>
  <c r="R129" i="123"/>
  <c r="R162" i="122"/>
  <c r="R158" i="117"/>
  <c r="S61" i="123"/>
  <c r="Q239" i="120"/>
  <c r="Q67" i="123"/>
  <c r="S73" i="124"/>
  <c r="Q55" i="122"/>
  <c r="Q267" i="120"/>
  <c r="Q157" i="120"/>
  <c r="Q203" i="124"/>
  <c r="R281" i="123"/>
  <c r="Q120" i="123"/>
  <c r="Q166" i="122"/>
  <c r="Q73" i="120"/>
  <c r="Q167" i="122"/>
  <c r="Q196" i="122"/>
  <c r="S239" i="122"/>
  <c r="Q45" i="120"/>
  <c r="Q64" i="123"/>
  <c r="Q40" i="120"/>
  <c r="Q135" i="123"/>
  <c r="Q44" i="124"/>
  <c r="Q7" i="124"/>
  <c r="Q231" i="120"/>
  <c r="Q154" i="120"/>
  <c r="S210" i="123"/>
  <c r="R259" i="117"/>
  <c r="S141" i="122"/>
  <c r="Q174" i="123"/>
  <c r="Q159" i="120"/>
  <c r="R283" i="120"/>
  <c r="S121" i="123"/>
  <c r="Q236" i="120"/>
  <c r="Q201" i="124"/>
  <c r="S40" i="123"/>
  <c r="Q28" i="120"/>
  <c r="Q38" i="122"/>
  <c r="Q273" i="120"/>
  <c r="Q235" i="120"/>
  <c r="S211" i="123"/>
  <c r="Q56" i="120"/>
  <c r="Q223" i="124"/>
  <c r="Q98" i="124"/>
  <c r="R120" i="123"/>
  <c r="Q93" i="123"/>
  <c r="S283" i="123"/>
  <c r="R175" i="124"/>
  <c r="Q143" i="123"/>
  <c r="S186" i="123"/>
  <c r="S178" i="122"/>
  <c r="Q78" i="124"/>
  <c r="R249" i="124"/>
  <c r="Q106" i="123"/>
  <c r="Q284" i="122"/>
  <c r="Q271" i="124"/>
  <c r="Q50" i="124"/>
  <c r="S178" i="120"/>
  <c r="R130" i="117"/>
  <c r="Q178" i="122"/>
  <c r="Q155" i="123"/>
  <c r="R135" i="124"/>
  <c r="R160" i="122"/>
  <c r="R221" i="123"/>
  <c r="Q72" i="120"/>
  <c r="Q138" i="124"/>
  <c r="Q160" i="124"/>
  <c r="Q22" i="124"/>
  <c r="R68" i="124"/>
  <c r="R174" i="117"/>
  <c r="Q7" i="123"/>
  <c r="S129" i="124"/>
  <c r="S219" i="117"/>
  <c r="S280" i="124"/>
  <c r="R61" i="124"/>
  <c r="S240" i="120"/>
  <c r="R175" i="117"/>
  <c r="S137" i="124"/>
  <c r="S132" i="124"/>
  <c r="S277" i="122"/>
  <c r="R129" i="117"/>
  <c r="Q256" i="123"/>
  <c r="Q49" i="123"/>
  <c r="R251" i="117"/>
  <c r="R245" i="123"/>
  <c r="R133" i="120"/>
  <c r="Q200" i="123"/>
  <c r="S204" i="120"/>
  <c r="Q57" i="123"/>
  <c r="R44" i="124"/>
  <c r="Q20" i="123"/>
  <c r="Q196" i="123"/>
  <c r="Q27" i="120"/>
  <c r="S134" i="122"/>
  <c r="Q58" i="123"/>
  <c r="R159" i="123"/>
  <c r="S206" i="123"/>
  <c r="Q294" i="122"/>
  <c r="Q234" i="124"/>
  <c r="S63" i="124"/>
  <c r="R161" i="122"/>
  <c r="Q129" i="122"/>
  <c r="Q172" i="124"/>
  <c r="R141" i="117"/>
  <c r="R179" i="124"/>
  <c r="Q31" i="122"/>
  <c r="R124" i="120"/>
  <c r="Q169" i="120"/>
  <c r="Q117" i="120"/>
  <c r="S213" i="117"/>
  <c r="Q299" i="122"/>
  <c r="R122" i="120"/>
  <c r="Q237" i="124"/>
  <c r="S283" i="120"/>
  <c r="R156" i="117"/>
  <c r="R284" i="124"/>
  <c r="Q43" i="124"/>
  <c r="Q159" i="122"/>
  <c r="Q236" i="122"/>
  <c r="Q171" i="123"/>
  <c r="Q21" i="123"/>
  <c r="Q109" i="124"/>
  <c r="R218" i="124"/>
  <c r="S60" i="120"/>
  <c r="S249" i="120"/>
  <c r="S280" i="120"/>
  <c r="S69" i="123"/>
  <c r="Q34" i="123"/>
  <c r="S261" i="117"/>
  <c r="Q136" i="123"/>
  <c r="Q295" i="123"/>
  <c r="R73" i="117"/>
  <c r="Q37" i="120"/>
  <c r="S183" i="122"/>
  <c r="R77" i="120"/>
  <c r="Q77" i="120"/>
  <c r="R189" i="120"/>
  <c r="S134" i="124"/>
  <c r="Q113" i="124"/>
  <c r="Q103" i="122"/>
  <c r="Q75" i="120"/>
  <c r="Q133" i="122"/>
  <c r="Q102" i="120"/>
  <c r="Q38" i="120"/>
  <c r="S255" i="124"/>
  <c r="R121" i="122"/>
  <c r="Q58" i="124"/>
  <c r="S250" i="120"/>
  <c r="S68" i="120"/>
  <c r="Q175" i="120"/>
  <c r="Q51" i="120"/>
  <c r="R155" i="124"/>
  <c r="Q207" i="120"/>
  <c r="S279" i="122"/>
  <c r="S61" i="120"/>
  <c r="S252" i="123"/>
  <c r="Q133" i="120"/>
  <c r="Q90" i="120"/>
  <c r="Q10" i="123"/>
  <c r="Q116" i="120"/>
  <c r="R242" i="120"/>
  <c r="R224" i="124"/>
  <c r="Q78" i="122"/>
  <c r="R43" i="117"/>
  <c r="Q254" i="124"/>
  <c r="S138" i="120"/>
  <c r="R256" i="124"/>
  <c r="S174" i="120"/>
  <c r="R204" i="123"/>
  <c r="R218" i="117"/>
  <c r="Q253" i="123"/>
  <c r="R255" i="120"/>
  <c r="Q303" i="124"/>
  <c r="S78" i="124"/>
  <c r="S154" i="120"/>
  <c r="Q247" i="122"/>
  <c r="Q260" i="123"/>
  <c r="R182" i="122"/>
  <c r="R220" i="120"/>
  <c r="S45" i="123"/>
  <c r="S177" i="124"/>
  <c r="Q28" i="122"/>
  <c r="Q184" i="120"/>
  <c r="Q136" i="122"/>
  <c r="S189" i="123"/>
  <c r="Q95" i="124"/>
  <c r="Q162" i="124"/>
  <c r="Q262" i="123"/>
  <c r="R164" i="117"/>
  <c r="S255" i="122"/>
  <c r="S69" i="122"/>
  <c r="Q40" i="122"/>
  <c r="R131" i="123"/>
  <c r="R139" i="117"/>
  <c r="R277" i="117"/>
  <c r="S260" i="120"/>
  <c r="S119" i="123"/>
  <c r="R169" i="117"/>
  <c r="Q100" i="124"/>
  <c r="Q77" i="124"/>
  <c r="S167" i="124"/>
  <c r="Q20" i="122"/>
  <c r="Q269" i="120"/>
  <c r="Q254" i="122"/>
  <c r="Q232" i="122"/>
  <c r="Q140" i="122"/>
  <c r="Q54" i="122"/>
  <c r="R163" i="117"/>
  <c r="Q187" i="124"/>
  <c r="Q202" i="122"/>
  <c r="S42" i="123"/>
  <c r="Q48" i="123"/>
  <c r="Q281" i="122"/>
  <c r="Q179" i="120"/>
  <c r="S175" i="123"/>
  <c r="Q252" i="122"/>
  <c r="R125" i="120"/>
  <c r="Q150" i="124"/>
  <c r="S223" i="117"/>
  <c r="Q127" i="122"/>
  <c r="R180" i="123"/>
  <c r="S133" i="123"/>
  <c r="R221" i="120"/>
  <c r="S173" i="117"/>
  <c r="Q38" i="124"/>
  <c r="Q53" i="120"/>
  <c r="S262" i="122"/>
  <c r="Q85" i="123"/>
  <c r="Q83" i="120"/>
  <c r="S139" i="124"/>
  <c r="R190" i="124"/>
  <c r="S121" i="117"/>
  <c r="R59" i="122"/>
  <c r="S140" i="124"/>
  <c r="S135" i="123"/>
  <c r="Q116" i="124"/>
  <c r="S204" i="123"/>
  <c r="R222" i="123"/>
  <c r="Q34" i="122"/>
  <c r="Q114" i="120"/>
  <c r="Q114" i="124"/>
  <c r="Q199" i="123"/>
  <c r="Q298" i="124"/>
  <c r="R186" i="124"/>
  <c r="R72" i="124"/>
  <c r="R224" i="117"/>
  <c r="Q46" i="124"/>
  <c r="R164" i="123"/>
  <c r="S224" i="122"/>
  <c r="R63" i="122"/>
  <c r="Q165" i="123"/>
  <c r="R157" i="122"/>
  <c r="Q260" i="122"/>
  <c r="Q210" i="120"/>
  <c r="Q51" i="124"/>
  <c r="Q180" i="120"/>
  <c r="Q228" i="120"/>
  <c r="S75" i="122"/>
  <c r="R180" i="122"/>
  <c r="Q113" i="120"/>
  <c r="S118" i="123"/>
  <c r="Q220" i="122"/>
  <c r="Q157" i="122"/>
  <c r="S170" i="122"/>
  <c r="S161" i="120"/>
  <c r="Q108" i="123"/>
  <c r="S127" i="120"/>
  <c r="R174" i="124"/>
  <c r="Q193" i="124"/>
  <c r="Q254" i="120"/>
  <c r="Q80" i="120"/>
  <c r="Q208" i="122"/>
  <c r="S123" i="123"/>
  <c r="R277" i="124"/>
  <c r="Q107" i="120"/>
  <c r="Q65" i="122"/>
  <c r="S64" i="122"/>
  <c r="Q285" i="123"/>
  <c r="S245" i="122"/>
  <c r="Q163" i="123"/>
  <c r="Q191" i="122"/>
  <c r="Q185" i="124"/>
  <c r="R211" i="117"/>
  <c r="R74" i="123"/>
  <c r="R176" i="117"/>
  <c r="S70" i="117"/>
  <c r="R156" i="124"/>
  <c r="R243" i="122"/>
  <c r="S72" i="123"/>
  <c r="R157" i="117"/>
  <c r="Q69" i="122"/>
  <c r="R253" i="120"/>
  <c r="R132" i="122"/>
  <c r="R186" i="123"/>
  <c r="S179" i="122"/>
  <c r="R137" i="124"/>
  <c r="R60" i="120"/>
  <c r="Q267" i="124"/>
  <c r="R62" i="117"/>
  <c r="S242" i="123"/>
  <c r="Q12" i="120"/>
  <c r="R118" i="124"/>
  <c r="Q123" i="122"/>
  <c r="S225" i="117"/>
  <c r="Q20" i="124"/>
  <c r="Q245" i="122"/>
  <c r="Q6" i="122"/>
  <c r="R244" i="122"/>
  <c r="S68" i="124"/>
  <c r="S246" i="123"/>
  <c r="S170" i="117"/>
  <c r="R41" i="123"/>
  <c r="Q138" i="123"/>
  <c r="S74" i="123"/>
  <c r="S77" i="122"/>
  <c r="S162" i="117"/>
  <c r="Q214" i="124"/>
  <c r="S137" i="117"/>
  <c r="S210" i="120"/>
  <c r="Q216" i="122"/>
  <c r="R187" i="123"/>
  <c r="S42" i="124"/>
  <c r="Q111" i="122"/>
  <c r="S122" i="117"/>
  <c r="R243" i="123"/>
  <c r="Q126" i="122"/>
  <c r="Q233" i="122"/>
  <c r="S188" i="120"/>
  <c r="Q74" i="122"/>
  <c r="Q301" i="124"/>
  <c r="S172" i="122"/>
  <c r="S187" i="123"/>
  <c r="Q279" i="120"/>
  <c r="Q198" i="123"/>
  <c r="R69" i="120"/>
  <c r="S74" i="122"/>
  <c r="S183" i="120"/>
  <c r="S281" i="120"/>
  <c r="R184" i="123"/>
  <c r="Q21" i="122"/>
  <c r="Q168" i="122"/>
  <c r="Q199" i="120"/>
  <c r="S249" i="124"/>
  <c r="Q155" i="120"/>
  <c r="S279" i="117"/>
  <c r="S173" i="124"/>
  <c r="S279" i="123"/>
  <c r="R184" i="117"/>
  <c r="S206" i="122"/>
  <c r="Q195" i="122"/>
  <c r="S247" i="123"/>
  <c r="S41" i="120"/>
  <c r="Q53" i="122"/>
  <c r="R210" i="122"/>
  <c r="Q247" i="124"/>
  <c r="Q252" i="123"/>
  <c r="Q277" i="124"/>
  <c r="Q152" i="123"/>
  <c r="S248" i="123"/>
  <c r="S129" i="117"/>
  <c r="Q248" i="122"/>
  <c r="R176" i="124"/>
  <c r="R76" i="120"/>
  <c r="R184" i="124"/>
  <c r="Q218" i="122"/>
  <c r="Q273" i="123"/>
  <c r="S132" i="120"/>
  <c r="Q51" i="123"/>
  <c r="R283" i="117"/>
  <c r="Q22" i="123"/>
  <c r="R75" i="117"/>
  <c r="Q85" i="120"/>
  <c r="Q181" i="120"/>
  <c r="Q137" i="123"/>
  <c r="S243" i="120"/>
  <c r="R261" i="123"/>
  <c r="Q300" i="124"/>
  <c r="S206" i="120"/>
  <c r="Q128" i="120"/>
  <c r="Q265" i="124"/>
  <c r="R216" i="124"/>
  <c r="S64" i="117"/>
  <c r="Q252" i="120"/>
  <c r="Q203" i="120"/>
  <c r="Q134" i="124"/>
  <c r="R181" i="124"/>
  <c r="R254" i="124"/>
  <c r="R160" i="124"/>
  <c r="Q271" i="120"/>
  <c r="Q149" i="122"/>
  <c r="S187" i="124"/>
  <c r="R276" i="123"/>
  <c r="Q137" i="124"/>
  <c r="Q260" i="120"/>
  <c r="Q212" i="122"/>
  <c r="S217" i="124"/>
  <c r="R130" i="124"/>
  <c r="S239" i="123"/>
  <c r="S175" i="124"/>
  <c r="Q77" i="123"/>
  <c r="Q102" i="122"/>
  <c r="S137" i="123"/>
  <c r="R162" i="120"/>
  <c r="Q73" i="123"/>
  <c r="S220" i="124"/>
  <c r="S182" i="117"/>
  <c r="R257" i="123"/>
  <c r="S45" i="120"/>
  <c r="Q298" i="120"/>
  <c r="R216" i="120"/>
  <c r="R224" i="123"/>
  <c r="R244" i="117"/>
  <c r="Q265" i="123"/>
  <c r="Q23" i="120"/>
  <c r="Q160" i="120"/>
  <c r="S159" i="117"/>
  <c r="Q188" i="120"/>
  <c r="Q265" i="120"/>
  <c r="S225" i="123"/>
  <c r="Q297" i="120"/>
  <c r="Q39" i="123"/>
  <c r="Q189" i="122"/>
  <c r="Q137" i="122"/>
  <c r="S72" i="124"/>
  <c r="Q275" i="120"/>
  <c r="S257" i="124"/>
  <c r="Q200" i="120"/>
  <c r="Q274" i="122"/>
  <c r="Q209" i="122"/>
  <c r="Q21" i="120"/>
  <c r="S214" i="117"/>
  <c r="Q125" i="120"/>
  <c r="Q291" i="120"/>
  <c r="R140" i="124"/>
  <c r="Q239" i="124"/>
  <c r="Q140" i="124"/>
  <c r="R61" i="120"/>
  <c r="S261" i="123"/>
  <c r="Q263" i="120"/>
  <c r="Q74" i="123"/>
  <c r="Q143" i="120"/>
  <c r="R247" i="123"/>
  <c r="R256" i="122"/>
  <c r="Q97" i="120"/>
  <c r="R253" i="123"/>
  <c r="Q283" i="120"/>
  <c r="Q12" i="123"/>
  <c r="Q47" i="123"/>
  <c r="S136" i="123"/>
  <c r="R73" i="123"/>
  <c r="Q195" i="120"/>
  <c r="R124" i="124"/>
  <c r="Q182" i="122"/>
  <c r="Q50" i="120"/>
  <c r="S247" i="122"/>
  <c r="R239" i="124"/>
  <c r="S124" i="122"/>
  <c r="Q258" i="120"/>
  <c r="Q14" i="120"/>
  <c r="R212" i="123"/>
  <c r="Q76" i="120"/>
  <c r="R252" i="120"/>
  <c r="Q101" i="123"/>
  <c r="Q118" i="120"/>
  <c r="Q55" i="120"/>
  <c r="Q147" i="123"/>
  <c r="R76" i="123"/>
  <c r="R45" i="120"/>
  <c r="S163" i="117"/>
  <c r="R169" i="122"/>
  <c r="Q142" i="120"/>
  <c r="Q266" i="122"/>
  <c r="Q261" i="124"/>
  <c r="Q276" i="120"/>
  <c r="S177" i="123"/>
  <c r="Q65" i="123"/>
  <c r="Q239" i="122"/>
  <c r="Q96" i="122"/>
  <c r="S262" i="123"/>
  <c r="R256" i="117"/>
  <c r="Q13" i="123"/>
  <c r="R221" i="117"/>
  <c r="Q294" i="120"/>
  <c r="Q264" i="124"/>
  <c r="Q158" i="123"/>
  <c r="Q222" i="122"/>
  <c r="Q205" i="122"/>
  <c r="Q288" i="120"/>
  <c r="Q281" i="123"/>
  <c r="R129" i="122"/>
  <c r="Q4" i="124"/>
  <c r="Q262" i="124"/>
  <c r="S131" i="122"/>
  <c r="Q226" i="122"/>
  <c r="Q26" i="120"/>
  <c r="R248" i="123"/>
  <c r="Q191" i="123"/>
  <c r="Q219" i="124"/>
  <c r="Q145" i="124"/>
  <c r="S221" i="122"/>
  <c r="S185" i="124"/>
  <c r="S278" i="122"/>
  <c r="Q262" i="122"/>
  <c r="S71" i="122"/>
  <c r="S217" i="123"/>
  <c r="Q143" i="124"/>
  <c r="R173" i="117"/>
  <c r="Q9" i="120"/>
  <c r="R258" i="122"/>
  <c r="R72" i="123"/>
  <c r="Q270" i="123"/>
  <c r="R246" i="124"/>
  <c r="Q52" i="124"/>
  <c r="Q203" i="123"/>
  <c r="R136" i="123"/>
  <c r="R140" i="117"/>
  <c r="R135" i="120"/>
  <c r="Q35" i="123"/>
  <c r="Q138" i="120"/>
  <c r="Q232" i="120"/>
  <c r="Q278" i="123"/>
  <c r="R118" i="122"/>
  <c r="R43" i="124"/>
  <c r="Q11" i="120"/>
  <c r="Q276" i="123"/>
  <c r="Q35" i="122"/>
  <c r="R140" i="122"/>
  <c r="R262" i="123"/>
  <c r="R63" i="124"/>
  <c r="Q146" i="120"/>
  <c r="R119" i="124"/>
  <c r="Q196" i="120"/>
  <c r="R183" i="117"/>
  <c r="Q149" i="120"/>
  <c r="Q45" i="124"/>
  <c r="S165" i="123"/>
  <c r="Q42" i="120"/>
  <c r="Q37" i="124"/>
  <c r="Q182" i="120"/>
  <c r="S220" i="117"/>
  <c r="Q115" i="124"/>
  <c r="R134" i="120"/>
  <c r="R260" i="124"/>
  <c r="Q170" i="124"/>
  <c r="Q24" i="122"/>
  <c r="S137" i="120"/>
  <c r="R68" i="120"/>
  <c r="S254" i="124"/>
  <c r="S181" i="122"/>
  <c r="Q23" i="123"/>
  <c r="S276" i="124"/>
  <c r="Q82" i="123"/>
  <c r="S259" i="117"/>
  <c r="Q158" i="120"/>
  <c r="Q135" i="122"/>
  <c r="Q41" i="120"/>
  <c r="Q56" i="123"/>
  <c r="S163" i="122"/>
  <c r="S128" i="120"/>
  <c r="S158" i="120"/>
  <c r="Q170" i="120"/>
  <c r="R74" i="122"/>
  <c r="Q192" i="120"/>
  <c r="Q121" i="124"/>
  <c r="R183" i="123"/>
  <c r="Q15" i="120"/>
  <c r="Q7" i="120"/>
  <c r="Q177" i="120"/>
  <c r="Q251" i="122"/>
  <c r="Q136" i="120"/>
  <c r="Q163" i="120"/>
  <c r="R246" i="117"/>
  <c r="Q278" i="120"/>
  <c r="R219" i="123"/>
  <c r="R218" i="120"/>
  <c r="Q132" i="120"/>
  <c r="Q109" i="122"/>
  <c r="R135" i="122"/>
  <c r="S138" i="117"/>
  <c r="S124" i="120"/>
  <c r="S78" i="120"/>
  <c r="Q190" i="124"/>
  <c r="Q192" i="123"/>
  <c r="Q140" i="120"/>
  <c r="R255" i="122"/>
  <c r="R211" i="122"/>
  <c r="Q226" i="120"/>
  <c r="R75" i="123"/>
  <c r="S79" i="120"/>
  <c r="Q130" i="120"/>
  <c r="R76" i="122"/>
  <c r="Q160" i="122"/>
  <c r="Q19" i="122"/>
  <c r="Q156" i="123"/>
  <c r="R184" i="122"/>
  <c r="Q43" i="120"/>
  <c r="Q295" i="120"/>
  <c r="Q79" i="120"/>
  <c r="S258" i="122"/>
  <c r="Q86" i="122"/>
  <c r="Q151" i="120"/>
  <c r="Q230" i="122"/>
  <c r="Q128" i="122"/>
  <c r="R158" i="122"/>
  <c r="Q224" i="122"/>
  <c r="Q97" i="124"/>
  <c r="Q293" i="122"/>
  <c r="R162" i="117"/>
  <c r="S205" i="122"/>
  <c r="Q97" i="122"/>
  <c r="Q191" i="120"/>
  <c r="Q266" i="120"/>
  <c r="Q145" i="120"/>
  <c r="Q44" i="120"/>
  <c r="R122" i="122"/>
  <c r="Q139" i="120"/>
  <c r="S185" i="117"/>
  <c r="Q92" i="124"/>
  <c r="Q72" i="123"/>
  <c r="S157" i="120"/>
  <c r="Q299" i="120"/>
  <c r="R182" i="117"/>
  <c r="S130" i="120"/>
  <c r="S283" i="122"/>
  <c r="Q95" i="120"/>
  <c r="S258" i="124"/>
  <c r="Q120" i="120"/>
  <c r="S165" i="122"/>
  <c r="Q126" i="120"/>
  <c r="R136" i="124"/>
  <c r="R177" i="117"/>
  <c r="Q178" i="120"/>
  <c r="Q63" i="123"/>
  <c r="Q16" i="122"/>
  <c r="Q297" i="122"/>
  <c r="S216" i="124"/>
  <c r="S43" i="123"/>
  <c r="Q288" i="122"/>
  <c r="R187" i="117"/>
  <c r="Q51" i="122"/>
  <c r="R72" i="117"/>
  <c r="Q108" i="120"/>
  <c r="R139" i="122"/>
  <c r="S279" i="120"/>
  <c r="R259" i="120"/>
  <c r="S258" i="120"/>
  <c r="Q190" i="120"/>
  <c r="Q88" i="120"/>
  <c r="Q13" i="120"/>
  <c r="R124" i="123"/>
  <c r="Q122" i="120"/>
  <c r="R283" i="124"/>
  <c r="R132" i="120"/>
  <c r="Q166" i="120"/>
  <c r="Q233" i="120"/>
  <c r="Q17" i="120"/>
  <c r="Q23" i="122"/>
  <c r="Q263" i="122"/>
  <c r="S120" i="123"/>
  <c r="Q250" i="122"/>
  <c r="Q105" i="120"/>
  <c r="R168" i="123"/>
  <c r="Q216" i="123"/>
  <c r="Q185" i="123"/>
  <c r="R40" i="117"/>
  <c r="Q284" i="120"/>
  <c r="R121" i="120"/>
  <c r="Q239" i="123"/>
  <c r="Q82" i="120"/>
  <c r="Q205" i="120"/>
  <c r="R167" i="124"/>
  <c r="Q6" i="120"/>
  <c r="S262" i="120"/>
  <c r="Q244" i="120"/>
  <c r="Q34" i="120"/>
  <c r="Q236" i="123"/>
  <c r="Q57" i="124"/>
  <c r="S224" i="124"/>
  <c r="Q129" i="123"/>
  <c r="Q282" i="120"/>
  <c r="S158" i="117"/>
  <c r="Q101" i="120"/>
  <c r="S160" i="123"/>
  <c r="S256" i="123"/>
  <c r="R257" i="117"/>
  <c r="R282" i="122"/>
  <c r="Q164" i="120"/>
  <c r="S182" i="123"/>
  <c r="R61" i="123"/>
  <c r="Q211" i="122"/>
  <c r="R40" i="124"/>
  <c r="R165" i="117"/>
  <c r="Q95" i="122"/>
  <c r="Q36" i="120"/>
  <c r="S259" i="123"/>
  <c r="R69" i="124"/>
  <c r="S140" i="117"/>
  <c r="R119" i="117"/>
  <c r="Q219" i="123"/>
  <c r="Q234" i="122"/>
  <c r="Q292" i="120"/>
  <c r="Q74" i="120"/>
  <c r="Q42" i="122"/>
  <c r="S161" i="123"/>
  <c r="Q146" i="124"/>
  <c r="Q84" i="122"/>
  <c r="S248" i="120"/>
  <c r="R69" i="122"/>
  <c r="Q124" i="124"/>
  <c r="S132" i="122"/>
  <c r="S262" i="117"/>
  <c r="S121" i="120"/>
  <c r="Q192" i="122"/>
  <c r="Q29" i="120"/>
  <c r="S75" i="117"/>
  <c r="S75" i="123"/>
  <c r="Q59" i="120"/>
  <c r="Q209" i="120"/>
  <c r="S129" i="122"/>
  <c r="S172" i="117"/>
  <c r="Q240" i="120"/>
  <c r="R260" i="120"/>
  <c r="R284" i="120"/>
  <c r="S243" i="122"/>
  <c r="S211" i="117"/>
  <c r="S243" i="117"/>
  <c r="R71" i="117"/>
  <c r="Q131" i="120"/>
  <c r="S259" i="120"/>
  <c r="Q287" i="120"/>
  <c r="R139" i="123"/>
  <c r="Q211" i="120"/>
  <c r="Q190" i="122"/>
  <c r="R181" i="117"/>
  <c r="Q148" i="120"/>
  <c r="Q266" i="123"/>
  <c r="Q5" i="120"/>
  <c r="R185" i="122"/>
  <c r="R247" i="122"/>
  <c r="S281" i="122"/>
  <c r="Q234" i="123"/>
  <c r="S277" i="123"/>
  <c r="R163" i="123"/>
  <c r="Q293" i="120"/>
  <c r="Q92" i="120"/>
  <c r="R122" i="124"/>
  <c r="Q238" i="120"/>
  <c r="Q269" i="123"/>
  <c r="Q91" i="122"/>
  <c r="Q32" i="124"/>
  <c r="S210" i="117"/>
  <c r="Q69" i="120"/>
  <c r="S160" i="124"/>
  <c r="Q16" i="120"/>
  <c r="Q78" i="120"/>
  <c r="Q253" i="124"/>
  <c r="Q270" i="120"/>
  <c r="Q66" i="120"/>
  <c r="R70" i="120"/>
  <c r="S183" i="123"/>
  <c r="Q33" i="120"/>
  <c r="Q75" i="123"/>
  <c r="S179" i="124"/>
  <c r="Q174" i="124"/>
  <c r="S212" i="120"/>
  <c r="S119" i="124"/>
  <c r="Q187" i="120"/>
  <c r="R188" i="122"/>
  <c r="Q159" i="124"/>
  <c r="R183" i="122"/>
  <c r="Q152" i="120"/>
  <c r="Q134" i="120"/>
  <c r="Q189" i="120"/>
  <c r="R134" i="124"/>
  <c r="Q263" i="123"/>
  <c r="R130" i="122"/>
  <c r="S61" i="117"/>
  <c r="S136" i="122"/>
  <c r="Q96" i="123"/>
  <c r="Q114" i="122"/>
  <c r="Q103" i="120"/>
  <c r="Q10" i="120"/>
  <c r="R41" i="120"/>
  <c r="S127" i="124"/>
  <c r="S42" i="117"/>
  <c r="R170" i="120"/>
  <c r="Q186" i="120"/>
  <c r="Q182" i="124"/>
  <c r="S284" i="120"/>
  <c r="Q84" i="120"/>
  <c r="Q49" i="120"/>
  <c r="R45" i="123"/>
  <c r="Q19" i="123"/>
  <c r="R247" i="124"/>
  <c r="R138" i="117"/>
  <c r="Q66" i="124"/>
  <c r="Q115" i="123"/>
  <c r="Q159" i="123"/>
  <c r="R278" i="122"/>
  <c r="S245" i="123"/>
  <c r="Q292" i="123"/>
  <c r="Q91" i="120"/>
  <c r="R62" i="120"/>
  <c r="S172" i="120"/>
  <c r="R250" i="117"/>
  <c r="Q63" i="122"/>
  <c r="S76" i="117"/>
  <c r="Q48" i="120"/>
  <c r="S188" i="123"/>
  <c r="Q80" i="124"/>
  <c r="Q115" i="120"/>
  <c r="Q259" i="120"/>
  <c r="R215" i="120"/>
  <c r="Q292" i="122"/>
  <c r="Q289" i="120"/>
  <c r="S177" i="120"/>
  <c r="S218" i="123"/>
  <c r="S214" i="120"/>
  <c r="S278" i="120"/>
  <c r="Q277" i="120"/>
  <c r="Q129" i="124"/>
  <c r="Q86" i="123"/>
  <c r="S162" i="123"/>
  <c r="S183" i="117"/>
  <c r="Q264" i="120"/>
  <c r="Q54" i="120"/>
  <c r="Q24" i="120"/>
  <c r="Q71" i="120"/>
  <c r="Q132" i="124"/>
  <c r="Q253" i="122"/>
  <c r="Q30" i="120"/>
  <c r="Q224" i="120"/>
  <c r="R155" i="122"/>
  <c r="Q255" i="123"/>
  <c r="Q279" i="124"/>
  <c r="Q104" i="120"/>
  <c r="R279" i="117"/>
  <c r="Q87" i="120"/>
  <c r="S40" i="117"/>
  <c r="S130" i="123"/>
  <c r="R42" i="122"/>
  <c r="Q230" i="120"/>
  <c r="S184" i="124"/>
  <c r="Q193" i="122"/>
  <c r="R188" i="120"/>
  <c r="S241" i="120"/>
  <c r="R167" i="117"/>
  <c r="Q74" i="124"/>
  <c r="S278" i="124"/>
  <c r="R133" i="122"/>
  <c r="Q3" i="120"/>
  <c r="R276" i="120"/>
  <c r="Q227" i="124"/>
  <c r="S184" i="123"/>
  <c r="Q25" i="122"/>
  <c r="Q67" i="120"/>
  <c r="R119" i="120"/>
  <c r="Q41" i="123"/>
  <c r="S254" i="120"/>
  <c r="R59" i="124"/>
  <c r="R73" i="120"/>
  <c r="S284" i="123"/>
  <c r="S246" i="120"/>
  <c r="Q119" i="124"/>
  <c r="Q256" i="120"/>
  <c r="R283" i="122"/>
  <c r="Q174" i="120"/>
  <c r="Q31" i="124"/>
  <c r="Q272" i="120"/>
  <c r="Q193" i="120"/>
  <c r="S259" i="122"/>
  <c r="R216" i="117"/>
  <c r="Q241" i="120"/>
  <c r="R71" i="124"/>
  <c r="Q243" i="120"/>
  <c r="Q251" i="124"/>
  <c r="Q102" i="124"/>
  <c r="Q93" i="120"/>
  <c r="Q229" i="120"/>
  <c r="Q70" i="120"/>
  <c r="S120" i="120"/>
  <c r="S252" i="117"/>
  <c r="S190" i="122"/>
  <c r="Q144" i="120"/>
  <c r="Q14" i="123"/>
  <c r="R157" i="124"/>
  <c r="R76" i="117"/>
  <c r="Q208" i="120"/>
  <c r="R222" i="120"/>
  <c r="Q8" i="120"/>
  <c r="Q39" i="120"/>
  <c r="Q31" i="123"/>
  <c r="Q39" i="122"/>
  <c r="S133" i="124"/>
  <c r="R278" i="124"/>
  <c r="Q123" i="123"/>
  <c r="S78" i="123"/>
  <c r="S156" i="122"/>
  <c r="Q111" i="123"/>
  <c r="S133" i="122"/>
  <c r="S280" i="123"/>
  <c r="Q163" i="124"/>
  <c r="Q161" i="120"/>
  <c r="Q167" i="123"/>
  <c r="Q222" i="120"/>
  <c r="R183" i="120"/>
  <c r="Q43" i="122"/>
  <c r="Q302" i="120"/>
  <c r="S44" i="122"/>
  <c r="R79" i="122"/>
  <c r="Q65" i="124"/>
  <c r="Q44" i="123"/>
  <c r="S72" i="117"/>
  <c r="R253" i="122"/>
  <c r="Q75" i="122"/>
  <c r="R140" i="123"/>
  <c r="S186" i="124"/>
  <c r="R156" i="123"/>
  <c r="S256" i="122"/>
  <c r="Q168" i="120"/>
  <c r="S172" i="124"/>
  <c r="R276" i="124"/>
  <c r="Q52" i="120"/>
  <c r="R241" i="123"/>
  <c r="Q129" i="120"/>
  <c r="R284" i="117"/>
  <c r="Q105" i="124"/>
  <c r="S205" i="123"/>
  <c r="R247" i="117"/>
  <c r="R253" i="117"/>
  <c r="Q280" i="123"/>
  <c r="Q167" i="120"/>
  <c r="R257" i="124"/>
  <c r="Q104" i="122"/>
  <c r="Q164" i="122"/>
  <c r="Q258" i="124"/>
  <c r="Q147" i="120"/>
  <c r="S248" i="122"/>
  <c r="Q165" i="122"/>
  <c r="Q165" i="120"/>
  <c r="S43" i="120"/>
  <c r="Q152" i="122"/>
  <c r="R221" i="124"/>
  <c r="R68" i="117"/>
  <c r="Q68" i="120"/>
  <c r="S62" i="122"/>
  <c r="Q121" i="122"/>
  <c r="Q213" i="120"/>
  <c r="Q9" i="123"/>
  <c r="R178" i="124"/>
  <c r="S136" i="120"/>
  <c r="Q153" i="120"/>
  <c r="Q169" i="122"/>
  <c r="Q255" i="120"/>
  <c r="Q60" i="120"/>
  <c r="Q135" i="120"/>
  <c r="Q89" i="123"/>
  <c r="S171" i="122"/>
  <c r="Q151" i="122"/>
  <c r="Q176" i="120"/>
  <c r="Q64" i="122"/>
  <c r="Q172" i="120"/>
  <c r="Q46" i="120"/>
  <c r="Q171" i="120"/>
  <c r="Q47" i="120"/>
  <c r="R161" i="124"/>
  <c r="Q185" i="120"/>
  <c r="Q146" i="123"/>
  <c r="Q96" i="120"/>
  <c r="S122" i="123"/>
  <c r="Q194" i="120"/>
  <c r="Q39" i="124"/>
  <c r="Q89" i="120"/>
  <c r="Q65" i="120"/>
  <c r="Q247" i="120"/>
  <c r="Q245" i="120"/>
  <c r="Q246" i="120"/>
  <c r="Q248" i="120"/>
  <c r="Q213" i="117"/>
  <c r="Q250" i="120"/>
  <c r="Q249" i="120"/>
  <c r="Q224" i="117"/>
  <c r="Q89" i="92" l="1"/>
  <c r="S39" i="92"/>
  <c r="Q194" i="92"/>
  <c r="Q96" i="92"/>
  <c r="P146" i="92"/>
  <c r="Q185" i="92"/>
  <c r="M161" i="92"/>
  <c r="Q47" i="92"/>
  <c r="Q171" i="92"/>
  <c r="Q46" i="92"/>
  <c r="Q172" i="92"/>
  <c r="R64" i="92"/>
  <c r="Q176" i="92"/>
  <c r="R151" i="92"/>
  <c r="P89" i="92"/>
  <c r="Q135" i="92"/>
  <c r="Q60" i="92"/>
  <c r="Q255" i="92"/>
  <c r="R169" i="92"/>
  <c r="Q153" i="92"/>
  <c r="M178" i="92"/>
  <c r="P9" i="92"/>
  <c r="Q213" i="92"/>
  <c r="R121" i="92"/>
  <c r="Q68" i="92"/>
  <c r="M221" i="92"/>
  <c r="R152" i="92"/>
  <c r="Q165" i="92"/>
  <c r="R165" i="92"/>
  <c r="Q147" i="92"/>
  <c r="S258" i="92"/>
  <c r="R164" i="92"/>
  <c r="R104" i="92"/>
  <c r="M257" i="92"/>
  <c r="Q167" i="92"/>
  <c r="P280" i="92"/>
  <c r="S105" i="92"/>
  <c r="Q129" i="92"/>
  <c r="Q52" i="92"/>
  <c r="M276" i="92"/>
  <c r="N172" i="92"/>
  <c r="Q168" i="92"/>
  <c r="R75" i="92"/>
  <c r="P44" i="92"/>
  <c r="Q302" i="92"/>
  <c r="R43" i="92"/>
  <c r="Q222" i="92"/>
  <c r="P167" i="92"/>
  <c r="Q161" i="92"/>
  <c r="S163" i="92"/>
  <c r="P111" i="92"/>
  <c r="P123" i="92"/>
  <c r="M278" i="92"/>
  <c r="N133" i="92"/>
  <c r="R39" i="92"/>
  <c r="P31" i="92"/>
  <c r="Q39" i="92"/>
  <c r="Q8" i="92"/>
  <c r="Q208" i="92"/>
  <c r="M157" i="92"/>
  <c r="P14" i="92"/>
  <c r="Q144" i="92"/>
  <c r="Q70" i="92"/>
  <c r="Q229" i="92"/>
  <c r="Q93" i="92"/>
  <c r="S102" i="92"/>
  <c r="S251" i="92"/>
  <c r="Q243" i="92"/>
  <c r="M71" i="92"/>
  <c r="Q241" i="92"/>
  <c r="Q193" i="92"/>
  <c r="Q272" i="92"/>
  <c r="S31" i="92"/>
  <c r="Q174" i="92"/>
  <c r="Q256" i="92"/>
  <c r="S119" i="92"/>
  <c r="M59" i="92"/>
  <c r="P41" i="92"/>
  <c r="Q67" i="92"/>
  <c r="R25" i="92"/>
  <c r="S227" i="92"/>
  <c r="Q3" i="92"/>
  <c r="N278" i="92"/>
  <c r="S74" i="92"/>
  <c r="R193" i="92"/>
  <c r="N184" i="92"/>
  <c r="Q230" i="92"/>
  <c r="Q87" i="92"/>
  <c r="Q104" i="92"/>
  <c r="S279" i="92"/>
  <c r="P255" i="92"/>
  <c r="Q224" i="92"/>
  <c r="Q30" i="92"/>
  <c r="R253" i="92"/>
  <c r="S132" i="92"/>
  <c r="Q71" i="92"/>
  <c r="Q24" i="92"/>
  <c r="Q54" i="92"/>
  <c r="Q264" i="92"/>
  <c r="P86" i="92"/>
  <c r="S129" i="92"/>
  <c r="Q277" i="92"/>
  <c r="Q289" i="92"/>
  <c r="R292" i="92"/>
  <c r="Q259" i="92"/>
  <c r="Q115" i="92"/>
  <c r="S80" i="92"/>
  <c r="Q48" i="92"/>
  <c r="R63" i="92"/>
  <c r="Q91" i="92"/>
  <c r="P292" i="92"/>
  <c r="P159" i="92"/>
  <c r="P115" i="92"/>
  <c r="S66" i="92"/>
  <c r="M247" i="92"/>
  <c r="P19" i="92"/>
  <c r="Q49" i="92"/>
  <c r="Q84" i="92"/>
  <c r="S182" i="92"/>
  <c r="Q186" i="92"/>
  <c r="N127" i="92"/>
  <c r="Q10" i="92"/>
  <c r="Q103" i="92"/>
  <c r="R114" i="92"/>
  <c r="P96" i="92"/>
  <c r="P263" i="92"/>
  <c r="M134" i="92"/>
  <c r="Q189" i="92"/>
  <c r="Q134" i="92"/>
  <c r="Q152" i="92"/>
  <c r="S159" i="92"/>
  <c r="Q187" i="92"/>
  <c r="N119" i="92"/>
  <c r="S174" i="92"/>
  <c r="N179" i="92"/>
  <c r="P75" i="92"/>
  <c r="Q33" i="92"/>
  <c r="Q66" i="92"/>
  <c r="Q270" i="92"/>
  <c r="S253" i="92"/>
  <c r="Q78" i="92"/>
  <c r="Q16" i="92"/>
  <c r="N160" i="92"/>
  <c r="Q69" i="92"/>
  <c r="S32" i="92"/>
  <c r="R91" i="92"/>
  <c r="P269" i="92"/>
  <c r="Q238" i="92"/>
  <c r="M122" i="92"/>
  <c r="Q92" i="92"/>
  <c r="Q293" i="92"/>
  <c r="P234" i="92"/>
  <c r="Q5" i="92"/>
  <c r="P266" i="92"/>
  <c r="Q148" i="92"/>
  <c r="R190" i="92"/>
  <c r="Q211" i="92"/>
  <c r="Q287" i="92"/>
  <c r="Q131" i="92"/>
  <c r="Q240" i="92"/>
  <c r="Q209" i="92"/>
  <c r="Q59" i="92"/>
  <c r="Q29" i="92"/>
  <c r="R192" i="92"/>
  <c r="S124" i="92"/>
  <c r="R84" i="92"/>
  <c r="S146" i="92"/>
  <c r="R42" i="92"/>
  <c r="Q74" i="92"/>
  <c r="Q292" i="92"/>
  <c r="R234" i="92"/>
  <c r="P219" i="92"/>
  <c r="M69" i="92"/>
  <c r="Q36" i="92"/>
  <c r="R95" i="92"/>
  <c r="M40" i="92"/>
  <c r="R211" i="92"/>
  <c r="Q164" i="92"/>
  <c r="Q101" i="92"/>
  <c r="Q282" i="92"/>
  <c r="P129" i="92"/>
  <c r="N224" i="92"/>
  <c r="S57" i="92"/>
  <c r="P236" i="92"/>
  <c r="Q34" i="92"/>
  <c r="Q244" i="92"/>
  <c r="Q6" i="92"/>
  <c r="M167" i="92"/>
  <c r="Q205" i="92"/>
  <c r="Q82" i="92"/>
  <c r="P239" i="92"/>
  <c r="Q284" i="92"/>
  <c r="P185" i="92"/>
  <c r="P216" i="92"/>
  <c r="Q105" i="92"/>
  <c r="R250" i="92"/>
  <c r="R263" i="92"/>
  <c r="R23" i="92"/>
  <c r="Q17" i="92"/>
  <c r="Q233" i="92"/>
  <c r="Q166" i="92"/>
  <c r="M283" i="92"/>
  <c r="Q122" i="92"/>
  <c r="Q13" i="92"/>
  <c r="Q88" i="92"/>
  <c r="Q190" i="92"/>
  <c r="Q108" i="92"/>
  <c r="R51" i="92"/>
  <c r="R288" i="92"/>
  <c r="N216" i="92"/>
  <c r="R297" i="92"/>
  <c r="R16" i="92"/>
  <c r="P63" i="92"/>
  <c r="Q178" i="92"/>
  <c r="M136" i="92"/>
  <c r="Q126" i="92"/>
  <c r="Q120" i="92"/>
  <c r="N258" i="92"/>
  <c r="Q95" i="92"/>
  <c r="Q299" i="92"/>
  <c r="P72" i="92"/>
  <c r="S92" i="92"/>
  <c r="Q139" i="92"/>
  <c r="Q44" i="92"/>
  <c r="Q145" i="92"/>
  <c r="Q266" i="92"/>
  <c r="Q191" i="92"/>
  <c r="R97" i="92"/>
  <c r="R293" i="92"/>
  <c r="S97" i="92"/>
  <c r="R224" i="92"/>
  <c r="R128" i="92"/>
  <c r="R230" i="92"/>
  <c r="Q151" i="92"/>
  <c r="R86" i="92"/>
  <c r="Q79" i="92"/>
  <c r="Q295" i="92"/>
  <c r="Q43" i="92"/>
  <c r="P156" i="92"/>
  <c r="R19" i="92"/>
  <c r="R160" i="92"/>
  <c r="Q130" i="92"/>
  <c r="Q226" i="92"/>
  <c r="Q140" i="92"/>
  <c r="P192" i="92"/>
  <c r="S190" i="92"/>
  <c r="R109" i="92"/>
  <c r="Q132" i="92"/>
  <c r="Q278" i="92"/>
  <c r="Q163" i="92"/>
  <c r="Q136" i="92"/>
  <c r="R251" i="92"/>
  <c r="Q177" i="92"/>
  <c r="Q7" i="92"/>
  <c r="Q15" i="92"/>
  <c r="S121" i="92"/>
  <c r="Q192" i="92"/>
  <c r="Q170" i="92"/>
  <c r="P56" i="92"/>
  <c r="Q41" i="92"/>
  <c r="R135" i="92"/>
  <c r="Q158" i="92"/>
  <c r="P82" i="92"/>
  <c r="N276" i="92"/>
  <c r="P23" i="92"/>
  <c r="N254" i="92"/>
  <c r="R24" i="92"/>
  <c r="S170" i="92"/>
  <c r="M260" i="92"/>
  <c r="S115" i="92"/>
  <c r="Q182" i="92"/>
  <c r="S37" i="92"/>
  <c r="Q42" i="92"/>
  <c r="S45" i="92"/>
  <c r="Q149" i="92"/>
  <c r="Q196" i="92"/>
  <c r="M119" i="92"/>
  <c r="Q146" i="92"/>
  <c r="M63" i="92"/>
  <c r="R35" i="92"/>
  <c r="P276" i="92"/>
  <c r="Q11" i="92"/>
  <c r="M43" i="92"/>
  <c r="P278" i="92"/>
  <c r="Q232" i="92"/>
  <c r="Q138" i="92"/>
  <c r="P35" i="92"/>
  <c r="P203" i="92"/>
  <c r="S52" i="92"/>
  <c r="M246" i="92"/>
  <c r="P270" i="92"/>
  <c r="Q9" i="92"/>
  <c r="S143" i="92"/>
  <c r="R262" i="92"/>
  <c r="N185" i="92"/>
  <c r="S145" i="92"/>
  <c r="S219" i="92"/>
  <c r="P191" i="92"/>
  <c r="Q26" i="92"/>
  <c r="R226" i="92"/>
  <c r="S262" i="92"/>
  <c r="S4" i="92"/>
  <c r="P281" i="92"/>
  <c r="Q288" i="92"/>
  <c r="R205" i="92"/>
  <c r="R222" i="92"/>
  <c r="P158" i="92"/>
  <c r="S264" i="92"/>
  <c r="Q294" i="92"/>
  <c r="P13" i="92"/>
  <c r="R96" i="92"/>
  <c r="R239" i="92"/>
  <c r="Q276" i="92"/>
  <c r="S261" i="92"/>
  <c r="R266" i="92"/>
  <c r="Q142" i="92"/>
  <c r="P147" i="92"/>
  <c r="Q55" i="92"/>
  <c r="Q118" i="92"/>
  <c r="P101" i="92"/>
  <c r="Q76" i="92"/>
  <c r="Q14" i="92"/>
  <c r="Q258" i="92"/>
  <c r="M239" i="92"/>
  <c r="Q50" i="92"/>
  <c r="R182" i="92"/>
  <c r="M124" i="92"/>
  <c r="Q195" i="92"/>
  <c r="P47" i="92"/>
  <c r="P12" i="92"/>
  <c r="Q283" i="92"/>
  <c r="Q97" i="92"/>
  <c r="Q143" i="92"/>
  <c r="P74" i="92"/>
  <c r="Q263" i="92"/>
  <c r="S140" i="92"/>
  <c r="S239" i="92"/>
  <c r="M140" i="92"/>
  <c r="Q291" i="92"/>
  <c r="Q125" i="92"/>
  <c r="Q21" i="92"/>
  <c r="R209" i="92"/>
  <c r="R274" i="92"/>
  <c r="Q200" i="92"/>
  <c r="N257" i="92"/>
  <c r="Q275" i="92"/>
  <c r="N72" i="92"/>
  <c r="R137" i="92"/>
  <c r="R189" i="92"/>
  <c r="P39" i="92"/>
  <c r="Q297" i="92"/>
  <c r="Q265" i="92"/>
  <c r="Q188" i="92"/>
  <c r="Q160" i="92"/>
  <c r="Q23" i="92"/>
  <c r="P265" i="92"/>
  <c r="Q298" i="92"/>
  <c r="N220" i="92"/>
  <c r="P73" i="92"/>
  <c r="R102" i="92"/>
  <c r="P77" i="92"/>
  <c r="N175" i="92"/>
  <c r="M130" i="92"/>
  <c r="N217" i="92"/>
  <c r="R212" i="92"/>
  <c r="Q260" i="92"/>
  <c r="S137" i="92"/>
  <c r="R149" i="92"/>
  <c r="Q271" i="92"/>
  <c r="M160" i="92"/>
  <c r="M254" i="92"/>
  <c r="M181" i="92"/>
  <c r="S134" i="92"/>
  <c r="Q203" i="92"/>
  <c r="Q252" i="92"/>
  <c r="M216" i="92"/>
  <c r="S265" i="92"/>
  <c r="Q128" i="92"/>
  <c r="S300" i="92"/>
  <c r="P137" i="92"/>
  <c r="Q181" i="92"/>
  <c r="Q85" i="92"/>
  <c r="P22" i="92"/>
  <c r="P51" i="92"/>
  <c r="P273" i="92"/>
  <c r="R218" i="92"/>
  <c r="M184" i="92"/>
  <c r="M176" i="92"/>
  <c r="R248" i="92"/>
  <c r="P152" i="92"/>
  <c r="S277" i="92"/>
  <c r="P252" i="92"/>
  <c r="S247" i="92"/>
  <c r="R53" i="92"/>
  <c r="R195" i="92"/>
  <c r="N173" i="92"/>
  <c r="Q155" i="92"/>
  <c r="N249" i="92"/>
  <c r="Q199" i="92"/>
  <c r="R168" i="92"/>
  <c r="R21" i="92"/>
  <c r="P198" i="92"/>
  <c r="Q279" i="92"/>
  <c r="S301" i="92"/>
  <c r="R74" i="92"/>
  <c r="R233" i="92"/>
  <c r="R126" i="92"/>
  <c r="R111" i="92"/>
  <c r="N42" i="92"/>
  <c r="R216" i="92"/>
  <c r="S214" i="92"/>
  <c r="P138" i="92"/>
  <c r="N68" i="92"/>
  <c r="R6" i="92"/>
  <c r="R245" i="92"/>
  <c r="S20" i="92"/>
  <c r="R123" i="92"/>
  <c r="M118" i="92"/>
  <c r="Q12" i="92"/>
  <c r="S267" i="92"/>
  <c r="M137" i="92"/>
  <c r="R69" i="92"/>
  <c r="M156" i="92"/>
  <c r="S185" i="92"/>
  <c r="R191" i="92"/>
  <c r="P163" i="92"/>
  <c r="P285" i="92"/>
  <c r="Q107" i="92"/>
  <c r="M277" i="92"/>
  <c r="R208" i="92"/>
  <c r="Q80" i="92"/>
  <c r="Q254" i="92"/>
  <c r="S193" i="92"/>
  <c r="M174" i="92"/>
  <c r="P108" i="92"/>
  <c r="R157" i="92"/>
  <c r="R220" i="92"/>
  <c r="Q113" i="92"/>
  <c r="Q228" i="92"/>
  <c r="Q180" i="92"/>
  <c r="S51" i="92"/>
  <c r="Q210" i="92"/>
  <c r="R260" i="92"/>
  <c r="P165" i="92"/>
  <c r="S46" i="92"/>
  <c r="M72" i="92"/>
  <c r="S298" i="92"/>
  <c r="P199" i="92"/>
  <c r="S114" i="92"/>
  <c r="Q114" i="92"/>
  <c r="R34" i="92"/>
  <c r="S116" i="92"/>
  <c r="N140" i="92"/>
  <c r="N139" i="92"/>
  <c r="Q83" i="92"/>
  <c r="P85" i="92"/>
  <c r="Q53" i="92"/>
  <c r="S38" i="92"/>
  <c r="R127" i="92"/>
  <c r="S150" i="92"/>
  <c r="R252" i="92"/>
  <c r="Q179" i="92"/>
  <c r="R281" i="92"/>
  <c r="P48" i="92"/>
  <c r="R202" i="92"/>
  <c r="S187" i="92"/>
  <c r="R54" i="92"/>
  <c r="R140" i="92"/>
  <c r="R232" i="92"/>
  <c r="R254" i="92"/>
  <c r="Q269" i="92"/>
  <c r="R20" i="92"/>
  <c r="N167" i="92"/>
  <c r="S77" i="92"/>
  <c r="S100" i="92"/>
  <c r="R40" i="92"/>
  <c r="P262" i="92"/>
  <c r="S162" i="92"/>
  <c r="S95" i="92"/>
  <c r="R136" i="92"/>
  <c r="Q184" i="92"/>
  <c r="R28" i="92"/>
  <c r="N177" i="92"/>
  <c r="P260" i="92"/>
  <c r="R247" i="92"/>
  <c r="N78" i="92"/>
  <c r="S303" i="92"/>
  <c r="P253" i="92"/>
  <c r="M256" i="92"/>
  <c r="S254" i="92"/>
  <c r="R78" i="92"/>
  <c r="M224" i="92"/>
  <c r="Q116" i="92"/>
  <c r="P10" i="92"/>
  <c r="Q90" i="92"/>
  <c r="Q133" i="92"/>
  <c r="Q207" i="92"/>
  <c r="M155" i="92"/>
  <c r="Q51" i="92"/>
  <c r="Q175" i="92"/>
  <c r="S58" i="92"/>
  <c r="N255" i="92"/>
  <c r="Q38" i="92"/>
  <c r="Q102" i="92"/>
  <c r="R133" i="92"/>
  <c r="Q75" i="92"/>
  <c r="R103" i="92"/>
  <c r="S113" i="92"/>
  <c r="N134" i="92"/>
  <c r="Q77" i="92"/>
  <c r="Q37" i="92"/>
  <c r="P295" i="92"/>
  <c r="P136" i="92"/>
  <c r="P34" i="92"/>
  <c r="M218" i="92"/>
  <c r="S109" i="92"/>
  <c r="P21" i="92"/>
  <c r="P171" i="92"/>
  <c r="R236" i="92"/>
  <c r="R159" i="92"/>
  <c r="S43" i="92"/>
  <c r="M284" i="92"/>
  <c r="S237" i="92"/>
  <c r="R299" i="92"/>
  <c r="Q117" i="92"/>
  <c r="Q169" i="92"/>
  <c r="R31" i="92"/>
  <c r="M179" i="92"/>
  <c r="S172" i="92"/>
  <c r="R129" i="92"/>
  <c r="N63" i="92"/>
  <c r="S234" i="92"/>
  <c r="R294" i="92"/>
  <c r="P58" i="92"/>
  <c r="Q27" i="92"/>
  <c r="P196" i="92"/>
  <c r="P20" i="92"/>
  <c r="M44" i="92"/>
  <c r="P57" i="92"/>
  <c r="P200" i="92"/>
  <c r="P49" i="92"/>
  <c r="P256" i="92"/>
  <c r="N132" i="92"/>
  <c r="N137" i="92"/>
  <c r="M61" i="92"/>
  <c r="N280" i="92"/>
  <c r="N129" i="92"/>
  <c r="P7" i="92"/>
  <c r="M68" i="92"/>
  <c r="S22" i="92"/>
  <c r="S160" i="92"/>
  <c r="S138" i="92"/>
  <c r="Q72" i="92"/>
  <c r="M135" i="92"/>
  <c r="P155" i="92"/>
  <c r="R178" i="92"/>
  <c r="S50" i="92"/>
  <c r="S271" i="92"/>
  <c r="R284" i="92"/>
  <c r="P106" i="92"/>
  <c r="M249" i="92"/>
  <c r="S78" i="92"/>
  <c r="P143" i="92"/>
  <c r="M175" i="92"/>
  <c r="P93" i="92"/>
  <c r="S98" i="92"/>
  <c r="S223" i="92"/>
  <c r="Q56" i="92"/>
  <c r="Q235" i="92"/>
  <c r="Q273" i="92"/>
  <c r="R38" i="92"/>
  <c r="Q28" i="92"/>
  <c r="S201" i="92"/>
  <c r="Q236" i="92"/>
  <c r="Q159" i="92"/>
  <c r="P174" i="92"/>
  <c r="Q154" i="92"/>
  <c r="Q231" i="92"/>
  <c r="S7" i="92"/>
  <c r="S44" i="92"/>
  <c r="P135" i="92"/>
  <c r="Q40" i="92"/>
  <c r="P64" i="92"/>
  <c r="Q45" i="92"/>
  <c r="R196" i="92"/>
  <c r="R167" i="92"/>
  <c r="Q73" i="92"/>
  <c r="R166" i="92"/>
  <c r="P120" i="92"/>
  <c r="S203" i="92"/>
  <c r="Q157" i="92"/>
  <c r="Q267" i="92"/>
  <c r="R55" i="92"/>
  <c r="N73" i="92"/>
  <c r="P67" i="92"/>
  <c r="Q239" i="92"/>
  <c r="R215" i="92"/>
  <c r="S252" i="92"/>
  <c r="P6" i="92"/>
  <c r="Q202" i="92"/>
  <c r="N178" i="92"/>
  <c r="P284" i="92"/>
  <c r="R79" i="92"/>
  <c r="R44" i="92"/>
  <c r="P223" i="92"/>
  <c r="R99" i="92"/>
  <c r="S283" i="92"/>
  <c r="R300" i="92"/>
  <c r="M214" i="92"/>
  <c r="R8" i="92"/>
  <c r="P125" i="92"/>
  <c r="M79" i="92"/>
  <c r="R46" i="92"/>
  <c r="Q215" i="92"/>
  <c r="R275" i="92"/>
  <c r="S166" i="92"/>
  <c r="P124" i="92"/>
  <c r="P245" i="92"/>
  <c r="R229" i="92"/>
  <c r="S62" i="92"/>
  <c r="R115" i="92"/>
  <c r="R73" i="92"/>
  <c r="S15" i="92"/>
  <c r="S27" i="92"/>
  <c r="S25" i="92"/>
  <c r="R174" i="92"/>
  <c r="R200" i="92"/>
  <c r="P240" i="92"/>
  <c r="P81" i="92"/>
  <c r="S131" i="92"/>
  <c r="P70" i="92"/>
  <c r="R163" i="92"/>
  <c r="N128" i="92"/>
  <c r="S30" i="92"/>
  <c r="S198" i="92"/>
  <c r="R118" i="92"/>
  <c r="M251" i="92"/>
  <c r="Q290" i="92"/>
  <c r="R199" i="92"/>
  <c r="M78" i="92"/>
  <c r="Q112" i="92"/>
  <c r="Q257" i="92"/>
  <c r="Q57" i="92"/>
  <c r="S90" i="92"/>
  <c r="R50" i="92"/>
  <c r="Q58" i="92"/>
  <c r="Q281" i="92"/>
  <c r="R36" i="92"/>
  <c r="P168" i="92"/>
  <c r="Q121" i="92"/>
  <c r="Q127" i="92"/>
  <c r="R210" i="92"/>
  <c r="Q274" i="92"/>
  <c r="P297" i="92"/>
  <c r="Q268" i="92"/>
  <c r="P153" i="92"/>
  <c r="S218" i="92"/>
  <c r="P71" i="92"/>
  <c r="N64" i="92"/>
  <c r="P95" i="92"/>
  <c r="R244" i="92"/>
  <c r="P246" i="92"/>
  <c r="P45" i="92"/>
  <c r="R277" i="92"/>
  <c r="S274" i="92"/>
  <c r="R264" i="92"/>
  <c r="R71" i="92"/>
  <c r="Q204" i="92"/>
  <c r="S268" i="92"/>
  <c r="P232" i="92"/>
  <c r="S36" i="92"/>
  <c r="S6" i="92"/>
  <c r="R98" i="92"/>
  <c r="S278" i="92"/>
  <c r="P254" i="92"/>
  <c r="S263" i="92"/>
  <c r="Q31" i="92"/>
  <c r="Q32" i="92"/>
  <c r="R130" i="92"/>
  <c r="S28" i="92"/>
  <c r="M252" i="92"/>
  <c r="R83" i="92"/>
  <c r="P100" i="92"/>
  <c r="N77" i="92"/>
  <c r="S56" i="92"/>
  <c r="S233" i="92"/>
  <c r="P52" i="92"/>
  <c r="Q99" i="92"/>
  <c r="R81" i="92"/>
  <c r="R138" i="92"/>
  <c r="N43" i="92"/>
  <c r="P279" i="92"/>
  <c r="N45" i="92"/>
  <c r="P91" i="92"/>
  <c r="R87" i="92"/>
  <c r="R30" i="92"/>
  <c r="P238" i="92"/>
  <c r="R217" i="92"/>
  <c r="Q61" i="92"/>
  <c r="Q296" i="92"/>
  <c r="Q251" i="92"/>
  <c r="Q81" i="92"/>
  <c r="R186" i="92"/>
  <c r="Q123" i="92"/>
  <c r="Q141" i="92"/>
  <c r="Q285" i="92"/>
  <c r="Q303" i="92"/>
  <c r="P5" i="92"/>
  <c r="Q214" i="92"/>
  <c r="Q150" i="92"/>
  <c r="S238" i="92"/>
  <c r="M248" i="92"/>
  <c r="Q304" i="92"/>
  <c r="Q20" i="92"/>
  <c r="R225" i="92"/>
  <c r="Q98" i="92"/>
  <c r="R228" i="92"/>
  <c r="N260" i="92"/>
  <c r="Q225" i="92"/>
  <c r="S21" i="92"/>
  <c r="S175" i="92"/>
  <c r="P264" i="92"/>
  <c r="Q198" i="92"/>
  <c r="Q300" i="92"/>
  <c r="R175" i="92"/>
  <c r="S29" i="92"/>
  <c r="S173" i="92"/>
  <c r="P87" i="92"/>
  <c r="R62" i="92"/>
  <c r="R201" i="92"/>
  <c r="R148" i="92"/>
  <c r="N162" i="92"/>
  <c r="Q201" i="92"/>
  <c r="P69" i="92"/>
  <c r="P148" i="92"/>
  <c r="N225" i="92"/>
  <c r="N40" i="92"/>
  <c r="R17" i="92"/>
  <c r="P43" i="92"/>
  <c r="S167" i="92"/>
  <c r="N120" i="92"/>
  <c r="S19" i="92"/>
  <c r="M162" i="92"/>
  <c r="R302" i="92"/>
  <c r="S276" i="92"/>
  <c r="Q119" i="92"/>
  <c r="S60" i="92"/>
  <c r="S176" i="92"/>
  <c r="R273" i="92"/>
  <c r="M131" i="92"/>
  <c r="R207" i="92"/>
  <c r="S220" i="92"/>
  <c r="R214" i="92"/>
  <c r="N282" i="92"/>
  <c r="N248" i="92"/>
  <c r="P37" i="92"/>
  <c r="P18" i="92"/>
  <c r="Q242" i="92"/>
  <c r="Q35" i="92"/>
  <c r="P16" i="92"/>
  <c r="R117" i="92"/>
  <c r="R171" i="92"/>
  <c r="S226" i="92"/>
  <c r="R125" i="92"/>
  <c r="S142" i="92"/>
  <c r="R58" i="92"/>
  <c r="R227" i="92"/>
  <c r="R285" i="92"/>
  <c r="R132" i="92"/>
  <c r="R176" i="92"/>
  <c r="R188" i="92"/>
  <c r="Q19" i="92"/>
  <c r="R187" i="92"/>
  <c r="S235" i="92"/>
  <c r="S126" i="92"/>
  <c r="S299" i="92"/>
  <c r="R120" i="92"/>
  <c r="S73" i="92"/>
  <c r="P53" i="92"/>
  <c r="Q286" i="92"/>
  <c r="Q183" i="92"/>
  <c r="M217" i="92"/>
  <c r="Q173" i="92"/>
  <c r="N164" i="92"/>
  <c r="S224" i="92"/>
  <c r="Q22" i="92"/>
  <c r="R5" i="92"/>
  <c r="Q227" i="92"/>
  <c r="P272" i="92"/>
  <c r="R154" i="92"/>
  <c r="P26" i="92"/>
  <c r="Q111" i="92"/>
  <c r="M125" i="92"/>
  <c r="P36" i="92"/>
  <c r="R241" i="92"/>
  <c r="R257" i="92"/>
  <c r="R221" i="92"/>
  <c r="P248" i="92"/>
  <c r="S107" i="92"/>
  <c r="Q18" i="92"/>
  <c r="P226" i="92"/>
  <c r="M282" i="92"/>
  <c r="R143" i="92"/>
  <c r="R92" i="92"/>
  <c r="R49" i="92"/>
  <c r="P60" i="92"/>
  <c r="P268" i="92"/>
  <c r="Q253" i="92"/>
  <c r="S189" i="92"/>
  <c r="N125" i="92"/>
  <c r="P76" i="92"/>
  <c r="S284" i="92"/>
  <c r="M163" i="92"/>
  <c r="S76" i="92"/>
  <c r="S120" i="92"/>
  <c r="P176" i="92"/>
  <c r="S259" i="92"/>
  <c r="P15" i="92"/>
  <c r="P261" i="92"/>
  <c r="N71" i="92"/>
  <c r="P296" i="92"/>
  <c r="P99" i="92"/>
  <c r="S67" i="92"/>
  <c r="P46" i="92"/>
  <c r="R295" i="92"/>
  <c r="R197" i="92"/>
  <c r="N221" i="92"/>
  <c r="R88" i="92"/>
  <c r="N61" i="92"/>
  <c r="M62" i="92"/>
  <c r="R124" i="92"/>
  <c r="R276" i="92"/>
  <c r="N180" i="92"/>
  <c r="R289" i="92"/>
  <c r="S158" i="92"/>
  <c r="S79" i="92"/>
  <c r="M213" i="92"/>
  <c r="S275" i="92"/>
  <c r="Q206" i="92"/>
  <c r="P184" i="92"/>
  <c r="P291" i="92"/>
  <c r="P235" i="92"/>
  <c r="M180" i="92"/>
  <c r="P183" i="92"/>
  <c r="R113" i="92"/>
  <c r="N163" i="92"/>
  <c r="Q301" i="92"/>
  <c r="R282" i="92"/>
  <c r="Q124" i="92"/>
  <c r="R70" i="92"/>
  <c r="Q162" i="92"/>
  <c r="R37" i="92"/>
  <c r="Q212" i="92"/>
  <c r="P282" i="92"/>
  <c r="Q4" i="92"/>
  <c r="P98" i="92"/>
  <c r="R107" i="92"/>
  <c r="S229" i="92"/>
  <c r="Q237" i="92"/>
  <c r="N214" i="92"/>
  <c r="R142" i="92"/>
  <c r="N159" i="92"/>
  <c r="Q137" i="92"/>
  <c r="P78" i="92"/>
  <c r="N259" i="92"/>
  <c r="P286" i="92"/>
  <c r="P97" i="92"/>
  <c r="R33" i="92"/>
  <c r="N157" i="92"/>
  <c r="Q197" i="92"/>
  <c r="M121" i="92"/>
  <c r="S260" i="92"/>
  <c r="P294" i="92"/>
  <c r="R213" i="92"/>
  <c r="P213" i="92"/>
  <c r="P117" i="92"/>
  <c r="S26" i="92"/>
  <c r="P25" i="92"/>
  <c r="Q280" i="92"/>
  <c r="S180" i="92"/>
  <c r="P164" i="92"/>
  <c r="S81" i="92"/>
  <c r="M77" i="92"/>
  <c r="R242" i="92"/>
  <c r="N41" i="92"/>
  <c r="R298" i="92"/>
  <c r="N182" i="92"/>
  <c r="P259" i="92"/>
  <c r="P24" i="92"/>
  <c r="R14" i="92"/>
  <c r="P29" i="92"/>
  <c r="P195" i="92"/>
  <c r="P275" i="92"/>
  <c r="Q106" i="92"/>
  <c r="P193" i="92"/>
  <c r="S85" i="92"/>
  <c r="P224" i="92"/>
  <c r="S186" i="92"/>
  <c r="M219" i="92"/>
  <c r="N277" i="92"/>
  <c r="P157" i="92"/>
  <c r="S54" i="92"/>
  <c r="M281" i="92"/>
  <c r="Q109" i="92"/>
  <c r="R108" i="92"/>
  <c r="R89" i="92"/>
  <c r="M280" i="92"/>
  <c r="P55" i="92"/>
  <c r="P181" i="92"/>
  <c r="N261" i="92"/>
  <c r="R48" i="92"/>
  <c r="N126" i="92"/>
  <c r="R11" i="92"/>
  <c r="P217" i="92"/>
  <c r="P250" i="92"/>
  <c r="S127" i="92"/>
  <c r="S280" i="92"/>
  <c r="S156" i="92"/>
  <c r="R100" i="92"/>
  <c r="M64" i="92"/>
  <c r="P169" i="92"/>
  <c r="N256" i="92"/>
  <c r="P134" i="92"/>
  <c r="S155" i="92"/>
  <c r="N124" i="92"/>
  <c r="P32" i="92"/>
  <c r="N251" i="92"/>
  <c r="P173" i="92"/>
  <c r="R290" i="92"/>
  <c r="R291" i="92"/>
  <c r="N122" i="92"/>
  <c r="R286" i="92"/>
  <c r="R184" i="92"/>
  <c r="M253" i="92"/>
  <c r="S42" i="92"/>
  <c r="P92" i="92"/>
  <c r="R116" i="92"/>
  <c r="P59" i="92"/>
  <c r="R82" i="92"/>
  <c r="S282" i="92"/>
  <c r="N246" i="92"/>
  <c r="P178" i="92"/>
  <c r="P118" i="92"/>
  <c r="P287" i="92"/>
  <c r="P83" i="92"/>
  <c r="P233" i="92"/>
  <c r="R155" i="92"/>
  <c r="R12" i="92"/>
  <c r="S118" i="92"/>
  <c r="R204" i="92"/>
  <c r="P132" i="92"/>
  <c r="M170" i="92"/>
  <c r="N70" i="92"/>
  <c r="N247" i="92"/>
  <c r="M259" i="92"/>
  <c r="S8" i="92"/>
  <c r="N252" i="92"/>
  <c r="N223" i="92"/>
  <c r="M42" i="92"/>
  <c r="P126" i="92"/>
  <c r="R162" i="92"/>
  <c r="M245" i="92"/>
  <c r="S281" i="92"/>
  <c r="R61" i="92"/>
  <c r="R283" i="92"/>
  <c r="S83" i="92"/>
  <c r="P237" i="92"/>
  <c r="R203" i="92"/>
  <c r="R90" i="92"/>
  <c r="M141" i="92"/>
  <c r="P283" i="92"/>
  <c r="R18" i="92"/>
  <c r="R66" i="92"/>
  <c r="N158" i="92"/>
  <c r="R271" i="92"/>
  <c r="P277" i="92"/>
  <c r="M183" i="92"/>
  <c r="N170" i="92"/>
  <c r="M220" i="92"/>
  <c r="S272" i="92"/>
  <c r="S215" i="92"/>
  <c r="P128" i="92"/>
  <c r="Q223" i="92"/>
  <c r="P288" i="92"/>
  <c r="M261" i="92"/>
  <c r="P274" i="92"/>
  <c r="M171" i="92"/>
  <c r="M138" i="92"/>
  <c r="N141" i="92"/>
  <c r="P133" i="92"/>
  <c r="S84" i="92"/>
  <c r="R47" i="92"/>
  <c r="R139" i="92"/>
  <c r="M173" i="92"/>
  <c r="M258" i="92"/>
  <c r="S232" i="92"/>
  <c r="N136" i="92"/>
  <c r="R10" i="92"/>
  <c r="R235" i="92"/>
  <c r="Q261" i="92"/>
  <c r="R7" i="92"/>
  <c r="N181" i="92"/>
  <c r="M262" i="92"/>
  <c r="R153" i="92"/>
  <c r="N156" i="92"/>
  <c r="S123" i="92"/>
  <c r="P28" i="92"/>
  <c r="R303" i="92"/>
  <c r="R22" i="92"/>
  <c r="R183" i="92"/>
  <c r="S171" i="92"/>
  <c r="S249" i="92"/>
  <c r="S168" i="92"/>
  <c r="R280" i="92"/>
  <c r="P109" i="92"/>
  <c r="P94" i="92"/>
  <c r="R223" i="92"/>
  <c r="R268" i="92"/>
  <c r="P241" i="92"/>
  <c r="S61" i="92"/>
  <c r="P161" i="92"/>
  <c r="M70" i="92"/>
  <c r="P149" i="92"/>
  <c r="S141" i="92"/>
  <c r="N44" i="92"/>
  <c r="M169" i="92"/>
  <c r="R4" i="92"/>
  <c r="P88" i="92"/>
  <c r="P3" i="92"/>
  <c r="P4" i="92"/>
  <c r="S12" i="92"/>
  <c r="R270" i="92"/>
  <c r="S104" i="92"/>
  <c r="S148" i="92"/>
  <c r="P66" i="92"/>
  <c r="P8" i="92"/>
  <c r="S248" i="92"/>
  <c r="N279" i="92"/>
  <c r="S72" i="92"/>
  <c r="R179" i="92"/>
  <c r="P107" i="92"/>
  <c r="N281" i="92"/>
  <c r="P289" i="92"/>
  <c r="Q110" i="92"/>
  <c r="R272" i="92"/>
  <c r="S5" i="92"/>
  <c r="R105" i="92"/>
  <c r="P38" i="92"/>
  <c r="S16" i="92"/>
  <c r="R219" i="92"/>
  <c r="S221" i="92"/>
  <c r="S178" i="92"/>
  <c r="S181" i="92"/>
  <c r="N75" i="92"/>
  <c r="P257" i="92"/>
  <c r="P160" i="92"/>
  <c r="N69" i="92"/>
  <c r="M225" i="92"/>
  <c r="P177" i="92"/>
  <c r="R13" i="92"/>
  <c r="S82" i="92"/>
  <c r="S179" i="92"/>
  <c r="P33" i="92"/>
  <c r="S266" i="92"/>
  <c r="N161" i="92"/>
  <c r="R237" i="92"/>
  <c r="R304" i="92"/>
  <c r="P162" i="92"/>
  <c r="R246" i="92"/>
  <c r="M123" i="92"/>
  <c r="M223" i="92"/>
  <c r="M126" i="92"/>
  <c r="R256" i="92"/>
  <c r="R267" i="92"/>
  <c r="P202" i="92"/>
  <c r="R106" i="92"/>
  <c r="R93" i="92"/>
  <c r="S55" i="92"/>
  <c r="M76" i="92"/>
  <c r="P114" i="92"/>
  <c r="R181" i="92"/>
  <c r="S144" i="92"/>
  <c r="S99" i="92"/>
  <c r="P50" i="92"/>
  <c r="S63" i="92"/>
  <c r="S93" i="92"/>
  <c r="P61" i="92"/>
  <c r="P104" i="92"/>
  <c r="R240" i="92"/>
  <c r="S269" i="92"/>
  <c r="S111" i="92"/>
  <c r="M177" i="92"/>
  <c r="P227" i="92"/>
  <c r="M45" i="92"/>
  <c r="M129" i="92"/>
  <c r="S133" i="92"/>
  <c r="P90" i="92"/>
  <c r="R131" i="92"/>
  <c r="R255" i="92"/>
  <c r="S200" i="92"/>
  <c r="S202" i="92"/>
  <c r="R301" i="92"/>
  <c r="S199" i="92"/>
  <c r="Q262" i="92"/>
  <c r="Q234" i="92"/>
  <c r="S9" i="92"/>
  <c r="R67" i="92"/>
  <c r="S59" i="92"/>
  <c r="S196" i="92"/>
  <c r="R170" i="92"/>
  <c r="S191" i="92"/>
  <c r="N283" i="92"/>
  <c r="S87" i="92"/>
  <c r="S110" i="92"/>
  <c r="R269" i="92"/>
  <c r="P293" i="92"/>
  <c r="R85" i="92"/>
  <c r="S164" i="92"/>
  <c r="N118" i="92"/>
  <c r="P116" i="92"/>
  <c r="R80" i="92"/>
  <c r="S48" i="92"/>
  <c r="R134" i="92"/>
  <c r="S225" i="92"/>
  <c r="M74" i="92"/>
  <c r="N79" i="92"/>
  <c r="P110" i="92"/>
  <c r="S151" i="92"/>
  <c r="M75" i="92"/>
  <c r="N262" i="92"/>
  <c r="S195" i="92"/>
  <c r="R279" i="92"/>
  <c r="R194" i="92"/>
  <c r="S49" i="92"/>
  <c r="S103" i="92"/>
  <c r="P68" i="92"/>
  <c r="S17" i="92"/>
  <c r="S230" i="92"/>
  <c r="S34" i="92"/>
  <c r="S10" i="92"/>
  <c r="P84" i="92"/>
  <c r="P218" i="92"/>
  <c r="S53" i="92"/>
  <c r="S194" i="92"/>
  <c r="S70" i="92"/>
  <c r="S256" i="92"/>
  <c r="P145" i="92"/>
  <c r="M250" i="92"/>
  <c r="P251" i="92"/>
  <c r="N154" i="92"/>
  <c r="S122" i="92"/>
  <c r="R94" i="92"/>
  <c r="P150" i="92"/>
  <c r="S231" i="92"/>
  <c r="S35" i="92"/>
  <c r="S302" i="92"/>
  <c r="P113" i="92"/>
  <c r="M73" i="92"/>
  <c r="P102" i="92"/>
  <c r="N171" i="92"/>
  <c r="P228" i="92"/>
  <c r="S64" i="92"/>
  <c r="P182" i="92"/>
  <c r="M279" i="92"/>
  <c r="N138" i="92"/>
  <c r="R259" i="92"/>
  <c r="P154" i="92"/>
  <c r="R29" i="92"/>
  <c r="P172" i="92"/>
  <c r="S106" i="92"/>
  <c r="R112" i="92"/>
  <c r="R60" i="92"/>
  <c r="P179" i="92"/>
  <c r="S165" i="92"/>
  <c r="N168" i="92"/>
  <c r="P144" i="92"/>
  <c r="P127" i="92"/>
  <c r="R156" i="92"/>
  <c r="R68" i="92"/>
  <c r="R27" i="92"/>
  <c r="P54" i="92"/>
  <c r="Q94" i="92"/>
  <c r="R72" i="92"/>
  <c r="P42" i="92"/>
  <c r="Q100" i="92"/>
  <c r="M164" i="92"/>
  <c r="P122" i="92"/>
  <c r="S41" i="92"/>
  <c r="R258" i="92"/>
  <c r="P105" i="92"/>
  <c r="P151" i="92"/>
  <c r="R238" i="92"/>
  <c r="N59" i="92"/>
  <c r="P79" i="92"/>
  <c r="S228" i="92"/>
  <c r="N219" i="92"/>
  <c r="R146" i="92"/>
  <c r="P27" i="92"/>
  <c r="S169" i="92"/>
  <c r="S157" i="92"/>
  <c r="S75" i="92"/>
  <c r="R161" i="92"/>
  <c r="P201" i="92"/>
  <c r="N253" i="92"/>
  <c r="S130" i="92"/>
  <c r="R41" i="92"/>
  <c r="S153" i="92"/>
  <c r="S18" i="92"/>
  <c r="S139" i="92"/>
  <c r="R265" i="92"/>
  <c r="S184" i="92"/>
  <c r="S192" i="92"/>
  <c r="R3" i="92"/>
  <c r="N218" i="92"/>
  <c r="R15" i="92"/>
  <c r="S112" i="92"/>
  <c r="S94" i="92"/>
  <c r="S40" i="92"/>
  <c r="R9" i="92"/>
  <c r="P267" i="92"/>
  <c r="R180" i="92"/>
  <c r="R231" i="92"/>
  <c r="M132" i="92"/>
  <c r="S47" i="92"/>
  <c r="M41" i="92"/>
  <c r="M182" i="92"/>
  <c r="R57" i="92"/>
  <c r="S217" i="92"/>
  <c r="R122" i="92"/>
  <c r="R145" i="92"/>
  <c r="R141" i="92"/>
  <c r="N130" i="92"/>
  <c r="R56" i="92"/>
  <c r="Q25" i="92"/>
  <c r="R76" i="92"/>
  <c r="R296" i="92"/>
  <c r="N60" i="92"/>
  <c r="S13" i="92"/>
  <c r="Q86" i="92"/>
  <c r="M154" i="92"/>
  <c r="N74" i="92"/>
  <c r="N174" i="92"/>
  <c r="S154" i="92"/>
  <c r="S147" i="92"/>
  <c r="R185" i="92"/>
  <c r="R150" i="92"/>
  <c r="N121" i="92"/>
  <c r="R26" i="92"/>
  <c r="P220" i="92"/>
  <c r="S216" i="92"/>
  <c r="S213" i="92"/>
  <c r="R101" i="92"/>
  <c r="N245" i="92"/>
  <c r="N131" i="92"/>
  <c r="P40" i="92"/>
  <c r="P247" i="92"/>
  <c r="N62" i="92"/>
  <c r="S250" i="92"/>
  <c r="N76" i="92"/>
  <c r="P112" i="92"/>
  <c r="R198" i="92"/>
  <c r="P194" i="92"/>
  <c r="S101" i="92"/>
  <c r="P290" i="92"/>
  <c r="P121" i="92"/>
  <c r="P175" i="92"/>
  <c r="S69" i="92"/>
  <c r="P80" i="92"/>
  <c r="R287" i="92"/>
  <c r="N165" i="92"/>
  <c r="P103" i="92"/>
  <c r="R52" i="92"/>
  <c r="S270" i="92"/>
  <c r="R261" i="92"/>
  <c r="N176" i="92"/>
  <c r="N123" i="92"/>
  <c r="M168" i="92"/>
  <c r="R278" i="92"/>
  <c r="N250" i="92"/>
  <c r="R158" i="92"/>
  <c r="R243" i="92"/>
  <c r="P142" i="92"/>
  <c r="M255" i="92"/>
  <c r="P229" i="92"/>
  <c r="S128" i="92"/>
  <c r="P139" i="92"/>
  <c r="M165" i="92"/>
  <c r="R45" i="92"/>
  <c r="S149" i="92"/>
  <c r="N169" i="92"/>
  <c r="S24" i="92"/>
  <c r="S245" i="92"/>
  <c r="R77" i="92"/>
  <c r="R172" i="92"/>
  <c r="S89" i="92"/>
  <c r="N135" i="92"/>
  <c r="S197" i="92"/>
  <c r="S86" i="92"/>
  <c r="S136" i="92"/>
  <c r="R110" i="92"/>
  <c r="R59" i="92"/>
  <c r="R32" i="92"/>
  <c r="S96" i="92"/>
  <c r="S71" i="92"/>
  <c r="R147" i="92"/>
  <c r="S152" i="92"/>
  <c r="P231" i="92"/>
  <c r="Q156" i="92"/>
  <c r="S88" i="92"/>
  <c r="S236" i="92"/>
  <c r="P131" i="92"/>
  <c r="S161" i="92"/>
  <c r="M133" i="92"/>
  <c r="M128" i="92"/>
  <c r="N213" i="92"/>
  <c r="N284" i="92"/>
  <c r="S273" i="92"/>
  <c r="S255" i="92"/>
  <c r="M60" i="92"/>
  <c r="S108" i="92"/>
  <c r="N155" i="92"/>
  <c r="S135" i="92"/>
  <c r="R249" i="92"/>
  <c r="S14" i="92"/>
  <c r="P180" i="92"/>
  <c r="S23" i="92"/>
  <c r="R119" i="92"/>
  <c r="R177" i="92"/>
  <c r="S68" i="92"/>
  <c r="P197" i="92"/>
  <c r="S188" i="92"/>
  <c r="S11" i="92"/>
  <c r="P130" i="92"/>
  <c r="P258" i="92"/>
  <c r="N183" i="92"/>
  <c r="S125" i="92"/>
  <c r="S257" i="92"/>
  <c r="S3" i="92"/>
  <c r="S177" i="92"/>
  <c r="R173" i="92"/>
  <c r="P30" i="92"/>
  <c r="P119" i="92"/>
  <c r="S183" i="92"/>
  <c r="M172" i="92"/>
  <c r="S246" i="92"/>
  <c r="S91" i="92"/>
  <c r="R206" i="92"/>
  <c r="P221" i="92"/>
  <c r="P230" i="92"/>
  <c r="P170" i="92"/>
  <c r="M158" i="92"/>
  <c r="M127" i="92"/>
  <c r="R144" i="92"/>
  <c r="M159" i="92"/>
  <c r="S117" i="92"/>
  <c r="P17" i="92"/>
  <c r="P62" i="92"/>
  <c r="M185" i="92"/>
  <c r="M139" i="92"/>
  <c r="P249" i="92"/>
  <c r="M120" i="92"/>
  <c r="S33" i="92"/>
  <c r="P271" i="92"/>
  <c r="P11" i="92"/>
  <c r="Q245" i="92"/>
  <c r="Q246" i="92"/>
  <c r="Q248" i="92"/>
  <c r="Q247" i="92"/>
  <c r="Q249" i="92"/>
  <c r="Q250" i="92"/>
  <c r="O224" i="92"/>
  <c r="O213" i="92"/>
  <c r="D72" i="107"/>
  <c r="D69" i="107"/>
  <c r="D66" i="107"/>
  <c r="D62" i="107"/>
  <c r="D59" i="107"/>
  <c r="D56" i="107"/>
  <c r="D125" i="106"/>
  <c r="D122" i="106"/>
  <c r="D115" i="106"/>
  <c r="D112" i="106"/>
  <c r="D109" i="106"/>
  <c r="L81" i="106"/>
  <c r="D121" i="105"/>
  <c r="D118" i="105"/>
  <c r="D115" i="105"/>
  <c r="D110" i="105"/>
  <c r="D107" i="105"/>
  <c r="D104" i="105"/>
  <c r="D101" i="104"/>
  <c r="D98" i="104"/>
  <c r="D95" i="104"/>
  <c r="D91" i="104"/>
  <c r="D88" i="104"/>
  <c r="D85" i="104"/>
  <c r="Q221" i="117"/>
  <c r="Q219" i="117"/>
  <c r="Q220" i="120"/>
  <c r="Q219" i="120"/>
  <c r="Q220" i="117"/>
  <c r="Q218" i="120"/>
  <c r="Q217" i="120"/>
  <c r="Q203" i="117"/>
  <c r="Q216" i="117"/>
  <c r="Q217" i="117"/>
  <c r="Q221" i="120"/>
  <c r="Q218" i="117"/>
  <c r="Q216" i="120"/>
  <c r="Q220" i="92" l="1"/>
  <c r="Q218" i="92"/>
  <c r="Q216" i="92"/>
  <c r="Q217" i="92"/>
  <c r="Q221" i="92"/>
  <c r="Q219" i="92"/>
  <c r="O219" i="92"/>
  <c r="O203" i="92"/>
  <c r="O217" i="92"/>
  <c r="O220" i="92"/>
  <c r="O218" i="92"/>
  <c r="O216" i="92"/>
  <c r="O221" i="92"/>
  <c r="L96" i="108"/>
  <c r="L93" i="108"/>
  <c r="L90" i="108"/>
  <c r="L87" i="108"/>
  <c r="L84" i="108"/>
  <c r="L81" i="108"/>
  <c r="L78" i="108"/>
  <c r="L75" i="108"/>
  <c r="L72" i="108"/>
  <c r="L69" i="108"/>
  <c r="L66" i="108"/>
  <c r="L63" i="108"/>
  <c r="L53" i="106"/>
  <c r="L50" i="106"/>
  <c r="L47" i="106"/>
  <c r="L44" i="106"/>
  <c r="L41" i="106"/>
  <c r="L38" i="106"/>
  <c r="L35" i="106"/>
  <c r="L32" i="106"/>
  <c r="L29" i="106"/>
  <c r="L26" i="106"/>
  <c r="L23" i="106"/>
  <c r="L20" i="106"/>
  <c r="D66" i="106" l="1"/>
  <c r="D63" i="106"/>
  <c r="D96" i="108" l="1"/>
  <c r="D93" i="108"/>
  <c r="D90" i="108"/>
  <c r="D87" i="108"/>
  <c r="D84" i="108"/>
  <c r="D81" i="108"/>
  <c r="D78" i="108"/>
  <c r="D75" i="108"/>
  <c r="D72" i="108"/>
  <c r="D69" i="108"/>
  <c r="D66" i="108"/>
  <c r="D63" i="108"/>
  <c r="D29" i="106"/>
  <c r="D26" i="106"/>
  <c r="D23" i="106"/>
  <c r="D20" i="106"/>
  <c r="D41" i="106"/>
  <c r="D38" i="106"/>
  <c r="D35" i="106"/>
  <c r="D32" i="106"/>
  <c r="Q155" i="117"/>
  <c r="Q280" i="117"/>
  <c r="Q48" i="117"/>
  <c r="Q238" i="117"/>
  <c r="Q24" i="117"/>
  <c r="Q28" i="117"/>
  <c r="Q144" i="117"/>
  <c r="Q17" i="117"/>
  <c r="Q137" i="117"/>
  <c r="Q148" i="117"/>
  <c r="Q134" i="117"/>
  <c r="Q249" i="117"/>
  <c r="Q246" i="117"/>
  <c r="Q39" i="117"/>
  <c r="Q158" i="117"/>
  <c r="Q262" i="117"/>
  <c r="Q159" i="117"/>
  <c r="Q251" i="117"/>
  <c r="Q20" i="117"/>
  <c r="Q247" i="117"/>
  <c r="Q275" i="117"/>
  <c r="Q279" i="117"/>
  <c r="Q256" i="117"/>
  <c r="Q136" i="117"/>
  <c r="Q21" i="117"/>
  <c r="Q147" i="117"/>
  <c r="Q50" i="117"/>
  <c r="Q150" i="117"/>
  <c r="Q157" i="117"/>
  <c r="Q261" i="117"/>
  <c r="Q143" i="117"/>
  <c r="Q258" i="117"/>
  <c r="Q282" i="117"/>
  <c r="Q284" i="117"/>
  <c r="Q255" i="117"/>
  <c r="Q161" i="117"/>
  <c r="Q139" i="117"/>
  <c r="Q152" i="117"/>
  <c r="Q252" i="117"/>
  <c r="Q156" i="117"/>
  <c r="Q151" i="117"/>
  <c r="Q37" i="117"/>
  <c r="Q146" i="117"/>
  <c r="Q153" i="117"/>
  <c r="Q3" i="117"/>
  <c r="Q36" i="117"/>
  <c r="Q250" i="117"/>
  <c r="Q160" i="117"/>
  <c r="Q254" i="117"/>
  <c r="Q260" i="117"/>
  <c r="Q259" i="117"/>
  <c r="Q253" i="117"/>
  <c r="Q29" i="117"/>
  <c r="Q149" i="117"/>
  <c r="Q18" i="117"/>
  <c r="Q33" i="117"/>
  <c r="Q117" i="117"/>
  <c r="Q281" i="117"/>
  <c r="Q38" i="117"/>
  <c r="Q49" i="117"/>
  <c r="Q31" i="117"/>
  <c r="Q26" i="117"/>
  <c r="Q145" i="117"/>
  <c r="Q27" i="117"/>
  <c r="Q16" i="117"/>
  <c r="Q245" i="117"/>
  <c r="Q257" i="117"/>
  <c r="Q19" i="117"/>
  <c r="Q25" i="117"/>
  <c r="Q22" i="117"/>
  <c r="Q30" i="117"/>
  <c r="Q47" i="117"/>
  <c r="Q283" i="117"/>
  <c r="Q142" i="117"/>
  <c r="Q34" i="117"/>
  <c r="Q248" i="117"/>
  <c r="Q35" i="117"/>
  <c r="Q23" i="117"/>
  <c r="Q32" i="117"/>
  <c r="Q116" i="117"/>
  <c r="Q138" i="117"/>
  <c r="Q46" i="117"/>
  <c r="Q154" i="117"/>
  <c r="Q115" i="117"/>
  <c r="Q135" i="117"/>
  <c r="O3" i="92" l="1"/>
  <c r="O279" i="92"/>
  <c r="O115" i="92"/>
  <c r="O36" i="92"/>
  <c r="O259" i="92"/>
  <c r="O150" i="92"/>
  <c r="O249" i="92"/>
  <c r="O275" i="92"/>
  <c r="O149" i="92"/>
  <c r="O158" i="92"/>
  <c r="O46" i="92"/>
  <c r="O283" i="92"/>
  <c r="O135" i="92"/>
  <c r="O116" i="92"/>
  <c r="O30" i="92"/>
  <c r="O146" i="92"/>
  <c r="O139" i="92"/>
  <c r="O142" i="92"/>
  <c r="O152" i="92"/>
  <c r="O145" i="92"/>
  <c r="O238" i="92"/>
  <c r="O260" i="92"/>
  <c r="O282" i="92"/>
  <c r="O256" i="92"/>
  <c r="O23" i="92"/>
  <c r="O254" i="92"/>
  <c r="O284" i="92"/>
  <c r="O143" i="92"/>
  <c r="O48" i="92"/>
  <c r="O147" i="92"/>
  <c r="O255" i="92"/>
  <c r="O250" i="92"/>
  <c r="O159" i="92"/>
  <c r="O49" i="92"/>
  <c r="O117" i="92"/>
  <c r="O134" i="92"/>
  <c r="O31" i="92"/>
  <c r="O160" i="92"/>
  <c r="O33" i="92"/>
  <c r="O248" i="92"/>
  <c r="O155" i="92"/>
  <c r="O247" i="92"/>
  <c r="O280" i="92"/>
  <c r="O27" i="92"/>
  <c r="O39" i="92"/>
  <c r="O246" i="92"/>
  <c r="O50" i="92"/>
  <c r="O136" i="92"/>
  <c r="O137" i="92"/>
  <c r="O156" i="92"/>
  <c r="O16" i="92"/>
  <c r="O24" i="92"/>
  <c r="O245" i="92"/>
  <c r="O34" i="92"/>
  <c r="O161" i="92"/>
  <c r="O261" i="92"/>
  <c r="O262" i="92"/>
  <c r="O148" i="92"/>
  <c r="O251" i="92"/>
  <c r="O28" i="92"/>
  <c r="O22" i="92"/>
  <c r="O25" i="92"/>
  <c r="O29" i="92"/>
  <c r="O253" i="92"/>
  <c r="O138" i="92"/>
  <c r="O257" i="92"/>
  <c r="O37" i="92"/>
  <c r="O153" i="92"/>
  <c r="O26" i="92"/>
  <c r="O21" i="92"/>
  <c r="O19" i="92"/>
  <c r="O252" i="92"/>
  <c r="O17" i="92"/>
  <c r="O18" i="92"/>
  <c r="O144" i="92"/>
  <c r="O157" i="92"/>
  <c r="O20" i="92"/>
  <c r="O258" i="92"/>
  <c r="O38" i="92"/>
  <c r="O281" i="92"/>
  <c r="O151" i="92"/>
  <c r="O32" i="92"/>
  <c r="O35" i="92"/>
  <c r="O154" i="92"/>
  <c r="O47" i="92"/>
  <c r="D76" i="105"/>
  <c r="D73" i="105"/>
  <c r="D70" i="105"/>
  <c r="D55" i="105"/>
  <c r="D52" i="105"/>
  <c r="D49" i="105"/>
  <c r="D68" i="104"/>
  <c r="D65" i="104"/>
  <c r="D62" i="104"/>
  <c r="D29" i="104"/>
  <c r="D42" i="104"/>
  <c r="D26" i="104"/>
  <c r="D23" i="104"/>
  <c r="Q66" i="117"/>
  <c r="Q125" i="117"/>
  <c r="Q119" i="117"/>
  <c r="Q180" i="117"/>
  <c r="Q65" i="117"/>
  <c r="Q70" i="117"/>
  <c r="Q184" i="117"/>
  <c r="Q77" i="117"/>
  <c r="Q64" i="117"/>
  <c r="Q78" i="117"/>
  <c r="Q181" i="117"/>
  <c r="Q124" i="117"/>
  <c r="Q68" i="117"/>
  <c r="Q183" i="117"/>
  <c r="Q76" i="117"/>
  <c r="Q59" i="117"/>
  <c r="Q58" i="117"/>
  <c r="Q61" i="117"/>
  <c r="Q67" i="117"/>
  <c r="Q69" i="117"/>
  <c r="Q166" i="117"/>
  <c r="Q60" i="117"/>
  <c r="Q79" i="117"/>
  <c r="Q75" i="117"/>
  <c r="Q74" i="117"/>
  <c r="Q80" i="117"/>
  <c r="Q126" i="117"/>
  <c r="Q120" i="117"/>
  <c r="Q168" i="117"/>
  <c r="Q118" i="117"/>
  <c r="Q64" i="120"/>
  <c r="Q64" i="92" l="1"/>
  <c r="O78" i="92"/>
  <c r="O67" i="92"/>
  <c r="O74" i="92"/>
  <c r="O183" i="92"/>
  <c r="O69" i="92"/>
  <c r="O168" i="92"/>
  <c r="O184" i="92"/>
  <c r="O118" i="92"/>
  <c r="O59" i="92"/>
  <c r="O79" i="92"/>
  <c r="O66" i="92"/>
  <c r="O70" i="92"/>
  <c r="O60" i="92"/>
  <c r="O80" i="92"/>
  <c r="O124" i="92"/>
  <c r="O61" i="92"/>
  <c r="O126" i="92"/>
  <c r="O77" i="92"/>
  <c r="O180" i="92"/>
  <c r="O68" i="92"/>
  <c r="O181" i="92"/>
  <c r="O58" i="92"/>
  <c r="O64" i="92"/>
  <c r="O120" i="92"/>
  <c r="O119" i="92"/>
  <c r="O75" i="92"/>
  <c r="O166" i="92"/>
  <c r="O76" i="92"/>
  <c r="O125" i="92"/>
  <c r="L50" i="102"/>
  <c r="Q295" i="117"/>
  <c r="Q296" i="117"/>
  <c r="Q293" i="117"/>
  <c r="Q290" i="117"/>
  <c r="Q297" i="117"/>
  <c r="Q291" i="117"/>
  <c r="Q288" i="117"/>
  <c r="Q294" i="117"/>
  <c r="Q292" i="117"/>
  <c r="Q289" i="117"/>
  <c r="O295" i="92" l="1"/>
  <c r="O297" i="92"/>
  <c r="O291" i="92"/>
  <c r="O294" i="92"/>
  <c r="O290" i="92"/>
  <c r="O293" i="92"/>
  <c r="O288" i="92"/>
  <c r="O296" i="92"/>
  <c r="O289" i="92"/>
  <c r="O292" i="92"/>
  <c r="D60" i="105"/>
  <c r="Q102" i="117"/>
  <c r="Q274" i="117"/>
  <c r="Q265" i="117"/>
  <c r="Q100" i="117"/>
  <c r="Q287" i="117"/>
  <c r="Q89" i="117"/>
  <c r="Q111" i="117"/>
  <c r="Q94" i="117"/>
  <c r="Q7" i="117"/>
  <c r="Q226" i="117"/>
  <c r="Q98" i="117"/>
  <c r="Q92" i="117"/>
  <c r="Q231" i="117"/>
  <c r="Q86" i="117"/>
  <c r="Q88" i="117"/>
  <c r="Q227" i="117"/>
  <c r="Q54" i="117"/>
  <c r="Q191" i="117"/>
  <c r="Q6" i="117"/>
  <c r="Q83" i="117"/>
  <c r="Q286" i="117"/>
  <c r="Q56" i="117"/>
  <c r="Q198" i="117"/>
  <c r="Q103" i="117"/>
  <c r="Q195" i="117"/>
  <c r="Q236" i="117"/>
  <c r="Q15" i="117"/>
  <c r="Q201" i="117"/>
  <c r="Q113" i="117"/>
  <c r="Q106" i="117"/>
  <c r="Q194" i="117"/>
  <c r="Q81" i="117"/>
  <c r="Q114" i="117"/>
  <c r="Q51" i="117"/>
  <c r="Q11" i="117"/>
  <c r="Q233" i="117"/>
  <c r="Q109" i="117"/>
  <c r="Q57" i="117"/>
  <c r="Q112" i="117"/>
  <c r="Q97" i="117"/>
  <c r="Q200" i="117"/>
  <c r="Q5" i="117"/>
  <c r="Q104" i="117"/>
  <c r="Q237" i="117"/>
  <c r="Q108" i="117"/>
  <c r="Q199" i="117"/>
  <c r="Q285" i="117"/>
  <c r="Q196" i="117"/>
  <c r="Q4" i="117"/>
  <c r="Q166" i="123"/>
  <c r="Q271" i="117"/>
  <c r="Q95" i="117"/>
  <c r="Q84" i="117"/>
  <c r="Q267" i="117"/>
  <c r="Q235" i="117"/>
  <c r="Q263" i="117"/>
  <c r="Q228" i="117"/>
  <c r="Q107" i="117"/>
  <c r="Q96" i="117"/>
  <c r="Q266" i="117"/>
  <c r="Q197" i="117"/>
  <c r="Q230" i="117"/>
  <c r="Q105" i="117"/>
  <c r="Q268" i="117"/>
  <c r="Q13" i="117"/>
  <c r="Q273" i="117"/>
  <c r="Q55" i="117"/>
  <c r="Q192" i="117"/>
  <c r="Q10" i="117"/>
  <c r="Q9" i="117"/>
  <c r="Q121" i="117"/>
  <c r="Q272" i="117"/>
  <c r="Q8" i="117"/>
  <c r="Q264" i="117"/>
  <c r="Q85" i="117"/>
  <c r="Q270" i="117"/>
  <c r="Q110" i="117"/>
  <c r="Q202" i="117"/>
  <c r="Q101" i="117"/>
  <c r="Q193" i="117"/>
  <c r="Q229" i="117"/>
  <c r="Q52" i="117"/>
  <c r="Q90" i="117"/>
  <c r="Q99" i="117"/>
  <c r="Q93" i="117"/>
  <c r="Q53" i="117"/>
  <c r="Q12" i="117"/>
  <c r="Q234" i="117"/>
  <c r="Q87" i="117"/>
  <c r="Q232" i="117"/>
  <c r="Q82" i="117"/>
  <c r="Q14" i="117"/>
  <c r="Q91" i="117"/>
  <c r="Q269" i="117"/>
  <c r="P166" i="92" l="1"/>
  <c r="O228" i="92"/>
  <c r="O8" i="92"/>
  <c r="O201" i="92"/>
  <c r="O196" i="92"/>
  <c r="O4" i="92"/>
  <c r="O84" i="92"/>
  <c r="O192" i="92"/>
  <c r="O14" i="92"/>
  <c r="O121" i="92"/>
  <c r="O105" i="92"/>
  <c r="O104" i="92"/>
  <c r="O100" i="92"/>
  <c r="O286" i="92"/>
  <c r="O95" i="92"/>
  <c r="O235" i="92"/>
  <c r="O91" i="92"/>
  <c r="O194" i="92"/>
  <c r="O191" i="92"/>
  <c r="O81" i="92"/>
  <c r="O231" i="92"/>
  <c r="O11" i="92"/>
  <c r="O99" i="92"/>
  <c r="O52" i="92"/>
  <c r="O197" i="92"/>
  <c r="O15" i="92"/>
  <c r="O285" i="92"/>
  <c r="O103" i="92"/>
  <c r="O101" i="92"/>
  <c r="O263" i="92"/>
  <c r="O265" i="92"/>
  <c r="O97" i="92"/>
  <c r="O270" i="92"/>
  <c r="O232" i="92"/>
  <c r="O6" i="92"/>
  <c r="O13" i="92"/>
  <c r="O234" i="92"/>
  <c r="O9" i="92"/>
  <c r="O96" i="92"/>
  <c r="O113" i="92"/>
  <c r="O12" i="92"/>
  <c r="O274" i="92"/>
  <c r="O83" i="92"/>
  <c r="O200" i="92"/>
  <c r="O93" i="92"/>
  <c r="O198" i="92"/>
  <c r="O114" i="92"/>
  <c r="O267" i="92"/>
  <c r="O88" i="92"/>
  <c r="O195" i="92"/>
  <c r="O89" i="92"/>
  <c r="O98" i="92"/>
  <c r="O273" i="92"/>
  <c r="O264" i="92"/>
  <c r="O287" i="92"/>
  <c r="O236" i="92"/>
  <c r="O90" i="92"/>
  <c r="O266" i="92"/>
  <c r="O7" i="92"/>
  <c r="O202" i="92"/>
  <c r="O111" i="92"/>
  <c r="O230" i="92"/>
  <c r="O51" i="92"/>
  <c r="O237" i="92"/>
  <c r="O268" i="92"/>
  <c r="O57" i="92"/>
  <c r="O106" i="92"/>
  <c r="O107" i="92"/>
  <c r="O92" i="92"/>
  <c r="O229" i="92"/>
  <c r="O199" i="92"/>
  <c r="O82" i="92"/>
  <c r="O56" i="92"/>
  <c r="O94" i="92"/>
  <c r="O233" i="92"/>
  <c r="O86" i="92"/>
  <c r="O110" i="92"/>
  <c r="O102" i="92"/>
  <c r="O85" i="92"/>
  <c r="O54" i="92"/>
  <c r="O10" i="92"/>
  <c r="O87" i="92"/>
  <c r="O53" i="92"/>
  <c r="O227" i="92"/>
  <c r="O109" i="92"/>
  <c r="O108" i="92"/>
  <c r="O193" i="92"/>
  <c r="O271" i="92"/>
  <c r="O269" i="92"/>
  <c r="O226" i="92"/>
  <c r="O5" i="92"/>
  <c r="O272" i="92"/>
  <c r="O55" i="92"/>
  <c r="O112" i="92"/>
  <c r="D36" i="104"/>
  <c r="D39" i="104"/>
  <c r="Q62" i="120"/>
  <c r="Q63" i="120"/>
  <c r="Q63" i="117"/>
  <c r="Q62" i="117"/>
  <c r="Q63" i="92" l="1"/>
  <c r="Q62" i="92"/>
  <c r="O63" i="92"/>
  <c r="O62" i="92"/>
  <c r="U174" i="117"/>
  <c r="U131" i="117"/>
  <c r="U116" i="117"/>
  <c r="U115" i="117"/>
  <c r="U110" i="117"/>
  <c r="U109" i="117"/>
  <c r="U104" i="117"/>
  <c r="U103" i="117"/>
  <c r="U98" i="117"/>
  <c r="U97" i="117"/>
  <c r="U92" i="117"/>
  <c r="U91" i="117"/>
  <c r="U86" i="117"/>
  <c r="U85" i="117"/>
  <c r="U73" i="117"/>
  <c r="U72" i="117"/>
  <c r="U39" i="117"/>
  <c r="U38" i="117"/>
  <c r="U33" i="117"/>
  <c r="U32" i="117"/>
  <c r="U27" i="117"/>
  <c r="U26" i="117"/>
  <c r="U21" i="117"/>
  <c r="U20" i="117"/>
  <c r="D63" i="102" l="1"/>
  <c r="D60" i="102"/>
  <c r="D56" i="102"/>
  <c r="Q43" i="117"/>
  <c r="Q42" i="117"/>
  <c r="Q44" i="117"/>
  <c r="O42" i="92" l="1"/>
  <c r="O43" i="92"/>
  <c r="O44" i="92"/>
  <c r="D53" i="102"/>
  <c r="D50" i="102"/>
  <c r="D66" i="102"/>
  <c r="Q41" i="117"/>
  <c r="Q40" i="117"/>
  <c r="Q45" i="117"/>
  <c r="O45" i="92" l="1"/>
  <c r="O41" i="92"/>
  <c r="O40" i="92"/>
  <c r="D96" i="105" l="1"/>
  <c r="Q132" i="117"/>
  <c r="O132" i="92" l="1"/>
  <c r="L91" i="106"/>
  <c r="Z131" i="92" l="1"/>
  <c r="D29" i="109" l="1"/>
  <c r="D26" i="109"/>
  <c r="D23" i="109"/>
  <c r="D22" i="108"/>
  <c r="D90" i="106"/>
  <c r="D100" i="106"/>
  <c r="D97" i="106"/>
  <c r="D94" i="106"/>
  <c r="D86" i="106"/>
  <c r="D81" i="106"/>
  <c r="D77" i="106"/>
  <c r="D74" i="106"/>
  <c r="D71" i="106"/>
  <c r="D44" i="106"/>
  <c r="D92" i="105"/>
  <c r="D89" i="105"/>
  <c r="D83" i="105"/>
  <c r="D78" i="104"/>
  <c r="D75" i="104"/>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Z174" i="92"/>
  <c r="Z116" i="92"/>
  <c r="Z115" i="92"/>
  <c r="Z110" i="92"/>
  <c r="Z109" i="92"/>
  <c r="Z104" i="92"/>
  <c r="Z103" i="92"/>
  <c r="Z98" i="92"/>
  <c r="Z97" i="92"/>
  <c r="Z92" i="92"/>
  <c r="Z91" i="92"/>
  <c r="Z86" i="92"/>
  <c r="Z85" i="92"/>
  <c r="Z73" i="92"/>
  <c r="Z72" i="92"/>
  <c r="Z39" i="92"/>
  <c r="Z38" i="92"/>
  <c r="Z33" i="92"/>
  <c r="Z32" i="92"/>
  <c r="Z27" i="92"/>
  <c r="Z26" i="92"/>
  <c r="Z21" i="92"/>
  <c r="Z20" i="92"/>
  <c r="Q240" i="117"/>
  <c r="Q277" i="117"/>
  <c r="Q174" i="117"/>
  <c r="Q170" i="117"/>
  <c r="Q72" i="117"/>
  <c r="Q167" i="117"/>
  <c r="Q178" i="117"/>
  <c r="Q171" i="117"/>
  <c r="Q185" i="117"/>
  <c r="Q162" i="117"/>
  <c r="Q239" i="117"/>
  <c r="Q278" i="117"/>
  <c r="Q133" i="117"/>
  <c r="Q173" i="117"/>
  <c r="Q128" i="117"/>
  <c r="Q131" i="117"/>
  <c r="Q241" i="117"/>
  <c r="Q177" i="117"/>
  <c r="Q130" i="117"/>
  <c r="Q71" i="117"/>
  <c r="Q276" i="117"/>
  <c r="Q169" i="117"/>
  <c r="Q182" i="117"/>
  <c r="Q175" i="117"/>
  <c r="Q176" i="117"/>
  <c r="Q172" i="117"/>
  <c r="O276" i="92" l="1"/>
  <c r="O170" i="92"/>
  <c r="O182" i="92"/>
  <c r="O130" i="92"/>
  <c r="O71" i="92"/>
  <c r="O178" i="92"/>
  <c r="O173" i="92"/>
  <c r="O176" i="92"/>
  <c r="O171" i="92"/>
  <c r="O167" i="92"/>
  <c r="O131" i="92"/>
  <c r="O175" i="92"/>
  <c r="O278" i="92"/>
  <c r="O128" i="92"/>
  <c r="O177" i="92"/>
  <c r="O162" i="92"/>
  <c r="O72" i="92"/>
  <c r="O277" i="92"/>
  <c r="O240" i="92"/>
  <c r="O133" i="92"/>
  <c r="O241" i="92"/>
  <c r="O174" i="92"/>
  <c r="O185" i="92"/>
  <c r="O172" i="92"/>
  <c r="O169" i="92"/>
  <c r="O239" i="92"/>
  <c r="D81" i="104"/>
  <c r="D63" i="105"/>
  <c r="D84" i="107"/>
  <c r="D81" i="107"/>
  <c r="D47" i="106"/>
  <c r="D50" i="106"/>
  <c r="D53" i="106"/>
  <c r="Q223" i="117"/>
  <c r="Q164" i="117"/>
  <c r="Q122" i="117"/>
  <c r="Q163" i="117"/>
  <c r="Q73" i="117"/>
  <c r="Q165" i="117"/>
  <c r="O163" i="92" l="1"/>
  <c r="O165" i="92"/>
  <c r="O122" i="92"/>
  <c r="O164" i="92"/>
  <c r="O73" i="92"/>
  <c r="O223" i="92"/>
  <c r="D105" i="106"/>
  <c r="Q179" i="117"/>
  <c r="O179" i="92" l="1"/>
  <c r="D80" i="105"/>
  <c r="Q127" i="117"/>
  <c r="O127" i="92" l="1"/>
  <c r="D66" i="105"/>
  <c r="D86" i="105"/>
  <c r="Q129" i="117"/>
  <c r="Q123" i="117"/>
  <c r="O123" i="92" l="1"/>
  <c r="O129" i="9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Z304" authorId="0" shapeId="0" xr:uid="{E1A5FFAD-0252-4544-BA91-EF36049DC799}">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U304" authorId="0" shapeId="0" xr:uid="{83059890-0BA4-499F-820E-37230CD48279}">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U304" authorId="0" shapeId="0" xr:uid="{CE82AAA1-6C0A-493C-9D3A-C23F9A0B4C62}">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U304" authorId="0" shapeId="0" xr:uid="{CA99AB54-2161-4BD4-8095-8BC7DC92641A}">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U304" authorId="0" shapeId="0" xr:uid="{69D65D3E-AC64-437A-A0DB-ED3304761EE2}">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U304" authorId="0" shapeId="0" xr:uid="{7FD217A1-6297-4D7A-960B-5D7B32E64E3F}">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R304" authorId="0" shapeId="0" xr:uid="{312AAF46-6628-4ECD-8B32-EEB45459FD19}">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U304" authorId="0" shapeId="0" xr:uid="{C435056C-403C-415F-B957-272BF78CCFF1}">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F12" authorId="0" shapeId="0" xr:uid="{8C7FED4C-CF54-4306-BF64-EFEA7221CDFA}">
      <text>
        <r>
          <rPr>
            <b/>
            <sz val="9"/>
            <color indexed="81"/>
            <rFont val="Tahoma"/>
            <family val="2"/>
          </rPr>
          <t>Nguyen, Loan:</t>
        </r>
        <r>
          <rPr>
            <sz val="9"/>
            <color indexed="81"/>
            <rFont val="Tahoma"/>
            <family val="2"/>
          </rPr>
          <t xml:space="preserve">
In 2018, the DOE did not consider any federal standards.As a result, no federal standards were advocated by the IOUs.</t>
        </r>
      </text>
    </comment>
  </commentList>
</comments>
</file>

<file path=xl/sharedStrings.xml><?xml version="1.0" encoding="utf-8"?>
<sst xmlns="http://schemas.openxmlformats.org/spreadsheetml/2006/main" count="46896" uniqueCount="2236">
  <si>
    <t xml:space="preserve">San Diego Gas &amp; Electric
Energy Efficiency Sector Metrics 
Energy Efficiency Sector Metrics with Targets </t>
  </si>
  <si>
    <t>Attachment A</t>
  </si>
  <si>
    <t xml:space="preserve">San Diego Gas &amp; Electric
Energy Efficiency Sector Metrics with Targets </t>
  </si>
  <si>
    <t>A.  Metrics/Indicators in Energy Division Defined Template</t>
  </si>
  <si>
    <t>B.  Definition</t>
  </si>
  <si>
    <t>C.  Inputs and calculations by sectors</t>
  </si>
  <si>
    <t xml:space="preserve">      1.  Portfolio</t>
  </si>
  <si>
    <t xml:space="preserve">      2.  Residential single-family</t>
  </si>
  <si>
    <t xml:space="preserve">      3.  Residential multi-family</t>
  </si>
  <si>
    <t xml:space="preserve">      4.  Commercial</t>
  </si>
  <si>
    <t xml:space="preserve">      5.  Public</t>
  </si>
  <si>
    <t xml:space="preserve">      6.  Industrial</t>
  </si>
  <si>
    <t xml:space="preserve">      7.  Agricultural</t>
  </si>
  <si>
    <t xml:space="preserve">      8. Codes &amp; Standards</t>
  </si>
  <si>
    <t xml:space="preserve">      9.  Emerging Technology</t>
  </si>
  <si>
    <t>Energy Division Template</t>
  </si>
  <si>
    <t>Spreadsheet Index</t>
  </si>
  <si>
    <t>Baseline</t>
  </si>
  <si>
    <t>Actual</t>
  </si>
  <si>
    <t>Short Term Target</t>
  </si>
  <si>
    <t>Mid Term Target (2021-2023)
Cumulative</t>
  </si>
  <si>
    <t>Long Term Target (2024-2025)
Cumulative</t>
  </si>
  <si>
    <t>PA</t>
  </si>
  <si>
    <t>AttA Page</t>
  </si>
  <si>
    <t>AttA Order</t>
  </si>
  <si>
    <t>Method Code</t>
  </si>
  <si>
    <t>Units of Measurement</t>
  </si>
  <si>
    <t>Metric Type</t>
  </si>
  <si>
    <t>Metric/ Indicator</t>
  </si>
  <si>
    <t>Business Plan Att A Description</t>
  </si>
  <si>
    <t>Metric</t>
  </si>
  <si>
    <t>Sector</t>
  </si>
  <si>
    <t>Year</t>
  </si>
  <si>
    <t>Numerator</t>
  </si>
  <si>
    <t>Denominator</t>
  </si>
  <si>
    <t>Methodology</t>
  </si>
  <si>
    <t>Key Definitions</t>
  </si>
  <si>
    <t>Proxy Explanation</t>
  </si>
  <si>
    <t>FLAG</t>
  </si>
  <si>
    <t>SDGE</t>
  </si>
  <si>
    <t>A03</t>
  </si>
  <si>
    <t>PL1</t>
  </si>
  <si>
    <t>G</t>
  </si>
  <si>
    <t>MT CO2eq</t>
  </si>
  <si>
    <t>GHG</t>
  </si>
  <si>
    <t>RSF2-G - Greenhouse gasses (MT CO2eq) Net kWh savings, reported on an annual basis</t>
  </si>
  <si>
    <t>CO2-equivalent of net annual kWh savings</t>
  </si>
  <si>
    <t xml:space="preserve">Portfolio Level (PL)– All Sectors </t>
  </si>
  <si>
    <t>Per CEDARS</t>
  </si>
  <si>
    <t>None</t>
  </si>
  <si>
    <t>A02</t>
  </si>
  <si>
    <t>S1</t>
  </si>
  <si>
    <t>First year annual kW gross</t>
  </si>
  <si>
    <t>S1: Energy Savings</t>
  </si>
  <si>
    <t>PL1-S1- First year annual and lifecycle ex‐ante (pre‐evaluation) gas, electric, and demand savings (gross and net)</t>
  </si>
  <si>
    <t>First year annual kW net</t>
  </si>
  <si>
    <t>First year annual kWh gross</t>
  </si>
  <si>
    <t>First year annual kWh net</t>
  </si>
  <si>
    <t>First year annual Therm gross</t>
  </si>
  <si>
    <t>N/A</t>
  </si>
  <si>
    <t>First year annual Therm net</t>
  </si>
  <si>
    <t>Lifecycle ex-ante kW gross</t>
  </si>
  <si>
    <t>Lifecycle ex-ante kW net</t>
  </si>
  <si>
    <t>Lifecycle ex-ante kWh gross</t>
  </si>
  <si>
    <t>Lifecycle ex-ante kWh net</t>
  </si>
  <si>
    <t>Lifecycle ex-ante Therm gross</t>
  </si>
  <si>
    <t>Lifecycle ex-ante Therm net</t>
  </si>
  <si>
    <t>PL2</t>
  </si>
  <si>
    <t>S3</t>
  </si>
  <si>
    <t>S3: DAC Savings</t>
  </si>
  <si>
    <t>PL2-S3- First year annual and lifecycle ex‐ante (pre‐evaluation) gas, electric, and demand savings (gross and net) in disadvantaged communities</t>
  </si>
  <si>
    <t>First year annual kW gross in Disadvantaged Communities</t>
  </si>
  <si>
    <t>First year annual kW net in Disadvantaged Communities</t>
  </si>
  <si>
    <t>First year annual kWh gross in Disadvantaged Communities</t>
  </si>
  <si>
    <t>First year annual kWh net in Disadvantaged Communities</t>
  </si>
  <si>
    <t>First year annual Therm gross in Disadvantaged Communities</t>
  </si>
  <si>
    <t>First year annual Therm net in Disadvantaged Communities</t>
  </si>
  <si>
    <t>Lifecycle ex-ante kW gross in Disadvantaged Communities</t>
  </si>
  <si>
    <t>Lifecycle ex-ante kW net in Disadvantaged Communities</t>
  </si>
  <si>
    <t>Lifecycle ex-ante kWh gross in Disadvantaged Communities</t>
  </si>
  <si>
    <t>Lifecycle ex-ante kWh net in Disadvantaged Communities</t>
  </si>
  <si>
    <t>Lifecycle ex-ante Therm gross in Disadvantaged Communities</t>
  </si>
  <si>
    <t>Lifecycle ex-ante Therm net in Disadvantaged Communities</t>
  </si>
  <si>
    <t>PL3</t>
  </si>
  <si>
    <t xml:space="preserve">S4 </t>
  </si>
  <si>
    <t>S4: Hard to reach markets</t>
  </si>
  <si>
    <t>PL3-S4 - First year annual and lifecycle ex‐ante (pre‐evaluation) gas, electric, and demand savings (gross and net) in hard‐to‐reach markets</t>
  </si>
  <si>
    <t>First year annual kW gross in Hard-to-Reach Markets</t>
  </si>
  <si>
    <t>First year annual kW net in Hard-to-Reach Markets</t>
  </si>
  <si>
    <t>First year annual kWh gross in Hard-to-Reach Markets</t>
  </si>
  <si>
    <t>PL4</t>
  </si>
  <si>
    <t>LC</t>
  </si>
  <si>
    <t>PAC Levelized Cost ($/kW)</t>
  </si>
  <si>
    <t>Cost per unit saved</t>
  </si>
  <si>
    <t>PL4-LC - Levelized cost of energy efficiency per kWh, therm and kW (use both TRC and PAC)</t>
  </si>
  <si>
    <t>PAC Levelized Cost ($/kWh)</t>
  </si>
  <si>
    <t>PAC Levelized Cost ($/therm)</t>
  </si>
  <si>
    <t>TRC Levelized Cost ($/kW)</t>
  </si>
  <si>
    <t>TRC Levelized Cost ($/kWh)</t>
  </si>
  <si>
    <t>TRC Levelized Cost ($/therm)</t>
  </si>
  <si>
    <t>RSF1</t>
  </si>
  <si>
    <t>RSF1-S1-First year annual and lifecycle ex‐ante (pre‐evaluation) gas, electric, and demand savings (gross and net) for Single Family Customers</t>
  </si>
  <si>
    <t>Residential (RSF)</t>
  </si>
  <si>
    <t>RSF2</t>
  </si>
  <si>
    <t>RSF2-GGreenhouse gasses (MT CO2eq) Net kWh savings, reported on an annual basis</t>
  </si>
  <si>
    <t>Definition: Single family are defined as bill account on GR rates, with dwelling code of single family home or single family dwelling.</t>
  </si>
  <si>
    <t>RSF3</t>
  </si>
  <si>
    <t>D1-D</t>
  </si>
  <si>
    <t>Lifecycle NET kW</t>
  </si>
  <si>
    <t>D1: Depth of interventions Per downstream participant</t>
  </si>
  <si>
    <t>RSF3-D1D - Average savings per participant in both opt‐in and opt‐out programs (broken down by downstream, midstream and upstream, as feasible)</t>
  </si>
  <si>
    <t>Average lifecycle ex-ante kW net savings per participant - Opt-in - Downstream</t>
  </si>
  <si>
    <t>Lifecycle NET kWh</t>
  </si>
  <si>
    <t>Average lifecycle ex-ante kWh net savings per participant - Opt-in - Downstream</t>
  </si>
  <si>
    <t>Lifecycle NET Therms</t>
  </si>
  <si>
    <t>Average lifecycle ex-ante Therm net savings per participant - Opt-in - Downstream</t>
  </si>
  <si>
    <t xml:space="preserve">D1D: Downstream methodology- Numerator: Total downstream savings claimedDenominator: Total number of downstream participants </t>
  </si>
  <si>
    <t xml:space="preserve">Per ED: “Energy savings” = lifecycle NET savings. </t>
  </si>
  <si>
    <t>D1-M</t>
  </si>
  <si>
    <t>D1: Depth of interventions Per midstream participant</t>
  </si>
  <si>
    <t>RSF3-D1M - Average savings per participant in both opt‐in and opt‐out programs (broken down by downstream, midstream and upstream, as feasible)</t>
  </si>
  <si>
    <t>Average lifecycle ex-ante kW net savings per participant - Opt-in - Midstream</t>
  </si>
  <si>
    <t>Average lifecycle ex-ante kWh net savings per participant - Opt-in - Midstream</t>
  </si>
  <si>
    <t>Average lifecycle ex-ante Therm net savings per participant - Opt-in - Midstream</t>
  </si>
  <si>
    <t>D1M: Midstream methodology – Numerator: Total midstream savings claimed Denominator: number of midstream equipment rebated * Single family participation rate for PLA</t>
  </si>
  <si>
    <t>D1-O</t>
  </si>
  <si>
    <t>D1: Depth of interventions Per opt out participant</t>
  </si>
  <si>
    <t>RSF3-D1O - Average savings per participant in both opt‐in and opt‐out programs (broken down by downstream, midstream and upstream, as feasible)</t>
  </si>
  <si>
    <t>Average lifecycle ex-ante kW net savings per participant - Opt-out</t>
  </si>
  <si>
    <t>Average lifecycle ex-ante kWh net savings per participant - Opt-out</t>
  </si>
  <si>
    <t>Average lifecycle ex-ante Therm net savings per participant - Opt-out</t>
  </si>
  <si>
    <t>D1O Methodology: Only ex post savings can be claimed. Per participant savings will be calculated in the EM&amp;V study.</t>
  </si>
  <si>
    <t xml:space="preserve">D1O Key Definitions: 1) The only opt-out program is the Home Energy Report using social norming through neighborhood comparisons 2) Per ED: “Energy savings” = lifecycle NET savings. </t>
  </si>
  <si>
    <t>D1-U</t>
  </si>
  <si>
    <t>D1: Depth of interventions Per upstream participant</t>
  </si>
  <si>
    <t>RSF3-D1U- Average savings per participant in both opt‐in and opt‐out programs (broken down by downstream, midstream and upstream, as feasible)</t>
  </si>
  <si>
    <t>Average lifecycle ex-ante kW net savings per participant - Opt-in - Upstream</t>
  </si>
  <si>
    <t>Average lifecycle ex-ante kWh net savings per participant - Opt-in - Upstream</t>
  </si>
  <si>
    <t>Average lifecycle ex-ante Therm net savings per participant - Opt-in - Upstream</t>
  </si>
  <si>
    <t>D1M: Upstream methodology – Numerator: Total upstream savings claimed Denominator: number of upstream equipment rebated * Single family participation rate for PLA</t>
  </si>
  <si>
    <t>RSF4</t>
  </si>
  <si>
    <t>P1</t>
  </si>
  <si>
    <t>Percent</t>
  </si>
  <si>
    <t>P1: Penetration of energy efficiency programs in the eligible market Percent of Participation</t>
  </si>
  <si>
    <t>RSF-P1Percent of participation relative to eligible population</t>
  </si>
  <si>
    <t>Percent of participation relative to eligible population</t>
  </si>
  <si>
    <t>P1 Methodology: Numerator: Number of downstream participants) Denominator: total number of service accounts in the sector</t>
  </si>
  <si>
    <t>Definition: "Eligible population" refers to Total number of service accounts in sector/segment, excluding CARE. "Participation"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</si>
  <si>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P3</t>
  </si>
  <si>
    <t>P3: Penetration of energy efficiency programs in the eligible market - DAC</t>
  </si>
  <si>
    <t>RSF-P3 - Percent of participation in disadvantaged communities</t>
  </si>
  <si>
    <t>Percent of participation in disadvantaged communities</t>
  </si>
  <si>
    <t>Numerator: Number of participants in disadvantaged communities.Denominator: Total number of customers in disadvantaged communities.</t>
  </si>
  <si>
    <t>P4</t>
  </si>
  <si>
    <t>P4: Penetration of energy efficiency programs in the HTR market</t>
  </si>
  <si>
    <t>RSF-P4 - Percent of participation by customers defined as “hard‐to‐reach”</t>
  </si>
  <si>
    <t>Percent of participation by customers defined as “hard‐to‐reach”</t>
  </si>
  <si>
    <t>P4 Methodology:Numerator: number of participants in HTR geographic areaDenominator: Total number of service accounts in HTR geographic area</t>
  </si>
  <si>
    <t>RSF5</t>
  </si>
  <si>
    <t>RSF-LC -  Levelized cost of energy efficiency per kWh, therm and kW (use both TRC and PAC)</t>
  </si>
  <si>
    <t>RSF6i</t>
  </si>
  <si>
    <t>EI1</t>
  </si>
  <si>
    <t>Kbtu/Sqft</t>
  </si>
  <si>
    <t>Energy intensity per SF household</t>
  </si>
  <si>
    <t>Indicator</t>
  </si>
  <si>
    <t>RSF-EI1(Indicator) - Average energy use intensity of single family homes (average usage per household – not adjusted)</t>
  </si>
  <si>
    <t>Average first year annual kWh gross per household</t>
  </si>
  <si>
    <t>N/A - Indicator</t>
  </si>
  <si>
    <t xml:space="preserve">Numerator: Total energy used in sectorDenominator:  number of service accounts </t>
  </si>
  <si>
    <t>Definition: Household refers to a service account</t>
  </si>
  <si>
    <t>RMF1</t>
  </si>
  <si>
    <t>S1-IU</t>
  </si>
  <si>
    <t>RMF-S1-First year annual and lifecycle ex‐ante (pre‐evaluation) gas, electric, and demand savings (gross and net) for multifamily customers (in‐unit, common area, and master metered accounts)</t>
  </si>
  <si>
    <t>First year annual kW gross - In Unit</t>
  </si>
  <si>
    <t>Residential Sector – Multi-family (RMF)</t>
  </si>
  <si>
    <t>First year annual kW net - In Unit</t>
  </si>
  <si>
    <t>First year annual kWh gross - In Unit</t>
  </si>
  <si>
    <t>First year annual kWh net - In Unit</t>
  </si>
  <si>
    <t>First year annual Therm gross - In Unit</t>
  </si>
  <si>
    <t>Savings calculated using CET.</t>
  </si>
  <si>
    <t>First year annual Therm net - In Unit</t>
  </si>
  <si>
    <t>Lifecycle ex-ante kW gross - In Unit</t>
  </si>
  <si>
    <t>Lifecycle ex-ante kW net - In Unit</t>
  </si>
  <si>
    <t>Lifecycle ex-ante kWh gross - In Unit</t>
  </si>
  <si>
    <t>Lifecycle ex-ante kWh net - In Unit</t>
  </si>
  <si>
    <t>Lifecycle ex-ante Therm gross - In Unit</t>
  </si>
  <si>
    <t>Lifecycle ex-ante Therm net - In Unit</t>
  </si>
  <si>
    <t>S1-MM</t>
  </si>
  <si>
    <t>First year annual kW gross - Master Metereed</t>
  </si>
  <si>
    <t>First year annual kW net - Master Metered</t>
  </si>
  <si>
    <t>First year annual kWh gross - Master Metered</t>
  </si>
  <si>
    <t>First year annual kWh net - Master Metered</t>
  </si>
  <si>
    <t>First year annual Therm gross - Master Metered</t>
  </si>
  <si>
    <t>First year annual Therm net - Master Metered</t>
  </si>
  <si>
    <t>Lifecycle ex-ante kW gross - Master Metered</t>
  </si>
  <si>
    <t>Lifecycle ex-ante kW net - Master Metered</t>
  </si>
  <si>
    <t>Lifecycle ex-ante kWh gross - Master Metered</t>
  </si>
  <si>
    <t>Lifecycle ex-ante kWh net - Master Metered</t>
  </si>
  <si>
    <t>Lifecycle ex-ante Therm gross - Master Metered</t>
  </si>
  <si>
    <t>Lifecycle ex-ante Therm net - Master Metered</t>
  </si>
  <si>
    <t>SI-CA</t>
  </si>
  <si>
    <t>First year annual kW gross - Common Area</t>
  </si>
  <si>
    <t>First year annual kW net - Common Area</t>
  </si>
  <si>
    <t>First year annual kWh gross - Common Area</t>
  </si>
  <si>
    <t>First year annual kWh net - Common Area</t>
  </si>
  <si>
    <t>First year annual Therm gross - Common Area</t>
  </si>
  <si>
    <t>First year annual Therm net - Common Area</t>
  </si>
  <si>
    <t>Lifecycle ex-ante kW gross - Common Area</t>
  </si>
  <si>
    <t>Lifecycle ex-ante kW net - Common Area</t>
  </si>
  <si>
    <t>Lifecycle ex-ante kWh gross - Common Area</t>
  </si>
  <si>
    <t>Lifecycle ex-ante kWh net - Common Area</t>
  </si>
  <si>
    <t>Lifecycle ex-ante Therm gross - Common Area</t>
  </si>
  <si>
    <t>Lifecycle ex-ante Therm net - Common Area</t>
  </si>
  <si>
    <t>RMF2</t>
  </si>
  <si>
    <t>RMF-G Greenhouse gasses (MT CO2eq) Net kWh savings, reported on an annual basis</t>
  </si>
  <si>
    <t>Definition: Multi-family refers to any buliding or property with at least two residential housing units.</t>
  </si>
  <si>
    <t>A04</t>
  </si>
  <si>
    <t>RMF3</t>
  </si>
  <si>
    <t>D3a</t>
  </si>
  <si>
    <t>D3: Depth of interventions per building</t>
  </si>
  <si>
    <t>RMF-D3 - Energy savings (kWh, kw, therms) per project (building)</t>
  </si>
  <si>
    <t>Lifecycle ex-ante kW net per project (building)</t>
  </si>
  <si>
    <t>Lifecycle ex-ante kWh net per project (building)</t>
  </si>
  <si>
    <t>Lifecycle ex-ante Therm net per project (building)</t>
  </si>
  <si>
    <t>D3 Methodology:Numerator: Total Savings claimed for MF building retrofitsDenominator: Number of buildings that have been retrofitted, per application (assumed 7.4 units per building (CALMAC http://www.calmac.org/publications/MFEER_Process_Evaluation_FINAL_130415.pdf))</t>
  </si>
  <si>
    <t>D3 Key Definitions: Project applications are made at the property level (premise ID and service account number) not the building level; building information will be used as is available on project applications“Energy savings” = Lifecycle NET savings</t>
  </si>
  <si>
    <t>D4</t>
  </si>
  <si>
    <t>D4: Depth of interventions per property</t>
  </si>
  <si>
    <t>RMF-D4 - Average savings per participant Savings per project (property)</t>
  </si>
  <si>
    <t>Lifecycle ex-ante kW net per project (property)</t>
  </si>
  <si>
    <t>Lifecycle ex-ante kWh net per project (property)</t>
  </si>
  <si>
    <t>Lifecycle ex-ante Therm net per project (property)</t>
  </si>
  <si>
    <t>D4 Methodology:Numerator - Total downstream savings Denominator - number of participating properties (i.e., premise ID x service account}</t>
  </si>
  <si>
    <t>D4 Definition: “Project (property)” is defined by a unique project ID. “Energy savings” = Lifecycle NET savings</t>
  </si>
  <si>
    <t>D5</t>
  </si>
  <si>
    <t>D5: Depth of interventions Per square foot</t>
  </si>
  <si>
    <t>RMF-D5 Energy savings (kWh, kw, therms) per square foot</t>
  </si>
  <si>
    <t>Lifecycle ex-ante kW net per square foot</t>
  </si>
  <si>
    <t>Lifecycle ex-ante kWh net per square foot</t>
  </si>
  <si>
    <t>Lifecycle ex-ante Therm net per square foot</t>
  </si>
  <si>
    <t>D5 Methodology: [Numerator] Total downstream savings [Denominator] Total MF square foot per Assessor data</t>
  </si>
  <si>
    <t>RMF4</t>
  </si>
  <si>
    <t>P1-P</t>
  </si>
  <si>
    <t>RMF-P1P Percent of participation relative to eligible population (by unit, and property)</t>
  </si>
  <si>
    <t>Percent of participation relative to eligible population by property</t>
  </si>
  <si>
    <t xml:space="preserve">P1 Methodology: Numerator: Number of downstream participating properties (unique project ID) Denominator: total number of properties (unique service account) in the sector. </t>
  </si>
  <si>
    <t>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</si>
  <si>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P1-U</t>
  </si>
  <si>
    <t>RMF-P1U Percent of participation relative to eligible population (by unit, and property)</t>
  </si>
  <si>
    <t>Percent of participation relative to eligible population by unit</t>
  </si>
  <si>
    <t xml:space="preserve">P1 Methodology:  Numerator: Number of downstream participating MF units (unique service account = "unit") Denominator: total number of units (service accounts) in the sector. </t>
  </si>
  <si>
    <t xml:space="preserve">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 </t>
  </si>
  <si>
    <t>P2</t>
  </si>
  <si>
    <r>
      <t>P2: Penetration of energy efficiency programs in terms of</t>
    </r>
    <r>
      <rPr>
        <b/>
        <sz val="11"/>
        <rFont val="Calibri"/>
        <family val="2"/>
        <scheme val="minor"/>
      </rPr>
      <t xml:space="preserve"> square feet of eligible population</t>
    </r>
  </si>
  <si>
    <t>RMF-P2 - Percent of square feet of eligible population participating (by property)</t>
  </si>
  <si>
    <t xml:space="preserve"> Percent of square feet of eligible population participating (by property)</t>
  </si>
  <si>
    <t>P2 Methodology: Numerator: # service accounts participating X average sqft/service account)Denominator: Square footage of all eligible accounts (per Assessor)</t>
  </si>
  <si>
    <t>P3: DAC</t>
  </si>
  <si>
    <t>RMF-P3 - Percent of participation in disadvantaged communities</t>
  </si>
  <si>
    <t>Numerator: Number of participants (service accounts) in disadvantaged communities.Denominator: Total number of customers (service accounts) in disadvantaged communities.</t>
  </si>
  <si>
    <t>D.18-05-041: DAC = Bill accounts in census tract corresponding to the top quartile of CalEnviroScreen 3.0 scores.</t>
  </si>
  <si>
    <t>P4: HTR</t>
  </si>
  <si>
    <t>RMF-P4 Percent of participation by customers defined as “hard‐to‐reach”</t>
  </si>
  <si>
    <t xml:space="preserve"> Percent of participation by customers defined as “hard‐to‐reach”</t>
  </si>
  <si>
    <t>RMF5</t>
  </si>
  <si>
    <t>B1</t>
  </si>
  <si>
    <t>B1: MF Benchmarking Penetration</t>
  </si>
  <si>
    <t>RMF-B1 - Percent of benchmarked multi‐family properties relative to the eligible population</t>
  </si>
  <si>
    <t>Percent of benchmarked multi‐family properties relative to the eligible population</t>
  </si>
  <si>
    <t>Total benchmarked units in RMF sectorTotal number of service account in RMF sectorBenchmarked via Portfolio Manager2019 MF with 17 or units MUST Benchmark</t>
  </si>
  <si>
    <t>B6</t>
  </si>
  <si>
    <t>B6: Benchmarking of HTR Properties</t>
  </si>
  <si>
    <t>B6(RMF) - Percent of benchmarking by properties defined as “hard‐to‐reach”</t>
  </si>
  <si>
    <t>Percent of benchmarking by properties defined as “hard‐to‐reach”</t>
  </si>
  <si>
    <t>Benchmarking per Portfolio Manager. Service accounts in HTR market</t>
  </si>
  <si>
    <t>RMF6</t>
  </si>
  <si>
    <t>RMF-LC -  Levelized cost of energy efficiency per kWh, therm and kW (use both TRC and PAC)</t>
  </si>
  <si>
    <t>RMF7i</t>
  </si>
  <si>
    <t>EI2</t>
  </si>
  <si>
    <t>KBtu/unit</t>
  </si>
  <si>
    <t>Energy Intensity per MF unit</t>
  </si>
  <si>
    <t>RMF-E12[Indicator] - and Average energy use intensity of multifamily units. including in‐unit accounts)</t>
  </si>
  <si>
    <t>Average Kbtu per per unit</t>
  </si>
  <si>
    <t>Numerator: Total usage of Res MF sectorDenominator: total units (service accounts) in Res MF sector</t>
  </si>
  <si>
    <t>EI3</t>
  </si>
  <si>
    <t>KBtu/sqft</t>
  </si>
  <si>
    <t>Energy Intensity per MF unit square foot</t>
  </si>
  <si>
    <t xml:space="preserve">RMF-E13[Indicator] Average energy use intensity of multifamily buildings (average usage per square foot – not adjusted </t>
  </si>
  <si>
    <t>Average KBtu per square foot</t>
  </si>
  <si>
    <t>Numerator: Total usage of Res MF sectorDenominator: average number of units in MF buiilding times average square footage of MF units</t>
  </si>
  <si>
    <t>A05</t>
  </si>
  <si>
    <t>C1</t>
  </si>
  <si>
    <t>C-S1 - First year annual and lifecycle ex‐ante (pre‐evaluation) gas, electric, and demand savings (gross and net)</t>
  </si>
  <si>
    <t xml:space="preserve">Commercial Sector (C) </t>
  </si>
  <si>
    <t>per CEDARS</t>
  </si>
  <si>
    <t>Excludes public accounts.</t>
  </si>
  <si>
    <t>S2</t>
  </si>
  <si>
    <t>Percent first year annual kW gross</t>
  </si>
  <si>
    <t>S2: Percent Overall Sectoral Savings</t>
  </si>
  <si>
    <t>C-S2 - First year annual and lifecycle ex‐ante (pre‐evaluation) gas, electric, and demand savings (gross and net) as a percentage of overall sectoral usage</t>
  </si>
  <si>
    <t>Percent first year annual kW net</t>
  </si>
  <si>
    <t>Percent first year annual kWh gross</t>
  </si>
  <si>
    <t>Percent first year annual kWh net</t>
  </si>
  <si>
    <t>Percent first year annual Therm gross</t>
  </si>
  <si>
    <t>S2 Methodology:Numerator = Metric C1 Denominator = Total sectoral usage, from PA billing database</t>
  </si>
  <si>
    <t>Percent first year annual Therm net</t>
  </si>
  <si>
    <t>Percent lifecycle ex-ante kW gross</t>
  </si>
  <si>
    <t>Percent lifecycle ex-ante kW net</t>
  </si>
  <si>
    <t>Percent lifecycle ex-ante kWh gross</t>
  </si>
  <si>
    <t>Percent lifecycle ex-ante kWh net</t>
  </si>
  <si>
    <t>Percent lifecycle ex-ante Therm gross</t>
  </si>
  <si>
    <t>Percent lifecycle ex-ante Therm net</t>
  </si>
  <si>
    <t>C2</t>
  </si>
  <si>
    <t>C-GGreenhouse gasses (MT CO2eq) Net kWh savings, reported on an annual basis</t>
  </si>
  <si>
    <t>CO2-equivalent of net annual therm savings</t>
  </si>
  <si>
    <t>C3</t>
  </si>
  <si>
    <t>D2</t>
  </si>
  <si>
    <t>Percent lifecycle gross kW</t>
  </si>
  <si>
    <t>D2: Depth of  interventions by project</t>
  </si>
  <si>
    <t>Energy savings (gross kWh, therms) as a fraction of total project consumption.</t>
  </si>
  <si>
    <t>Percent lifecycle gross kWh</t>
  </si>
  <si>
    <t>Percent lifecycle gross Therms</t>
  </si>
  <si>
    <t>D2 Methodology (ED Ok)**Numerator: Energy savings claimed for project**Denominator: Energy Usage Baseline on application, against which project savings is calculated.</t>
  </si>
  <si>
    <t>For compliance filing, denominator is equal to participant energy consumption.</t>
  </si>
  <si>
    <t>C4</t>
  </si>
  <si>
    <t>P1L</t>
  </si>
  <si>
    <t>•C-P1M•Percent of participation relative to eligiblepopulation for small, medium, and large customers</t>
  </si>
  <si>
    <t>Percent of participation relative to eligible population for large customers</t>
  </si>
  <si>
    <t xml:space="preserve">P1 Methodology: Numerator: Number of downstream participating (service accounts) Denominator: total number (service accounts) in the sector. </t>
  </si>
  <si>
    <t>P1M</t>
  </si>
  <si>
    <t>Percent of participation relative to eligible population for medium customers</t>
  </si>
  <si>
    <t>P1S</t>
  </si>
  <si>
    <t>•C-P1LPercent of participation relative to eligiblepopulation for small, medium, and large customers</t>
  </si>
  <si>
    <t>Percent of participation relative to eligible population for small customers</t>
  </si>
  <si>
    <t>C-P2 - Percent of square feet of eligible population</t>
  </si>
  <si>
    <t>Percent of square feet of eligible population</t>
  </si>
  <si>
    <t>P2 Methodology: From Commercial Saturation Study (CalmacID CPU0077.01 ).  Numerator: SoCalGas assigns the indoor square feet for each participating bill account by the CSS average square feet using their 2-digit NAICS  Denominator: Total commercial accounts by 2-digit NAICS multiplied by the average indoor square feet by their respective subtotals by 2-digit NAICS.</t>
  </si>
  <si>
    <t>In summary, the square feet of SoCalGas' commercial space is weighted by the number of commercial customers we serve. As a check for using this method, SoCalGas' estimated total commercial square feet is about 22% of the state from the 2006 CEUS results.</t>
  </si>
  <si>
    <t xml:space="preserve">Since the CSS study includes only the electric utilities, SoCalGas uses SCE's result as a proxy. </t>
  </si>
  <si>
    <t>C-P4- Percent of participation by customers defined as “hard‐to‐reach”</t>
  </si>
  <si>
    <t xml:space="preserve">P4 Methodology:Numerator: number of participants in HTR geographic areaDenominator: Total number of service accounts in HTR geographic area. </t>
  </si>
  <si>
    <t>C5</t>
  </si>
  <si>
    <t>B2</t>
  </si>
  <si>
    <r>
      <t xml:space="preserve">Square Footage of Commercial </t>
    </r>
    <r>
      <rPr>
        <b/>
        <sz val="11"/>
        <rFont val="Calibri"/>
        <family val="2"/>
        <scheme val="minor"/>
      </rPr>
      <t>Benchmarking</t>
    </r>
    <r>
      <rPr>
        <sz val="11"/>
        <rFont val="Calibri"/>
        <family val="2"/>
        <scheme val="minor"/>
      </rPr>
      <t xml:space="preserve"> Penetration</t>
    </r>
  </si>
  <si>
    <t>C-B2 - Percent of benchmarked square feet of eligible population</t>
  </si>
  <si>
    <t>Percent of benchmarked square feet of eligible population</t>
  </si>
  <si>
    <t>B5L</t>
  </si>
  <si>
    <r>
      <rPr>
        <b/>
        <sz val="11"/>
        <rFont val="Calibri"/>
        <family val="2"/>
        <scheme val="minor"/>
      </rPr>
      <t>Benchmarking</t>
    </r>
    <r>
      <rPr>
        <sz val="11"/>
        <rFont val="Calibri"/>
        <family val="2"/>
        <scheme val="minor"/>
      </rPr>
      <t xml:space="preserve"> Penetration for Commercial Sector</t>
    </r>
  </si>
  <si>
    <t>B5(C)L Percent of benchmarked customers relative to eligible population for large customers</t>
  </si>
  <si>
    <r>
      <t xml:space="preserve">Percent of benchmarked customers relative to eligible population for </t>
    </r>
    <r>
      <rPr>
        <b/>
        <sz val="11"/>
        <rFont val="Calibri"/>
        <family val="2"/>
        <scheme val="minor"/>
      </rPr>
      <t>large</t>
    </r>
    <r>
      <rPr>
        <sz val="11"/>
        <rFont val="Calibri"/>
        <family val="2"/>
        <scheme val="minor"/>
      </rPr>
      <t xml:space="preserve"> customers</t>
    </r>
  </si>
  <si>
    <t>Methodology: Numerator: Number of large commercial customers that have been benchmarked on Portfolio ManagerDenominator: Total number of commercial customer accounts.</t>
  </si>
  <si>
    <t>For benchmarking metrics, size of customer should be defined in line with AB 802 regulations (by square footage, not usage). If the PA territory overlaps a city with benchmarking ordinance, then use their size thresholds for reporting.</t>
  </si>
  <si>
    <t>B5M</t>
  </si>
  <si>
    <t>B5(C)M  Percent of benchmarked customers relative to eligible population for medium customers</t>
  </si>
  <si>
    <r>
      <t xml:space="preserve">Percent of benchmarked customers relative to eligible population for </t>
    </r>
    <r>
      <rPr>
        <b/>
        <sz val="11"/>
        <rFont val="Calibri"/>
        <family val="2"/>
        <scheme val="minor"/>
      </rPr>
      <t>medium</t>
    </r>
    <r>
      <rPr>
        <sz val="11"/>
        <rFont val="Calibri"/>
        <family val="2"/>
        <scheme val="minor"/>
      </rPr>
      <t xml:space="preserve"> customers</t>
    </r>
  </si>
  <si>
    <t>Methodology: Numerator: Number of  Medium commercial customers that have been benchmarked on Portfolio ManagerDenominator: Total number of commercial customer accounts.</t>
  </si>
  <si>
    <t>B5S</t>
  </si>
  <si>
    <t>B5(C)SPercent of benchmarked customers relative to eligible population for small  customers</t>
  </si>
  <si>
    <r>
      <t xml:space="preserve">Percent of benchmarked customers relative to eligible population for </t>
    </r>
    <r>
      <rPr>
        <b/>
        <sz val="11"/>
        <rFont val="Calibri"/>
        <family val="2"/>
        <scheme val="minor"/>
      </rPr>
      <t>small</t>
    </r>
    <r>
      <rPr>
        <sz val="11"/>
        <rFont val="Calibri"/>
        <family val="2"/>
        <scheme val="minor"/>
      </rPr>
      <t xml:space="preserve">  customers</t>
    </r>
  </si>
  <si>
    <t>Methodology: Numerator: Number of Small commercial customers that have been benchmarked on Portfolio ManagerDenominator: Total number of commercial customer accounts.</t>
  </si>
  <si>
    <r>
      <t xml:space="preserve">B6: </t>
    </r>
    <r>
      <rPr>
        <b/>
        <sz val="11"/>
        <rFont val="Calibri"/>
        <family val="2"/>
        <scheme val="minor"/>
      </rPr>
      <t>Benchmarking</t>
    </r>
    <r>
      <rPr>
        <sz val="11"/>
        <rFont val="Calibri"/>
        <family val="2"/>
        <scheme val="minor"/>
      </rPr>
      <t xml:space="preserve"> of HTR Properties</t>
    </r>
  </si>
  <si>
    <t>B6(C) - Percent of benchmarking by customers defined as “hard‐to‐reach”</t>
  </si>
  <si>
    <t>Percent of benchmarking by customers defined as “hard‐to‐reach”</t>
  </si>
  <si>
    <t>Benchmarking per Portfolio Manager. Service accounts x premise IDs in HTR marketProxy, if characteristics other than size and geo location aren’t known, develop proxy using just size and geo location.</t>
  </si>
  <si>
    <t>C6</t>
  </si>
  <si>
    <t>C-LC -  Levelized cost of energy efficiency per kWh, therm and kW (use both TRC and PAC)</t>
  </si>
  <si>
    <t>A06</t>
  </si>
  <si>
    <t>C7i</t>
  </si>
  <si>
    <t>N1</t>
  </si>
  <si>
    <t>NMEC</t>
  </si>
  <si>
    <t>C-N1[Indicator] Fraction of total projects utilizing Normalized Metered Energy Consumption (NMEC) to estimate savings</t>
  </si>
  <si>
    <t>Percent of total projects utilizing Normalized Metered Energy Consumption (NMEC) to estimate savings</t>
  </si>
  <si>
    <t>Per CAEECC meeting: “Fraction of total custom projects utilizing NMEC to estimate savings”.Data from CMPA (Custom Measure and Project Archive)</t>
  </si>
  <si>
    <t>N2</t>
  </si>
  <si>
    <t>C-N2[Indicator] Fraction of total savings (gross kWh and therm) derived from NMEC analysis</t>
  </si>
  <si>
    <t>Percent of total savings (gross kWh and therm) derived from NMEC analysis</t>
  </si>
  <si>
    <t>Per CAEECC Meeting: “Fraction of total custom savings derived from NMEC analysis”.Data from CMPA.</t>
  </si>
  <si>
    <t>C8i</t>
  </si>
  <si>
    <t>CS</t>
  </si>
  <si>
    <t>Satisfaction</t>
  </si>
  <si>
    <t>C-CS[Indicator] Improvement in customer satisfaction</t>
  </si>
  <si>
    <t>Percent Improvement in customer satisfaction</t>
  </si>
  <si>
    <t>Not Available</t>
  </si>
  <si>
    <t>Per CAEECC Meeting: M&amp;E will develop and field a consistent survey instrument annually.</t>
  </si>
  <si>
    <t>TS</t>
  </si>
  <si>
    <t>C-TS[Indicator] Improvement in trade ally satisfaction</t>
  </si>
  <si>
    <t>Percent Improvement in trade ally satisfaction</t>
  </si>
  <si>
    <t>C9i</t>
  </si>
  <si>
    <t>F1</t>
  </si>
  <si>
    <t>Investment in energy efficiency</t>
  </si>
  <si>
    <t>C-F - [Indicator] Fraction of total investments made by ratepayers and private capital</t>
  </si>
  <si>
    <t>Percent of total investments made by ratepayers and private capital</t>
  </si>
  <si>
    <t>C-F: Per CAEECC meeting and ED Numerator: Total IncentiveDenominator: Total Project cost</t>
  </si>
  <si>
    <t>P-S1 - First year annual and lifecycle ex‐ante (pre‐evaluation) gas, electric, and demand savings (gross and net) across Public Sector programs</t>
  </si>
  <si>
    <t>Public Sector (P)</t>
  </si>
  <si>
    <t>SoCalGas manually identifies Public accounts by Bill Account IDs for the Public Sector metrics.</t>
  </si>
  <si>
    <t>P-GGreenhouse gasses (MT CO2eq) based on net lifecycle kWh and Therms savings, reported on an annual basis, incorporating average fuel/technology mix</t>
  </si>
  <si>
    <t>P3i</t>
  </si>
  <si>
    <t>D3b</t>
  </si>
  <si>
    <t>Percent annual NET kW</t>
  </si>
  <si>
    <t>P-D3[Indicator] Average percent energy savings (kWh, kw, therms) per project building or facility</t>
  </si>
  <si>
    <t>Percent annual net kW per project building or facility</t>
  </si>
  <si>
    <t>Percent annual NET kWh</t>
  </si>
  <si>
    <t>Percent annual net kWh per project building or facility</t>
  </si>
  <si>
    <t>Percent annual NET Therms</t>
  </si>
  <si>
    <t>Percent annual net Therms per project building or facility</t>
  </si>
  <si>
    <t>D3 Methodology:Numerator: Total savings claimed for public sector building retrofitsDenominator: Energy usage of buildings that have been retrofitted, per application.</t>
  </si>
  <si>
    <t>D3 Key Definitions: Project applications are made at the property level (premise ID and service account number) not the building level. "Energy Savings" refers to Annual Net savings, in keeping with ED direction to use Net savings if otherwise not specified (Lifecycle Net).</t>
  </si>
  <si>
    <t>Annual NET kW</t>
  </si>
  <si>
    <t>P-D5[Indicator] Average annual energy savings (kWh, kw, therms) per project building floor plan area</t>
  </si>
  <si>
    <t>Average annual net kw savings per project building floor plan area</t>
  </si>
  <si>
    <t>Annual NET kWh</t>
  </si>
  <si>
    <t>Annual NET Therms</t>
  </si>
  <si>
    <t>Average annual net Therm savings per project building floor plan area</t>
  </si>
  <si>
    <t>D5 Methodology: [Numerator] Total downstream savings [Denominator] Total number of service accounts participating. x average square footage of property</t>
  </si>
  <si>
    <t>W1</t>
  </si>
  <si>
    <t>Water</t>
  </si>
  <si>
    <t>P-W1[Indicator] Average annual energy savings (kWh, kW therms) per annual flow through project water/wastewater facilities</t>
  </si>
  <si>
    <t>Average annual Net kW savings per annual flow through project water/wastewater facilities</t>
  </si>
  <si>
    <t>Average annual Net kWh savings per annual flow through project water/wastewater facilities</t>
  </si>
  <si>
    <t>Average annual Net Therms savings per annual flow through project water/wastewater facilities</t>
  </si>
  <si>
    <t>Numerator: claimed savings from water/wastewater customersDenominator: No MM gallons of flow data available.  Propose study to collect and baseline.</t>
  </si>
  <si>
    <t>A07</t>
  </si>
  <si>
    <t>P-P1 - Percent of Public Sector accounts participating in programs</t>
  </si>
  <si>
    <t>Percent of Public Sector accounts participating in programs</t>
  </si>
  <si>
    <t xml:space="preserve">P1 Methodology: Numerator: Number of downstream participating (service accounts) Denominator: total number of (service accounts) in the sector. </t>
  </si>
  <si>
    <t>P4i</t>
  </si>
  <si>
    <t>P-P2[Indicator] Percent of estimated floorplan area (i.e., ft2) of all Public Sector buildings participating in building projects—estimate within +/‐15% of sector‐wide building area, +/‐5% of project building area</t>
  </si>
  <si>
    <t>Percent of estimated floorplan area (i.e., ft2) of all Public Sector buildings participating in building projects</t>
  </si>
  <si>
    <t>P2 Methodology: Numerator: square footage of participating service accounts (Avg sqft/project X # of projects)Denominator: Square footage of sector per 2015 CEC analysis (Mohsen Abrishami)</t>
  </si>
  <si>
    <t>W2</t>
  </si>
  <si>
    <t>P-W2[Indicator] Percent of Public Sector water/wastewater flow (i.e.,
annual average Million Gallons per Day) enrolled in
non‐building water/wastewater programs—
estimate within +/‐20% of flow through eligible
facilities (treatment facilities pumping stations),
+/‐10% of flow through project facilities</t>
  </si>
  <si>
    <t>Percent of Public Sector water/wastewater flow enrolled in non‐building water/wastewater programs</t>
  </si>
  <si>
    <t>No MM gallons of flow data available.  Propose a study to collect and baseline.</t>
  </si>
  <si>
    <t>P5</t>
  </si>
  <si>
    <t>P-LC - Levelized cost of energy efficiency per kWh, therm and kW (use both TRC and PAC)</t>
  </si>
  <si>
    <t>P6i</t>
  </si>
  <si>
    <t>F2</t>
  </si>
  <si>
    <t>$</t>
  </si>
  <si>
    <t>Investment in EE</t>
  </si>
  <si>
    <t>P-F2 - [Indicator] Total program‐backed financing distributed to Public Sector customers requiring repayment (i.e., loans, OBF)</t>
  </si>
  <si>
    <t>Total program‐backed financing distributed to Public Sector customers requiring repayment</t>
  </si>
  <si>
    <t>P-F2 Method: Total amount loaned through PA programs</t>
  </si>
  <si>
    <t>Define: "Total program backed financing…requiring repayment" = total  loan amount</t>
  </si>
  <si>
    <t>P7</t>
  </si>
  <si>
    <t>B3</t>
  </si>
  <si>
    <t>Public Sector Benchmarking Penetration Calendar Year</t>
  </si>
  <si>
    <t>P-B3 - Percent of Public Sector buildings with current benchmark</t>
  </si>
  <si>
    <t>Percent of Public Sector buildings with current benchmark</t>
  </si>
  <si>
    <t>Def: “current” = “within calendar year”</t>
  </si>
  <si>
    <t>EI4</t>
  </si>
  <si>
    <t>KBtu/Sqft</t>
  </si>
  <si>
    <t>Energy Intensity per public sector building</t>
  </si>
  <si>
    <t>P-E14 Average energy use intensity of all Public Sector buildings</t>
  </si>
  <si>
    <t>Average energy use intensity of all Public Sector buildings</t>
  </si>
  <si>
    <t>Method (ED Okay)Numerator: Total sector-level energy use, from PA billing dataDenominator: Number of public sector accounts * Avg Sqft</t>
  </si>
  <si>
    <t>P7i</t>
  </si>
  <si>
    <t>B4</t>
  </si>
  <si>
    <t>Public Sector Square Foot Benchmarking Penetration in Calendar Year</t>
  </si>
  <si>
    <t>B4-P[Indicator] Percent of floorplan area of all Public Sector buildings with current benchmark</t>
  </si>
  <si>
    <t>Percent of floorplan area of all Public Sector buildings with current benchmark</t>
  </si>
  <si>
    <t>Numerator: Total square footage of public buildings benchmarked within calendar year, in Portfolio ManagerDenominator: Total square footage of all benchmarked Public sector buildings, in Portfolio Manager</t>
  </si>
  <si>
    <t>A08</t>
  </si>
  <si>
    <t>In1</t>
  </si>
  <si>
    <t>In-S1-  First year annualized and lifecycle ex‐ante (pre‐evaluation) gas, electric, and demand savings (gross and net) in industrial sector</t>
  </si>
  <si>
    <t>Industrial (I)</t>
  </si>
  <si>
    <t>In2</t>
  </si>
  <si>
    <t>I-G- Greenhouse gasses (MT CO2eq) Net kWh savings, reported on an annual basis</t>
  </si>
  <si>
    <t>In3</t>
  </si>
  <si>
    <t>•In-P1LPercent of participation relative to eligible population for small, medium and large customers</t>
  </si>
  <si>
    <t>In-P1MPercent of participation relative to eligible population for small, medium and large customers</t>
  </si>
  <si>
    <t>In-P1SIn-P1MIn-P1LPercent of participation relative to eligible population for small, medium and large customers</t>
  </si>
  <si>
    <t>In4i</t>
  </si>
  <si>
    <t>P5L</t>
  </si>
  <si>
    <t>New participation</t>
  </si>
  <si>
    <r>
      <t xml:space="preserve">I-P5[Indicator] Percent of customers participating that have not received an incentive for the past three years, annually, by </t>
    </r>
    <r>
      <rPr>
        <b/>
        <sz val="11"/>
        <rFont val="Calibri"/>
        <family val="2"/>
        <scheme val="minor"/>
      </rPr>
      <t>small</t>
    </r>
    <r>
      <rPr>
        <sz val="11"/>
        <rFont val="Calibri"/>
        <family val="2"/>
        <scheme val="minor"/>
      </rPr>
      <t>, medium and large customer categories</t>
    </r>
  </si>
  <si>
    <t>Percent of large customers participating in reporting year that have not received an incentive for the past three years</t>
  </si>
  <si>
    <t>Numerator: Annual number of Large Industrial participants (by service account) that had not received a downstream incentive for the past 3 years (from date of incentive payment)Denominator: Total number of Large Industrial service accounts in the sector/segment</t>
  </si>
  <si>
    <t>PAs will use PA-specific definition for S, M, &amp; L customers, because BP strategies were developed for customers segmented by those definitions.</t>
  </si>
  <si>
    <t>P5M</t>
  </si>
  <si>
    <r>
      <t xml:space="preserve">I-P5[Indicator] Percent of customers participating that have not received an incentive for the past three years, annually, by small, </t>
    </r>
    <r>
      <rPr>
        <b/>
        <sz val="11"/>
        <rFont val="Calibri"/>
        <family val="2"/>
        <scheme val="minor"/>
      </rPr>
      <t>medium</t>
    </r>
    <r>
      <rPr>
        <sz val="11"/>
        <rFont val="Calibri"/>
        <family val="2"/>
        <scheme val="minor"/>
      </rPr>
      <t xml:space="preserve"> and large customer categories</t>
    </r>
  </si>
  <si>
    <t>Percent of medium customers participating in reporting year that have not received an incentive for the past three years</t>
  </si>
  <si>
    <t>Numerator: Annual number of Medium Industrial participants (by service account) that had not received a downstream incentive for the past 3 years (from date of incentive payment)Denominator: Total number of Medium Industrial service accounts in the sector/segment</t>
  </si>
  <si>
    <t>P5S</t>
  </si>
  <si>
    <r>
      <t xml:space="preserve">I-P5[Indicator] Percent of customers participating that have not received an incentive for the past three years, annually, by small, medium and </t>
    </r>
    <r>
      <rPr>
        <b/>
        <sz val="11"/>
        <rFont val="Calibri"/>
        <family val="2"/>
        <scheme val="minor"/>
      </rPr>
      <t>large</t>
    </r>
    <r>
      <rPr>
        <sz val="11"/>
        <rFont val="Calibri"/>
        <family val="2"/>
        <scheme val="minor"/>
      </rPr>
      <t xml:space="preserve"> customer categories</t>
    </r>
  </si>
  <si>
    <t>Percent of small customers participating in reporting year that have not received an incentive for the past three years</t>
  </si>
  <si>
    <t>Numerator: Annual number of Small Industrial participants (by service account) that had not received a downstream incentive for the past 3 years (from date of incentive payment)Denominator: Total number of Small Industrial service accounts in the sector/segment</t>
  </si>
  <si>
    <t>In5</t>
  </si>
  <si>
    <t> I-LC - Levelized cost of energy efficiency per kWh, therm and KW (use both TRC and PAC)</t>
  </si>
  <si>
    <t>In6</t>
  </si>
  <si>
    <t>I-RC - Reduction in consumption (proposed by SCE and SDG&amp;E)</t>
  </si>
  <si>
    <t>Define: "Reduction in consumption" = energy savings.</t>
  </si>
  <si>
    <t>A09</t>
  </si>
  <si>
    <t>A1</t>
  </si>
  <si>
    <t>Ag-S1 - First year and lifecycle ex ante (pre‐evaluation) annualized gas, electric, and demand savings in agriculture sector, gross and net</t>
  </si>
  <si>
    <t>Agricultural (A)</t>
  </si>
  <si>
    <t>A2</t>
  </si>
  <si>
    <t>A-G - Greenhouse gasses (MT CO2eq) Net kWh savings, reported on an annual basis</t>
  </si>
  <si>
    <t>A3</t>
  </si>
  <si>
    <t>P1: Particpants</t>
  </si>
  <si>
    <t>Ag-P1SPercent of participation relative to eligible population for small, medium and large customers</t>
  </si>
  <si>
    <r>
      <t xml:space="preserve">Percent of participation relative to eligible population for </t>
    </r>
    <r>
      <rPr>
        <b/>
        <sz val="11"/>
        <rFont val="Calibri"/>
        <family val="2"/>
        <scheme val="minor"/>
      </rPr>
      <t>large</t>
    </r>
    <r>
      <rPr>
        <sz val="11"/>
        <rFont val="Calibri"/>
        <family val="2"/>
        <scheme val="minor"/>
      </rPr>
      <t xml:space="preserve"> customers</t>
    </r>
  </si>
  <si>
    <t xml:space="preserve">P1 Methodology: Numerator: Number of downstream participating (by bill accounts) Denominator: total number of accounts in the agricultural sector. </t>
  </si>
  <si>
    <t>Ag-P1M•Percent of participation relative to eligible population for small, medium and large customers</t>
  </si>
  <si>
    <r>
      <t xml:space="preserve">Percent of participation relative to eligible population for </t>
    </r>
    <r>
      <rPr>
        <b/>
        <sz val="11"/>
        <rFont val="Calibri"/>
        <family val="2"/>
        <scheme val="minor"/>
      </rPr>
      <t>medium</t>
    </r>
    <r>
      <rPr>
        <sz val="11"/>
        <rFont val="Calibri"/>
        <family val="2"/>
        <scheme val="minor"/>
      </rPr>
      <t xml:space="preserve"> customers</t>
    </r>
  </si>
  <si>
    <t>Ag-P1LPercent of participation relative to eligible population for small, medium and large customers</t>
  </si>
  <si>
    <r>
      <t xml:space="preserve">Percent of participation relative to eligible population for </t>
    </r>
    <r>
      <rPr>
        <b/>
        <sz val="11"/>
        <rFont val="Calibri"/>
        <family val="2"/>
        <scheme val="minor"/>
      </rPr>
      <t>small</t>
    </r>
    <r>
      <rPr>
        <sz val="11"/>
        <rFont val="Calibri"/>
        <family val="2"/>
        <scheme val="minor"/>
      </rPr>
      <t xml:space="preserve"> customers</t>
    </r>
  </si>
  <si>
    <t>A4</t>
  </si>
  <si>
    <t>A-LC - Levelized cost of energy efficiency per kWh, therm and kW (use both TRC and PAC)</t>
  </si>
  <si>
    <t>A10</t>
  </si>
  <si>
    <t>CS1</t>
  </si>
  <si>
    <t>Net GWh</t>
  </si>
  <si>
    <t>Net Energy Savings: GWH, M Therms and MW (demand)</t>
  </si>
  <si>
    <t>Net GWh savings</t>
  </si>
  <si>
    <t>Codes &amp; Standards (CS)</t>
  </si>
  <si>
    <t>EM&amp;V study</t>
  </si>
  <si>
    <t>2018-2025 consistent with adopted goals from D.17-09-025, Tables 1, 2, and 3, p. 37-39; 2016 from CEDARS (spillover not included).  Values summed across all four IOUs. "Savings" is defined as Net First year savings.</t>
  </si>
  <si>
    <t>Net MMTherms</t>
  </si>
  <si>
    <t>Net MMTherms savings</t>
  </si>
  <si>
    <t>2018-2025 consistent with adopted goals from D.17-09-025, Tables 1, 2, and 3, p. 37-39; 2016 from CEDARS (spillover not included).  Values summed across all four IOUs.  "Savings" is defined as Net First year savings.</t>
  </si>
  <si>
    <t>Net MW</t>
  </si>
  <si>
    <t>Net MW savings</t>
  </si>
  <si>
    <t>CS2</t>
  </si>
  <si>
    <t>Count</t>
  </si>
  <si>
    <t>Advocacy-Building</t>
  </si>
  <si>
    <t>Number of measures supported by CASE studies in rulemaking cycle (current work)</t>
  </si>
  <si>
    <t xml:space="preserve"> Measures supported by CASE</t>
  </si>
  <si>
    <t>Baseline and targets for measures supported  are  for 3 year cycle rather than annual.</t>
  </si>
  <si>
    <t>Number of measures adopted by CEC in rulemaking cycle (indicator of past work)</t>
  </si>
  <si>
    <t xml:space="preserve"> Measures adopted by CEC</t>
  </si>
  <si>
    <t>CS3</t>
  </si>
  <si>
    <t>Advocacy-Appliance</t>
  </si>
  <si>
    <t>Number of T-20 measures supported by CASE studies in rulemaking cycle (current work)</t>
  </si>
  <si>
    <t xml:space="preserve"> T-20 measures supported by CASE</t>
  </si>
  <si>
    <t>Baseline is annual.  Targets for measures supported  are  for 3 year cycle rather than annual. 2017 chosen as baseline since 2016 was zero.</t>
  </si>
  <si>
    <t>Number of measures adopted by CEC in current year</t>
  </si>
  <si>
    <t>Baseline is annual.  Targets for measures adopted  are  for 3 year cycle rather than annual.</t>
  </si>
  <si>
    <t>CS4</t>
  </si>
  <si>
    <t>Advocacy-Federal</t>
  </si>
  <si>
    <t>Number of federal standards adopted for which a utility advocated (IOUs to list advocated activites)</t>
  </si>
  <si>
    <t xml:space="preserve"> Standards adopted</t>
  </si>
  <si>
    <t>Baselines and targets are annual.  Any federal standards based upon Title 20 that were adopted will still be included in the federal count.</t>
  </si>
  <si>
    <t>Percent of federal standards adopted for which a utility advocated (#IOU supported / # DOE adopted)</t>
  </si>
  <si>
    <t xml:space="preserve"> # IOUs supported ÷ 
# DOE adopted</t>
  </si>
  <si>
    <t>Baselines and targets are annual.</t>
  </si>
  <si>
    <t>CS5</t>
  </si>
  <si>
    <t>Reach Codes</t>
  </si>
  <si>
    <t>The number of local government Reach Codes implemented (this is a joint IOU and REN effort)</t>
  </si>
  <si>
    <t xml:space="preserve"> Reach Code ordinances implemented</t>
  </si>
  <si>
    <t>Targets are total for a three-year Title 24 code cycle.  Jurisdictions having multiple reach codes will be counted by reach code rather than by jurisdiction.  Accomplishments will be reported from the CEC Reach Codes website (http://www.energy.ca.gov/title24/2013standards/ordinances/).</t>
  </si>
  <si>
    <t>A11</t>
  </si>
  <si>
    <t>CS6</t>
  </si>
  <si>
    <t>Compliance Improvement</t>
  </si>
  <si>
    <t>Number of training activities (classes, webinars) held, number of market actors participants by segment (e.g. building officials, builders, architects, etc.) and the the total size (number of the target audience) by sector. (M) Number of training activities</t>
  </si>
  <si>
    <t xml:space="preserve"> Number of training activities per year</t>
  </si>
  <si>
    <t>118 live training sessions and 20 webinars in 2017; short, mid, and long-term targets are annual</t>
  </si>
  <si>
    <t>Number of training activities (classes, webinars) held, number of market actors participants by segment (e.g. building officials, builders, architects, etc.) and the the total size (number of the target audience) by sector. (M) Number of participants</t>
  </si>
  <si>
    <t xml:space="preserve"> Number of participants per year</t>
  </si>
  <si>
    <t>3,000 attendees for live training and 600 attendees for webinars in 2017; short, mid, and long-term targets are annual.  Attendees will be shown by major segment (i.e., building officials, builders, architects, HERS raters) and target size of each segment will be provided during first metrics reporting.</t>
  </si>
  <si>
    <t>Score</t>
  </si>
  <si>
    <t>Increase in code compliance knowledge pre/post training</t>
  </si>
  <si>
    <t xml:space="preserve"> Knowledge score</t>
  </si>
  <si>
    <t>Code compliance knowledge increase will be tested via pre and post training questionaires.  Surveys will be conducted for training that lasts longer than three hours (in order to preserve time for instruction in shorter training sessions).  Questionaires will be made available during the first metrics reporting.</t>
  </si>
  <si>
    <t>REN</t>
  </si>
  <si>
    <t>CS6R</t>
  </si>
  <si>
    <t>The percentage increase in closed permits for building projects triggering energy code compliance within participating jurisdictions</t>
  </si>
  <si>
    <t>REN Metric</t>
  </si>
  <si>
    <t>CS6Ri</t>
  </si>
  <si>
    <t>Number and percent of jurisdictions with staff participating in an Energy Policy Forum</t>
  </si>
  <si>
    <t>REN Indicator</t>
  </si>
  <si>
    <t xml:space="preserve">Number and percent of jurisdictions receiving Energy Policy technical assistance. </t>
  </si>
  <si>
    <t>Buildings receiving enhanced code compliance support and delivering compliance data to program evaluators</t>
  </si>
  <si>
    <t>A12</t>
  </si>
  <si>
    <t>WET-1</t>
  </si>
  <si>
    <t>Collaborations</t>
  </si>
  <si>
    <t xml:space="preserve">Number of collaborations by Business Plan sector to jointly develop or share training materials or resources. </t>
  </si>
  <si>
    <t>Workforce Education and Training (WET)</t>
  </si>
  <si>
    <t>Staff input.</t>
  </si>
  <si>
    <t>"Collaborations" mean sharing mutually-beneficial  resources such as training materials, expertise, and marketing/outreach tactics that help achieve WE&amp;T goals and outcomes and that support the collaborating organizations' goals and objectives.</t>
  </si>
  <si>
    <t>WET-2</t>
  </si>
  <si>
    <t>Penetration</t>
  </si>
  <si>
    <t>Number of participants by sector</t>
  </si>
  <si>
    <t>Report from class registration database. Per year.</t>
  </si>
  <si>
    <t xml:space="preserve">"Sector" refers to:
a. Residential versus non-residential
b. Energy efficiency training topic area (e.g., Lighting, HVAC, agriculture)
"Participants" means aggregate class attendance, meaning that one person attending two classes throughout the year would qualify as two participants.
Please note that the IOUs began using a standard categorization of training topic areas in 2018.
</t>
  </si>
  <si>
    <t>Percentage</t>
  </si>
  <si>
    <t>Percent of participation relative to eligible target population for curriculum</t>
  </si>
  <si>
    <t>Numerator: Report from class registration database. 
Denominator: Advanced Energy Economy Institute (AEEI) report finding: “Energy Efficiency accounts for the largest share of advanced energy jobs in California. About six in 10 advanced energy workers are employed in the Energy Efficiency sector; these firms support over 321,000 jobs.” Assume advanced Energy Efficiency jobs are commiserate with population for each PA territory.</t>
  </si>
  <si>
    <t xml:space="preserve">"Participation" means unique participants, meaning that one person attending two classes throughout the year would be counted as one participant.
“Curriculum” refers to the portfolio of training programs and training materials offered by WE&amp;T
“Eligible target population” refers to the energy efficiency labor workforce within each PA's service territory based on the proportion of the IOU's territory population compared to that of California's population.
</t>
  </si>
  <si>
    <t>WET-3</t>
  </si>
  <si>
    <t>Diversity</t>
  </si>
  <si>
    <t xml:space="preserve">Percent of total WE&amp;T training program participants that meet the definition of disadvantaged worker.  </t>
  </si>
  <si>
    <t>Report of provided zip codes from class registration database cross-referenced with the list of "disadvantaged worker" zip codes. Please note that these zip codes are a mixture of home and work addresses. By the end of 2018, IOUs will specifically request participants' home zip codes.</t>
  </si>
  <si>
    <t>“Disadvantaged Worker” means a worker that (1) has a referral from a collaborating community-based organization (CBO), state agency, or workforce investment board; or (2) lives in a ZIP code that is in the top 25% in one or more of the five socioeconomic indicators as defined in the California Office of Environmental Health Hazard Assessment’s CalEnviroScreen Tool. These socioeconomic indicators are educational attainment, housing burden, linguistic isolation, poverty, and unemployment.
"Participant" means a unique participant, meaning that one person attending two classes throughout the year would be counted as one attendee.</t>
  </si>
  <si>
    <t>Percent of incentive dollars spent on contracts* with a demonstrated commitment to provide career pathways to disadvantaged workers</t>
  </si>
  <si>
    <t>Disadvantaged worker tracking is currently not required by PA contract terms and conditions.</t>
  </si>
  <si>
    <t>*Applies only to programs that install, modify, repair, or maintain EE equipment where the incentive is paid to an entity other than a manufacturer, distributor, or retailer of equipment. This applicability standard is adopted from the language the July 9th ruling on workforce standards. It excludes contracts such as those for upstream incentives, Codes and Standards, and mid-stream distributor programs. 
“Demonstrated commitment” means that the vendor submits a plan describing how the program will provide disadvantaged workers with improved access to career opportunities in the energy efficiency industry, that they regularly report the percentage of their workforce qualifying as “disadvantaged”, and that they have long-term targets for the percentage of their  workforce qualifying as “disadvantaged”.
See "Disadvantaged worker" above.</t>
  </si>
  <si>
    <t>WET-3i</t>
  </si>
  <si>
    <t xml:space="preserve">Number Career &amp; Workforce Readiness (CWR) participants who have been employed for 12 months after receiving the training </t>
  </si>
  <si>
    <t>CWR program does not yet exist.</t>
  </si>
  <si>
    <t>A13</t>
  </si>
  <si>
    <t>ETP-M1</t>
  </si>
  <si>
    <t>Research Prioritization</t>
  </si>
  <si>
    <t xml:space="preserve">ETP-M1 Number of TPMs initiated (gas and electric combined), including one technology-focused pilot (TFP) TPM  *This number will be updated once all third party contracts have been awarded. </t>
  </si>
  <si>
    <t xml:space="preserve">ETP-M1 Number of TPMs initiated (gas and electric combined), including one technology-focused pilot (TFP) TPM </t>
  </si>
  <si>
    <t>Emerging Technologies (ET)</t>
  </si>
  <si>
    <t>N/A—TPMs will be initiated once 3P implentation contracts have been awarded.</t>
  </si>
  <si>
    <t>tbd TPMs*</t>
  </si>
  <si>
    <t>tbd  TPMs*</t>
  </si>
  <si>
    <t>Data for this metric will be gathered from 3P TPM Implementers annually.</t>
  </si>
  <si>
    <t xml:space="preserve">1) Technology priority maps (TPMs) are defined in the Business Plan 2) Technology-focused pilot: See ETP-M7 </t>
  </si>
  <si>
    <t>ETP-M2</t>
  </si>
  <si>
    <t>Count of TPMs</t>
  </si>
  <si>
    <t>ETP-M2 Number of TPMs updated *This number will be updated once all third party contracts have been awarded.</t>
  </si>
  <si>
    <t>ETP-M2 Number of TPMs updated</t>
  </si>
  <si>
    <t>1) Technology priority maps (TPMs) are defined in the Business Plan</t>
  </si>
  <si>
    <t>ETP-M3</t>
  </si>
  <si>
    <t>Count of Projects</t>
  </si>
  <si>
    <t>Projects</t>
  </si>
  <si>
    <r>
      <t xml:space="preserve">ETP-M3 Number of projects initiated </t>
    </r>
    <r>
      <rPr>
        <sz val="11"/>
        <rFont val="Calibri"/>
        <family val="2"/>
      </rPr>
      <t>*This number will be updated once all third party contracts have been awarded.</t>
    </r>
  </si>
  <si>
    <t>ETP-M3 Number of projects initiated</t>
  </si>
  <si>
    <t>2017* To be updated with ED/IOU Coordination</t>
  </si>
  <si>
    <t>tbd projects*</t>
  </si>
  <si>
    <t xml:space="preserve">1) Technology priority maps (TPMs) are defined in the Business Plan 2) Projects are considered “initiated” when project budget has been approved and funding allocated. </t>
  </si>
  <si>
    <t>ETP-M4</t>
  </si>
  <si>
    <t>Count of Events</t>
  </si>
  <si>
    <t>Outreach</t>
  </si>
  <si>
    <t>ETP-M4: Number of outreach events with technology developers with products &lt;1 year from commercialization, including new technology vendors, manufacturers, and entrepreneurs. *This number will be updated once all third party contracts have been awarded.</t>
  </si>
  <si>
    <t>ETP-M4: Number of outreach events with technology developers with products &lt;1 year from commercialization, including new technology vendors, manufacturers, and entrepreneurs</t>
  </si>
  <si>
    <t>tbd events*</t>
  </si>
  <si>
    <t>Each ETP event will provide data for ETP-M4 and ETP-M5 simultaneously.**Data for this metric will be gathered from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</si>
  <si>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</si>
  <si>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ETP-M5</t>
  </si>
  <si>
    <t>ETP-M5: Number of outreach events with technology developers with products &lt;5 years from commercialization, including new technology vendors, manufacturers, and entrepreneurs. *This number will be updated once all third party contracts have been awarded.</t>
  </si>
  <si>
    <t>ETP-M5: Number of outreach events with technology developers with products &lt;5 years from commercialization, including new technology vendors, manufacturers, and entrepreneurs</t>
  </si>
  <si>
    <t>See ETP-M4</t>
  </si>
  <si>
    <t>Each ETP event will provide data for ETP-M4 and ETP-M5 simultaneously.**Data for this metric will be gathered from 3P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</si>
  <si>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</si>
  <si>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A14</t>
  </si>
  <si>
    <t>ETP-M6</t>
  </si>
  <si>
    <t>Count of TFPs</t>
  </si>
  <si>
    <t>Pilots</t>
  </si>
  <si>
    <t>ETP-M6: Number of projects initiated with cooperation from other internal IOU programs associated with each Technology-focused Pilot  *This number will be updated once all third party contracts have been awarded.</t>
  </si>
  <si>
    <t xml:space="preserve">ETP-M6: Number of projects initiated with cooperation from other internal IOU programs associated with each Technology-focused Pilot  </t>
  </si>
  <si>
    <t>N/A—TFPs will begin once 3P implentation contracts have been awarded.</t>
  </si>
  <si>
    <t>tbd*</t>
  </si>
  <si>
    <t xml:space="preserve">ETP-M6 metric is a subset of ETP-M7 and counted towards ETP-M7 targets. All targets will be determined by 3P TPM implementers. </t>
  </si>
  <si>
    <t>1) “Cooperation” is defined as a process by which all parties work towards a mutual objective.</t>
  </si>
  <si>
    <t>ETP-M7</t>
  </si>
  <si>
    <t>ETP-M7 Number of Technology-Focused Pilot (TFP) initiated as part of the TFP TPM. *This number will be updated once all third party contracts have been awarded.</t>
  </si>
  <si>
    <t>ETP-M7 Number of Technology-Focused Pilot (TFP) initiated as part of the TFP TPM</t>
  </si>
  <si>
    <r>
      <t>1) A technology-focused pilot (TFP) will identify market barriers for a diverse range of high-impact technologies through studies, and subsequently breaking down identified barriers</t>
    </r>
    <r>
      <rPr>
        <sz val="11"/>
        <rFont val="Palatino"/>
        <family val="1"/>
      </rPr>
      <t> </t>
    </r>
    <r>
      <rPr>
        <sz val="11"/>
        <rFont val="Calibri"/>
        <family val="2"/>
      </rPr>
      <t xml:space="preserve"> in collaboration with other relevant programs</t>
    </r>
    <r>
      <rPr>
        <sz val="11"/>
        <rFont val="Palatino"/>
        <family val="1"/>
      </rPr>
      <t> </t>
    </r>
    <r>
      <rPr>
        <sz val="11"/>
        <rFont val="Calibri"/>
        <family val="2"/>
      </rPr>
      <t>. 2) “Technology-focused Pilot”- Pilots that have been proposed by 3Ps in response to PA needs and that have been approved through the existing ED Ideation Process. These includes TFPs conducted in cooperation with other programs.</t>
    </r>
  </si>
  <si>
    <t>A15</t>
  </si>
  <si>
    <t>ETP-T1</t>
  </si>
  <si>
    <t>Percent of New Measures</t>
  </si>
  <si>
    <t>Measure Tracing</t>
  </si>
  <si>
    <t>ETP-T1: Prior year: % of new measures added to the portfolio that were previously ETP technologies *The PAs believe this is not suited for a metric with targets because ETP does not make decisions about new measures.</t>
  </si>
  <si>
    <t>ETP-T1: Prior year: % of new measures added to the portfolio that were previously ETP technologies</t>
  </si>
  <si>
    <t>Per ED, to be determined by an ED study*</t>
  </si>
  <si>
    <t xml:space="preserve">Per ED: Baseline, methodology, and targets need to be determined by ED evaluation contractors. ED evaluators can make recommendations on what suitable targets would be. ETP Tracking Metrics 1 – 5 need to be determined at the same time as part of calculating savings (ETP-T5), and because ETP impact and savings are involved, ED evaluators need to make these determinations. Baselines will not be available until then. </t>
  </si>
  <si>
    <r>
      <t>ETP-T1 through ETP</t>
    </r>
    <r>
      <rPr>
        <sz val="11"/>
        <rFont val="Palatino"/>
        <family val="1"/>
      </rPr>
      <t> </t>
    </r>
    <r>
      <rPr>
        <sz val="11"/>
        <rFont val="Calibri"/>
        <family val="2"/>
      </rPr>
      <t xml:space="preserve">-T8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r>
  </si>
  <si>
    <t>ETP-T2</t>
  </si>
  <si>
    <t>Count of New Measures</t>
  </si>
  <si>
    <t>ETP-T2: Prior Year: # of new measures added to the portfolio that were previously ETP technologies. *The PAs believe this is not suited for a metric with targets because ETP does not make decisions about new measures.</t>
  </si>
  <si>
    <t>ETP-T2: Prior Year: # of new measures added to the portfolio that were previously ETP technologies</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</si>
  <si>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</si>
  <si>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ETP-T3</t>
  </si>
  <si>
    <r>
      <t>ETP-T3: Prior year: % of new codes or standards that were previously ETP technologies. *</t>
    </r>
    <r>
      <rPr>
        <sz val="11"/>
        <rFont val="Calibri"/>
        <family val="2"/>
      </rPr>
      <t>The PAs believe this is not suited for a metric with targets because ETP does not make decisions about new codes or standards.</t>
    </r>
  </si>
  <si>
    <t>ETP-T3: Prior year: % of new codes or standards that were previously ETP technologies</t>
  </si>
  <si>
    <t xml:space="preserve">Per ED: Baseline, methodology, and targets need to be determined by ED evaluation contractor. </t>
  </si>
  <si>
    <t>ETP-T4</t>
  </si>
  <si>
    <t>ETP-T4: Prior Year: # of new codes and standards that were previously ETP technologies. *The PAs believe this is not suited for a metric with targets because ETP does not make decisions about new codes or standards.</t>
  </si>
  <si>
    <t>ETP-T4: Prior Year: # of new codes and standards that were previously ETP technologies</t>
  </si>
  <si>
    <t>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PAs will work with ED to support matching ETP content to portfolio content.</t>
  </si>
  <si>
    <t xml:space="preserve">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</si>
  <si>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ETP-T5a</t>
  </si>
  <si>
    <t xml:space="preserve">Lifecycle net kW    </t>
  </si>
  <si>
    <t>Savings Tracing</t>
  </si>
  <si>
    <r>
      <t>ETP-T5a: Savings of measures currently in the portfolio that were supported by ETP, added since 2009. Ex-ante with gross and net for all measures, with ex-post where available.</t>
    </r>
    <r>
      <rPr>
        <sz val="11"/>
        <rFont val="Palatino"/>
        <family val="1"/>
      </rPr>
      <t> </t>
    </r>
    <r>
      <rPr>
        <sz val="11"/>
        <rFont val="Calibri"/>
        <family val="2"/>
      </rPr>
      <t>*The PAs believe this is not suited for a metric with targets because ETP is a non-resource program and does not claim any savings.</t>
    </r>
  </si>
  <si>
    <t>ETP-T5a: Savings of measures currently in the portfolio that were supported by ETP, added since 2009. Ex-ante with gross and net for all measures, with ex-post where available</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</si>
  <si>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</si>
  <si>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ETP is a non-resource program and does not make savings claims.</t>
  </si>
  <si>
    <t>ETP-T5b</t>
  </si>
  <si>
    <t xml:space="preserve">Lifecycle net kWh    </t>
  </si>
  <si>
    <r>
      <t>ETP-T5b: Savings of measures currently in the portfolio that were supported by ETP, added since 2009. Ex-ante with gross and net for all measures, with ex-post where available.</t>
    </r>
    <r>
      <rPr>
        <sz val="11"/>
        <rFont val="Palatino"/>
        <family val="1"/>
      </rPr>
      <t> </t>
    </r>
    <r>
      <rPr>
        <sz val="11"/>
        <rFont val="Calibri"/>
        <family val="2"/>
      </rPr>
      <t>*The PAs believe this is not suited for a metric with targets because ETP is a non-resource program and does not claim any savings.</t>
    </r>
  </si>
  <si>
    <t>ETP-T5b: Savings of measures currently in the portfolio that were supported by ETP, added since 2009. Ex-ante with gross and net for all measures, with ex-post where available</t>
  </si>
  <si>
    <t>ETP-T5c</t>
  </si>
  <si>
    <t>Lifecycle net Therms</t>
  </si>
  <si>
    <r>
      <t>ETP-T5c: Savings of measures currently in the portfolio that were supported by ETP, added since 2009. Ex-ante with gross and net for all measures, with ex-post where available.</t>
    </r>
    <r>
      <rPr>
        <sz val="11"/>
        <rFont val="Palatino"/>
        <family val="1"/>
      </rPr>
      <t> </t>
    </r>
    <r>
      <rPr>
        <sz val="11"/>
        <rFont val="Calibri"/>
        <family val="2"/>
      </rPr>
      <t>*The PAs believe this is not suited for a metric with targets because ETP is a non-resource program and does not claim any savings.</t>
    </r>
  </si>
  <si>
    <t>ETP-T5c: Savings of measures currently in the portfolio that were supported by ETP, added since 2009. Ex-ante with gross and net for all measures, with ex-post where available</t>
  </si>
  <si>
    <t>ETP-T6a</t>
  </si>
  <si>
    <t>Count of project ideas by PA</t>
  </si>
  <si>
    <t>Project Idea Tracing</t>
  </si>
  <si>
    <r>
      <t xml:space="preserve">ETP-T6a Number and source (as reported by submitter) of project ideas submitted OUTSIDE OF the annual TPM research planning process, for these categories of sources: </t>
    </r>
    <r>
      <rPr>
        <b/>
        <sz val="11"/>
        <rFont val="Calibri"/>
        <family val="2"/>
      </rPr>
      <t>PA</t>
    </r>
    <r>
      <rPr>
        <sz val="11"/>
        <rFont val="Calibri"/>
        <family val="2"/>
      </rPr>
      <t>,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</si>
  <si>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ETP-T6a Number and source (as reported by submitter) of project ideas submitted OUTSIDE OF the annual TPM research planning process by</t>
    </r>
    <r>
      <rPr>
        <sz val="11"/>
        <rFont val="Calibri"/>
        <family val="2"/>
      </rPr>
      <t xml:space="preserve"> PA</t>
    </r>
  </si>
  <si>
    <t>Data for this metric will be gathered from 3P TPM Implementers annually. If ideas are submitted both outside and as part of the TPM-aligned research planning process, it can be reported under both ETP-T6 and ETP-T7. Ideas may be submitted by more than one source and will be counted under each.</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</si>
  <si>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"Submitted" refers to an idea submitted through a formal submission process.</t>
  </si>
  <si>
    <t>ETP-T6b</t>
  </si>
  <si>
    <t>Count of project ideas by national labs</t>
  </si>
  <si>
    <r>
      <t xml:space="preserve">ETP-T6b Number and source (as reported by submitter) of project ideas submitted OUTSIDE OF the annual TPM research planning process, for these categories of sources: PA, </t>
    </r>
    <r>
      <rPr>
        <b/>
        <sz val="11"/>
        <rFont val="Calibri"/>
        <family val="2"/>
      </rPr>
      <t>national</t>
    </r>
    <r>
      <rPr>
        <sz val="11"/>
        <rFont val="Calibri"/>
        <family val="2"/>
      </rPr>
      <t xml:space="preserve"> </t>
    </r>
    <r>
      <rPr>
        <b/>
        <sz val="11"/>
        <rFont val="Calibri"/>
        <family val="2"/>
      </rPr>
      <t>lab</t>
    </r>
    <r>
      <rPr>
        <sz val="11"/>
        <rFont val="Calibri"/>
        <family val="2"/>
      </rPr>
      <t>,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</si>
  <si>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ETP-T6b Number and source (as reported by submitter) of project ideas submitted OUTSIDE OF the annual TPM research planning process by</t>
    </r>
    <r>
      <rPr>
        <sz val="11"/>
        <rFont val="Calibri"/>
        <family val="2"/>
      </rPr>
      <t xml:space="preserve"> National Lab</t>
    </r>
  </si>
  <si>
    <t>ETP-T6c</t>
  </si>
  <si>
    <t>Count of project ideas by manufacturers</t>
  </si>
  <si>
    <r>
      <t xml:space="preserve">ETP-T6c Number and source (as reported by submitter) of project ideas submitted OUTSIDE OF the annual TPM research planning process, for these categories of sources: PA, national lab, </t>
    </r>
    <r>
      <rPr>
        <b/>
        <sz val="11"/>
        <rFont val="Calibri"/>
        <family val="2"/>
      </rPr>
      <t>manufacturer</t>
    </r>
    <r>
      <rPr>
        <sz val="11"/>
        <rFont val="Calibri"/>
        <family val="2"/>
      </rPr>
      <t>,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</si>
  <si>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ETP-T6c Number and source (as reported by submitter) of project ideas submitted OUTSIDE OF the annual TPM research planning process by</t>
    </r>
    <r>
      <rPr>
        <sz val="11"/>
        <rFont val="Calibri"/>
        <family val="2"/>
      </rPr>
      <t xml:space="preserve"> Manufacturer</t>
    </r>
  </si>
  <si>
    <t>ETP-T6d</t>
  </si>
  <si>
    <t>Count of project ideas by entrepreneurs</t>
  </si>
  <si>
    <r>
      <t xml:space="preserve">ETP-T6d Number and source (as reported by submitter) of project ideas submitted OUTSIDE OF the annual TPM research planning process, for these categories of sources: PA, national lab, manufacturer, </t>
    </r>
    <r>
      <rPr>
        <b/>
        <sz val="11"/>
        <rFont val="Calibri"/>
        <family val="2"/>
      </rPr>
      <t>entrepreneur</t>
    </r>
    <r>
      <rPr>
        <sz val="11"/>
        <rFont val="Calibri"/>
        <family val="2"/>
      </rPr>
      <t>,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</si>
  <si>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ETP-T6d Number and source (as reported by submitter) of project ideas submitted OUTSIDE OF the annual TPM research planning process by</t>
    </r>
    <r>
      <rPr>
        <sz val="11"/>
        <rFont val="Calibri"/>
        <family val="2"/>
      </rPr>
      <t xml:space="preserve"> Entrepreneur</t>
    </r>
  </si>
  <si>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"Submitted" refers to an idea submitted through a formal submission process.</t>
  </si>
  <si>
    <t>ETP-T7a</t>
  </si>
  <si>
    <r>
      <t xml:space="preserve">ETP-T7a Number and source (as reported by submitter) of project ideas submitted AS PART OF the annual TPM research planning process, for these categories of sources: </t>
    </r>
    <r>
      <rPr>
        <b/>
        <sz val="11"/>
        <rFont val="Calibri"/>
        <family val="2"/>
      </rPr>
      <t>PA</t>
    </r>
    <r>
      <rPr>
        <sz val="11"/>
        <rFont val="Calibri"/>
        <family val="2"/>
      </rPr>
      <t>,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</si>
  <si>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ETP-T7a Number and source (as reported by submitter) of project ideas submitted AS PART OF the annual TPM research planning process by</t>
    </r>
    <r>
      <rPr>
        <sz val="11"/>
        <rFont val="Calibri"/>
        <family val="2"/>
      </rPr>
      <t xml:space="preserve"> PA</t>
    </r>
  </si>
  <si>
    <t>Data for this metric will be gathered from 3P TPM Implementers. If ideas are submitted both outside and as part of the TPM-aligned research planning process, it can be reported under both ETP-T6 and ETP-T7. Ideas may be submitted by more than one source and will be counted under each.</t>
  </si>
  <si>
    <t>ETP-T7b</t>
  </si>
  <si>
    <r>
      <t xml:space="preserve">ETP-T7b Number and source (as reported by submitter) of project ideas submitted AS PART OF the annual TPM research planning process, for these categories of sources: PA, </t>
    </r>
    <r>
      <rPr>
        <b/>
        <sz val="11"/>
        <rFont val="Calibri"/>
        <family val="2"/>
      </rPr>
      <t>national</t>
    </r>
    <r>
      <rPr>
        <sz val="11"/>
        <rFont val="Calibri"/>
        <family val="2"/>
      </rPr>
      <t xml:space="preserve"> </t>
    </r>
    <r>
      <rPr>
        <b/>
        <sz val="11"/>
        <rFont val="Calibri"/>
        <family val="2"/>
      </rPr>
      <t>lab</t>
    </r>
    <r>
      <rPr>
        <sz val="11"/>
        <rFont val="Calibri"/>
        <family val="2"/>
      </rPr>
      <t>,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</si>
  <si>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ETP-T7b Number and source (as reported by submitter) of project ideas submitted AS PART OF the annual TPM research planning process by</t>
    </r>
    <r>
      <rPr>
        <sz val="11"/>
        <rFont val="Calibri"/>
        <family val="2"/>
      </rPr>
      <t xml:space="preserve"> National Lab</t>
    </r>
  </si>
  <si>
    <t>ETP-T7c</t>
  </si>
  <si>
    <r>
      <t xml:space="preserve">ETP-T7c Number and source (as reported by submitter) of project ideas submitted AS PART OF the annual TPM research planning process, for these categories of sources: PA, national lab, </t>
    </r>
    <r>
      <rPr>
        <b/>
        <sz val="11"/>
        <rFont val="Calibri"/>
        <family val="2"/>
      </rPr>
      <t>manufacturer</t>
    </r>
    <r>
      <rPr>
        <sz val="11"/>
        <rFont val="Calibri"/>
        <family val="2"/>
      </rPr>
      <t>,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</si>
  <si>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 xml:space="preserve">ETP-T7c Number and source (as reported by submitter) of project ideas submitted AS PART OF the annual TPM research planning process by </t>
    </r>
    <r>
      <rPr>
        <sz val="11"/>
        <rFont val="Calibri"/>
        <family val="2"/>
      </rPr>
      <t>Manufacturer</t>
    </r>
  </si>
  <si>
    <t>ETP-T7d</t>
  </si>
  <si>
    <r>
      <t xml:space="preserve">ETP-T7d Number and source (as reported by submitter) of project ideas submitted AS PART OF the annual TPM research planning process, for these categories of sources: PA, national lab, manufacturer, </t>
    </r>
    <r>
      <rPr>
        <b/>
        <sz val="11"/>
        <rFont val="Calibri"/>
        <family val="2"/>
      </rPr>
      <t>entrepreneur</t>
    </r>
    <r>
      <rPr>
        <sz val="11"/>
        <rFont val="Calibri"/>
        <family val="2"/>
      </rPr>
      <t>,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</si>
  <si>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ETP-T7d Number and source (as reported by submitter) of project ideas submitted AS PART OF the annual TPM research planning process by</t>
    </r>
    <r>
      <rPr>
        <sz val="11"/>
        <rFont val="Calibri"/>
        <family val="2"/>
      </rPr>
      <t xml:space="preserve"> Entrepreneur</t>
    </r>
  </si>
  <si>
    <t>A16</t>
  </si>
  <si>
    <t>ETP-T8</t>
  </si>
  <si>
    <t>Number of lists</t>
  </si>
  <si>
    <t>Statewide Goal Alignment</t>
  </si>
  <si>
    <t>ETP-T8: List of ETP projects aligned with statewide goals that were initiated in the reporting year with specificity as to what aspect of each goal it is fulfilling. Goals will also be labeled in the ETP database. A list of eligible goals will be developed collaboratively with ED.</t>
  </si>
  <si>
    <t>ETP-T8: List of ETP projects aligned with statewide goals that were initiated in the reporting year with specificity as to what aspect of each goal it is fulfilling</t>
  </si>
  <si>
    <t>3 lists cumulative</t>
  </si>
  <si>
    <t>2 lists cumulative</t>
  </si>
  <si>
    <t>Data for this metric will be gathered from 3P TPM Implementers.  An ETP project may align with multiple statewide goals and will be listed under each goal. **</t>
  </si>
  <si>
    <r>
      <t xml:space="preserve">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 however the commission ruled that these tracking metrics must have targets. The </t>
    </r>
    <r>
      <rPr>
        <sz val="11"/>
        <rFont val="Calibri"/>
        <family val="2"/>
      </rPr>
      <t>“statewide goals” will be tracked will be developed and updated in collaboration with ED as needed. Projects are considered “initiated” when project budget has been approved and funding allocated.</t>
    </r>
  </si>
  <si>
    <t>New Spreadsheet Index</t>
  </si>
  <si>
    <t>Mid Term Target (2021-2023)</t>
  </si>
  <si>
    <t>Long Term Target (2024-2025)</t>
  </si>
  <si>
    <t>mod</t>
  </si>
  <si>
    <t>Metric Ton</t>
  </si>
  <si>
    <t>NEW: Energy Savings</t>
  </si>
  <si>
    <t>CEDARS and Reporting Warehouse</t>
  </si>
  <si>
    <t>Savings data from Reporting Warehouse and CEDARS.  Population data from CISCO</t>
  </si>
  <si>
    <t>D1: Depth of interventions••Per downstream participant</t>
  </si>
  <si>
    <t xml:space="preserve">D1D: Downstream methodology- ••Numerator: Total downstream savings claimed••Denominator: Total number of downstream participants </t>
  </si>
  <si>
    <t>D1: Depth of interventions••Per midstream participant</t>
  </si>
  <si>
    <t>NOT FEASIBLE</t>
  </si>
  <si>
    <t>D1M: Midstream methodology –NOT FEASIBLE••••Numerator: Total midstream savings claimed ••Denominator: (not available) number or sector of midstream participants</t>
  </si>
  <si>
    <t>D1: Depth of interventions••Per opt out participant</t>
  </si>
  <si>
    <t>D1: Depth of interventions••Per upstream participant</t>
  </si>
  <si>
    <t>D1U: Upstream methodology– NOT FEASIBLE••Numerator: Total upstream savings claimed••Denominator: (not available) number or sector of of upstream participants</t>
  </si>
  <si>
    <t>P1: Penetration of energy efficiency programs in the eligible market ••Percent of Participation</t>
  </si>
  <si>
    <t>P1 Methodology: ••Numerator: Number of downstream participants) ••Denominator: total number of service accounts in the sector</t>
  </si>
  <si>
    <t>Numerator: Number of participants in disadvantaged communities.••••Denominator: Total number of customers in disadvantaged communities.</t>
  </si>
  <si>
    <t>P4 Methodology:••Numerator: number of participants in HTR geographic area••Denominator: Total number of service accounts in HTR geographic area</t>
  </si>
  <si>
    <t>Btu</t>
  </si>
  <si>
    <t xml:space="preserve">Numerator: Total energy used in sector••Denominator:  number of service accounts </t>
  </si>
  <si>
    <t>Numerator: Total usage of Res MF sector••••Denominator: total units in Res MF sector</t>
  </si>
  <si>
    <t>Numerator: Total usage of Res MF sector••••Denominator: average number of units in MF building times average square footage of MF units</t>
  </si>
  <si>
    <t>Total benchmarked units in RMF sector••Total number of service account in RMF sector••••Benchmarked via Portfolio Manager••••2019 MF with 17 or units MUST Benchmark••••
Numerator: Total number of RMF properties benchmarked via Portfolio Manager. Denominator: Total number of MF properties in the PA territory</t>
  </si>
  <si>
    <t>Benchmarking per Portfolio Manager. Service accounts x premise IDs in HTR market••••Proxy, if characteristics other than geo location aren’t known, develop proxy using just geo location.••</t>
  </si>
  <si>
    <t xml:space="preserve">P1 Methodology: ••Numerator: Number of downstream participating properties (service accounts x premise ID) ••Denominator: total number of properties (service accounts x premise IDs) in the sector. </t>
  </si>
  <si>
    <t xml:space="preserve">P1 Methodology:  ••Numerator: Number of downstream participating MF units (this may be self-reported on application for building-level retrofits) ••Denominator: total number of units (service accounts x premise IDs) in the sector. </t>
  </si>
  <si>
    <t>P2: Penetration of energy efficiency programs in terms of square feet of eligible population</t>
  </si>
  <si>
    <t>P2 Methodology: ••••Numerator: square footage of participating service accounts (x Premise IDs)••••Denominator: Square footage of all eligible accounts (x Premise IDs)</t>
  </si>
  <si>
    <t>••D3 Methodology:••Numerator: Total Savings claimed for MF building retrofits••Denominator: Number of buildings that have been retrofitted, per application.</t>
  </si>
  <si>
    <t>••D4 Methodology:••Numerator - Total downstream savings ••••Denominator - number of participating properties (i.e., premise ID x service account}••</t>
  </si>
  <si>
    <t>D5: Depth of interventions••Per square foot</t>
  </si>
  <si>
    <t>D5 Methodology: ••[Numerator] Total downstream savings ••••[Denominator] Total number of MF service accounts participating. x average square footage of MF service account.</t>
  </si>
  <si>
    <t>Savings calculated using CET; MF designation depends on PA database</t>
  </si>
  <si>
    <t>S2 Methodology:••Numerator = Metric C1 ••Denominator = Total sectoral usage, from PA billing database</t>
  </si>
  <si>
    <t>metric ton</t>
  </si>
  <si>
    <t xml:space="preserve">P1 Methodology: ••Numerator: Number of downstream participating (service accounts x premise ID) ••Denominator: total number of (service accounts x premise IDs) in the sector. </t>
  </si>
  <si>
    <t xml:space="preserve">P4 Methodology:••Numerator proxy: number of participants in HTR geographic area••Denominator: Total number of service accounts in HTR geographic area. </t>
  </si>
  <si>
    <t>Square Footage of Commercial Benchmarking Penetration</t>
  </si>
  <si>
    <t>Method:••••Numerator: Total square footage of benchmarked commercial buildings in Portfolio Manager••••Denominator: Total square footage of commercial sector (average square footage of commercial sector building in CBECS x number of service accounts) Commercial square footage data is purchasable through third party vendors like Costar, or can be requested from local assessor's offices for the PA's territory. A proxy can be applied for yearly increase, and updated every other year with actual data. CBECS average for the sector is NOT acceptable. CEUS average will be allowed for 2018 compliance filing only. PA's are expected to purchase 3P data or assemble from assessor's office by the May annual report filing.</t>
  </si>
  <si>
    <t>Benchmarking Penetration for Commercial Sector</t>
  </si>
  <si>
    <t>Methodology: ••••Numerator: Number of large commercial customers that have been benchmarked on Portfolio Manager••••Denominator: Total number of S, M, and L commercial customer accounts.</t>
  </si>
  <si>
    <t>Methodology: ••••Numerator: Number of  Medium commercial customers that have been benchmarked on Portfolio Manager••••Denominator: Total number of S, M, and L commercial customer accounts.</t>
  </si>
  <si>
    <t>Methodology: ••••Numerator: Number of Small commercial customers that have been benchmarked on Portfolio Manager••••Denominator: Total number of S, M, and L commercial customer accounts.</t>
  </si>
  <si>
    <t>Benchmarking per Portfolio Manager. Service accounts x premise IDs in HTR market••••Proxy, if characteristics other than size and geo location aren’t known, develop proxy using just size and geo location.••</t>
  </si>
  <si>
    <t>Per CAEECC meeting: “Fraction of total custom projects utilizing NMEC to estimate savings”.••••Data from CMPA (Custom Measure and Project Archive)••••. Mona to check</t>
  </si>
  <si>
    <t>Per CAEECC Meeting: “Fraction of total custom savings derived from NMEC analysis”.••••Data from CMPA.••Mona to check</t>
  </si>
  <si>
    <t>C-F: Per CAEECC meeting: and ED Mona okay:••Numerator: Total Incentive••Denominator: Total Project cost••</t>
  </si>
  <si>
    <t>••D3 Methodology:••Numerator: Total savings claimed for public sector building retrofits••Denominator: Energy usage of buildings that have been retrofitted, per application.</t>
  </si>
  <si>
    <t>y</t>
  </si>
  <si>
    <t>D5 Methodology: ••[Numerator] Total downstream savings ••••[Denominator] Total number of service accounts participating. x average square footage of property</t>
  </si>
  <si>
    <t>Numerator: claimed savings from water/wastewater customers••Denominator: Baseline energy usage as reported on project applications</t>
  </si>
  <si>
    <t>P2 Methodology: ••••Numerator: square footage of participating service accounts (x Premise IDs)••••Denominator: Square footage of all eligible accounts (x Premise IDs) times average number of buildings per account</t>
  </si>
  <si>
    <t>As reported by water/wastewater treatment facilities' pumping stations that respond to survey</t>
  </si>
  <si>
    <t>P-F2 Method: Total amount loaned through PA programs (ED ok)</t>
  </si>
  <si>
    <t>Def: “current” = “within calendar year” (ED ok)••</t>
  </si>
  <si>
    <t xml:space="preserve">Method (ED Okay)••••Numerator: Total sector-level energy use, from PA billing data••••Denominator: Number of public sector accounts </t>
  </si>
  <si>
    <t>Numerator: Total square footage of public buildings benchmarked within calendar year, in Portfolio Manager••••Denominator: Total square footage of all benchmarked Public sector buildings, in Portfolio Manager</t>
  </si>
  <si>
    <t>kW</t>
  </si>
  <si>
    <t>kWh</t>
  </si>
  <si>
    <t>Therm</t>
  </si>
  <si>
    <t>Numerator: Annual number of Large Industrial participants (by service account) that had not received a downstream incentive for the past 3 years (from date of incentive payment)••Denominator: Total number of Large Industrial service accounts in the sector/segment•••</t>
  </si>
  <si>
    <t>Numerator: Annual number of Medium Industrial participants (by service account) that had not received a downstream incentive for the past 3 years (from date of incentive payment)••Denominator: Total number of Medium Industrial service accounts in the sector/segment•••</t>
  </si>
  <si>
    <t>Numerator: Annual number of Small Industrial participants (by service account) that had not received a downstream incentive for the past 3 years (from date of incentive payment)••Denominator: Total number of Small Industrial service accounts in the sector/segment•••</t>
  </si>
  <si>
    <t>$/kW</t>
  </si>
  <si>
    <t>$/kWh</t>
  </si>
  <si>
    <t>$/therm</t>
  </si>
  <si>
    <t>Use the GHG Calculator in the CPUC Cost-effectiveness Tool</t>
  </si>
  <si>
    <t xml:space="preserve">P1 Methodology: ••Numerator: Number of downstream participating large customers (service accounts x premise ID) ••Denominator: total number of large customers (service accounts x premise IDs) in the sector. </t>
  </si>
  <si>
    <t xml:space="preserve">P1 Methodology: ••Numerator: Number of downstream participating medium customers (service accounts x premise ID) ••Denominator: total number of medium customers (service accounts x premise IDs) in the sector. </t>
  </si>
  <si>
    <t xml:space="preserve">P1 Methodology: ••Numerator: Number of downstream participating small customers (service accounts x premise ID) ••Denominator: total number of small customers (service accounts x premise IDs) in the sector. </t>
  </si>
  <si>
    <t>SW</t>
  </si>
  <si>
    <t xml:space="preserve"> Number of training activities</t>
  </si>
  <si>
    <t xml:space="preserve"> Number of participants</t>
  </si>
  <si>
    <t>TAB_NAME</t>
  </si>
  <si>
    <t>NumID</t>
  </si>
  <si>
    <t>DenID</t>
  </si>
  <si>
    <t>NDCalc</t>
  </si>
  <si>
    <t>Calc</t>
  </si>
  <si>
    <t>In1_Portfolio</t>
  </si>
  <si>
    <t>N0</t>
  </si>
  <si>
    <t>D0</t>
  </si>
  <si>
    <t>N</t>
  </si>
  <si>
    <t>D1</t>
  </si>
  <si>
    <t>N3</t>
  </si>
  <si>
    <t>D3</t>
  </si>
  <si>
    <t>N4</t>
  </si>
  <si>
    <t>N5</t>
  </si>
  <si>
    <t>N6</t>
  </si>
  <si>
    <t>D6</t>
  </si>
  <si>
    <t>N7</t>
  </si>
  <si>
    <t>D7</t>
  </si>
  <si>
    <t>N8</t>
  </si>
  <si>
    <t>D8</t>
  </si>
  <si>
    <t>N9</t>
  </si>
  <si>
    <t>D9</t>
  </si>
  <si>
    <t>N10</t>
  </si>
  <si>
    <t>D10</t>
  </si>
  <si>
    <t>N11</t>
  </si>
  <si>
    <t>D11</t>
  </si>
  <si>
    <t>N12</t>
  </si>
  <si>
    <t>D12</t>
  </si>
  <si>
    <t>N13</t>
  </si>
  <si>
    <t>D13</t>
  </si>
  <si>
    <t>N14</t>
  </si>
  <si>
    <t>D14</t>
  </si>
  <si>
    <t>N15</t>
  </si>
  <si>
    <t>D15</t>
  </si>
  <si>
    <t>N16</t>
  </si>
  <si>
    <t>D16</t>
  </si>
  <si>
    <t>N17</t>
  </si>
  <si>
    <t>D17</t>
  </si>
  <si>
    <t>N18</t>
  </si>
  <si>
    <t>D18</t>
  </si>
  <si>
    <t>N19</t>
  </si>
  <si>
    <t>D19</t>
  </si>
  <si>
    <t>N20</t>
  </si>
  <si>
    <t>D20</t>
  </si>
  <si>
    <t>N21</t>
  </si>
  <si>
    <t>D21</t>
  </si>
  <si>
    <t>N22</t>
  </si>
  <si>
    <t>D22</t>
  </si>
  <si>
    <t>N23</t>
  </si>
  <si>
    <t>D23</t>
  </si>
  <si>
    <t>N24</t>
  </si>
  <si>
    <t>D24</t>
  </si>
  <si>
    <t>N25</t>
  </si>
  <si>
    <t>D25</t>
  </si>
  <si>
    <t>N26</t>
  </si>
  <si>
    <t>D26</t>
  </si>
  <si>
    <t>N27</t>
  </si>
  <si>
    <t>D27</t>
  </si>
  <si>
    <t>N28</t>
  </si>
  <si>
    <t>D28</t>
  </si>
  <si>
    <t>N29</t>
  </si>
  <si>
    <t>D29</t>
  </si>
  <si>
    <t>N30</t>
  </si>
  <si>
    <t>D30</t>
  </si>
  <si>
    <t>N31</t>
  </si>
  <si>
    <t>D31</t>
  </si>
  <si>
    <t>N32</t>
  </si>
  <si>
    <t>D32</t>
  </si>
  <si>
    <t>N33</t>
  </si>
  <si>
    <t>D33</t>
  </si>
  <si>
    <t>N34</t>
  </si>
  <si>
    <t>D34</t>
  </si>
  <si>
    <t>N35</t>
  </si>
  <si>
    <t>D35</t>
  </si>
  <si>
    <t>N36</t>
  </si>
  <si>
    <t>D36</t>
  </si>
  <si>
    <t>N37</t>
  </si>
  <si>
    <t>D37</t>
  </si>
  <si>
    <t>Y</t>
  </si>
  <si>
    <t>N38</t>
  </si>
  <si>
    <t>D38</t>
  </si>
  <si>
    <t>N39</t>
  </si>
  <si>
    <t>D39</t>
  </si>
  <si>
    <t>N40</t>
  </si>
  <si>
    <t>D40</t>
  </si>
  <si>
    <t>N41</t>
  </si>
  <si>
    <t>D41</t>
  </si>
  <si>
    <t>N42</t>
  </si>
  <si>
    <t>D42</t>
  </si>
  <si>
    <t>In2_ResSF</t>
  </si>
  <si>
    <t>N43</t>
  </si>
  <si>
    <t>D43</t>
  </si>
  <si>
    <t>Per CEDARS data with any identified "Public" Accounts moved to Public Sector</t>
  </si>
  <si>
    <t>N44</t>
  </si>
  <si>
    <t>D44</t>
  </si>
  <si>
    <t>N45</t>
  </si>
  <si>
    <t>D45</t>
  </si>
  <si>
    <t>N46</t>
  </si>
  <si>
    <t>D46</t>
  </si>
  <si>
    <t>N47</t>
  </si>
  <si>
    <t>D47</t>
  </si>
  <si>
    <t>N48</t>
  </si>
  <si>
    <t>D48</t>
  </si>
  <si>
    <t>N49</t>
  </si>
  <si>
    <t>D49</t>
  </si>
  <si>
    <t>N50</t>
  </si>
  <si>
    <t>D50</t>
  </si>
  <si>
    <t>N51</t>
  </si>
  <si>
    <t>D51</t>
  </si>
  <si>
    <t>N52</t>
  </si>
  <si>
    <t>D52</t>
  </si>
  <si>
    <t>N53</t>
  </si>
  <si>
    <t>D53</t>
  </si>
  <si>
    <t>N54</t>
  </si>
  <si>
    <t>D54</t>
  </si>
  <si>
    <t>N55</t>
  </si>
  <si>
    <t>D55</t>
  </si>
  <si>
    <t>N56</t>
  </si>
  <si>
    <t>D56</t>
  </si>
  <si>
    <t>N57</t>
  </si>
  <si>
    <t>D57</t>
  </si>
  <si>
    <t>N58</t>
  </si>
  <si>
    <t>D58</t>
  </si>
  <si>
    <t>N59</t>
  </si>
  <si>
    <t>D59</t>
  </si>
  <si>
    <t>N60</t>
  </si>
  <si>
    <t>D60</t>
  </si>
  <si>
    <t>N61</t>
  </si>
  <si>
    <t>D61</t>
  </si>
  <si>
    <t>N62</t>
  </si>
  <si>
    <t>D62</t>
  </si>
  <si>
    <t>N63</t>
  </si>
  <si>
    <t>D63</t>
  </si>
  <si>
    <t>N64</t>
  </si>
  <si>
    <t>D64</t>
  </si>
  <si>
    <t>N65</t>
  </si>
  <si>
    <t>D65</t>
  </si>
  <si>
    <t>N66</t>
  </si>
  <si>
    <t>D66</t>
  </si>
  <si>
    <t>N67</t>
  </si>
  <si>
    <t>D67</t>
  </si>
  <si>
    <t>N68</t>
  </si>
  <si>
    <t>D68</t>
  </si>
  <si>
    <r>
      <t>P1 Methodology: Numerator: Number of</t>
    </r>
    <r>
      <rPr>
        <sz val="11"/>
        <color rgb="FFFF0000"/>
        <rFont val="Calibri"/>
        <family val="2"/>
        <scheme val="minor"/>
      </rPr>
      <t xml:space="preserve"> downstream</t>
    </r>
    <r>
      <rPr>
        <sz val="11"/>
        <rFont val="Calibri"/>
        <family val="2"/>
        <scheme val="minor"/>
      </rPr>
      <t xml:space="preserve"> participants) Denominator: total number of service accounts in the sector</t>
    </r>
  </si>
  <si>
    <t>N69</t>
  </si>
  <si>
    <t>D69</t>
  </si>
  <si>
    <t>N70</t>
  </si>
  <si>
    <t>D70</t>
  </si>
  <si>
    <t>N71</t>
  </si>
  <si>
    <t>D71</t>
  </si>
  <si>
    <t>N72</t>
  </si>
  <si>
    <t>D72</t>
  </si>
  <si>
    <t>N73</t>
  </si>
  <si>
    <t>D73</t>
  </si>
  <si>
    <t>N74</t>
  </si>
  <si>
    <t>D74</t>
  </si>
  <si>
    <t>N75</t>
  </si>
  <si>
    <t>D75</t>
  </si>
  <si>
    <t>N76</t>
  </si>
  <si>
    <t>D76</t>
  </si>
  <si>
    <t>N77</t>
  </si>
  <si>
    <t>D77</t>
  </si>
  <si>
    <t>In3_ResMF</t>
  </si>
  <si>
    <t>N78</t>
  </si>
  <si>
    <t>D78</t>
  </si>
  <si>
    <t>N79</t>
  </si>
  <si>
    <t>D79</t>
  </si>
  <si>
    <t>N80</t>
  </si>
  <si>
    <t>D80</t>
  </si>
  <si>
    <t>N81</t>
  </si>
  <si>
    <t>D81</t>
  </si>
  <si>
    <t>N82</t>
  </si>
  <si>
    <t>D82</t>
  </si>
  <si>
    <t>N83</t>
  </si>
  <si>
    <t>D83</t>
  </si>
  <si>
    <t>N84</t>
  </si>
  <si>
    <t>D84</t>
  </si>
  <si>
    <t>N85</t>
  </si>
  <si>
    <t>D85</t>
  </si>
  <si>
    <t>N86</t>
  </si>
  <si>
    <t>D86</t>
  </si>
  <si>
    <t>N87</t>
  </si>
  <si>
    <t>D87</t>
  </si>
  <si>
    <t>N88</t>
  </si>
  <si>
    <t>D88</t>
  </si>
  <si>
    <t>N89</t>
  </si>
  <si>
    <t>D89</t>
  </si>
  <si>
    <t>N90</t>
  </si>
  <si>
    <t>D90</t>
  </si>
  <si>
    <t>N91</t>
  </si>
  <si>
    <t>D91</t>
  </si>
  <si>
    <t>N92</t>
  </si>
  <si>
    <t>D92</t>
  </si>
  <si>
    <t>N93</t>
  </si>
  <si>
    <t>D93</t>
  </si>
  <si>
    <t>N94</t>
  </si>
  <si>
    <t>D94</t>
  </si>
  <si>
    <t>N95</t>
  </si>
  <si>
    <t>D95</t>
  </si>
  <si>
    <t>N96</t>
  </si>
  <si>
    <t>D96</t>
  </si>
  <si>
    <t>N97</t>
  </si>
  <si>
    <t>D97</t>
  </si>
  <si>
    <t>N98</t>
  </si>
  <si>
    <t>D98</t>
  </si>
  <si>
    <t>N99</t>
  </si>
  <si>
    <t>D99</t>
  </si>
  <si>
    <t>N100</t>
  </si>
  <si>
    <t>D100</t>
  </si>
  <si>
    <t>N101</t>
  </si>
  <si>
    <t>D101</t>
  </si>
  <si>
    <t>N102</t>
  </si>
  <si>
    <t>D102</t>
  </si>
  <si>
    <t>N103</t>
  </si>
  <si>
    <t>D103</t>
  </si>
  <si>
    <t>N104</t>
  </si>
  <si>
    <t>D104</t>
  </si>
  <si>
    <t>N105</t>
  </si>
  <si>
    <t>D105</t>
  </si>
  <si>
    <t>N106</t>
  </si>
  <si>
    <t>D106</t>
  </si>
  <si>
    <t>N107</t>
  </si>
  <si>
    <t>D107</t>
  </si>
  <si>
    <t>N108</t>
  </si>
  <si>
    <t>D108</t>
  </si>
  <si>
    <t>N109</t>
  </si>
  <si>
    <t>D109</t>
  </si>
  <si>
    <t>N110</t>
  </si>
  <si>
    <t>D110</t>
  </si>
  <si>
    <t>N111</t>
  </si>
  <si>
    <t>D111</t>
  </si>
  <si>
    <t>N112</t>
  </si>
  <si>
    <t>D112</t>
  </si>
  <si>
    <t>N113</t>
  </si>
  <si>
    <t>D113</t>
  </si>
  <si>
    <t>N114</t>
  </si>
  <si>
    <t>D114</t>
  </si>
  <si>
    <t>N115</t>
  </si>
  <si>
    <t>D115</t>
  </si>
  <si>
    <t>N116</t>
  </si>
  <si>
    <t>D116</t>
  </si>
  <si>
    <t>N117</t>
  </si>
  <si>
    <t>D117</t>
  </si>
  <si>
    <t>N118</t>
  </si>
  <si>
    <t>D118</t>
  </si>
  <si>
    <t>N119</t>
  </si>
  <si>
    <t>D119</t>
  </si>
  <si>
    <t>N120</t>
  </si>
  <si>
    <t>D120</t>
  </si>
  <si>
    <t>N121</t>
  </si>
  <si>
    <t>D121</t>
  </si>
  <si>
    <t>N122</t>
  </si>
  <si>
    <t>D122</t>
  </si>
  <si>
    <t>N123</t>
  </si>
  <si>
    <t>D123</t>
  </si>
  <si>
    <t>N124</t>
  </si>
  <si>
    <t>D124</t>
  </si>
  <si>
    <t>N125</t>
  </si>
  <si>
    <t>D125</t>
  </si>
  <si>
    <t>N126</t>
  </si>
  <si>
    <t>D126</t>
  </si>
  <si>
    <t>N127</t>
  </si>
  <si>
    <t>D127</t>
  </si>
  <si>
    <t>N128</t>
  </si>
  <si>
    <t>D128</t>
  </si>
  <si>
    <t>N129</t>
  </si>
  <si>
    <t>D129</t>
  </si>
  <si>
    <t>N130</t>
  </si>
  <si>
    <t>D130</t>
  </si>
  <si>
    <t>N131</t>
  </si>
  <si>
    <t>D131</t>
  </si>
  <si>
    <t>N132</t>
  </si>
  <si>
    <t>D132</t>
  </si>
  <si>
    <t>N133</t>
  </si>
  <si>
    <t>D133</t>
  </si>
  <si>
    <t>N134</t>
  </si>
  <si>
    <t>D134</t>
  </si>
  <si>
    <t>N135</t>
  </si>
  <si>
    <t>D135</t>
  </si>
  <si>
    <t>N136</t>
  </si>
  <si>
    <t>D136</t>
  </si>
  <si>
    <t>N137</t>
  </si>
  <si>
    <t>D137</t>
  </si>
  <si>
    <t>N138</t>
  </si>
  <si>
    <t>D138</t>
  </si>
  <si>
    <t>In4_Com</t>
  </si>
  <si>
    <t>N139</t>
  </si>
  <si>
    <t>D139</t>
  </si>
  <si>
    <t>N140</t>
  </si>
  <si>
    <t>D140</t>
  </si>
  <si>
    <t>N141</t>
  </si>
  <si>
    <t>D141</t>
  </si>
  <si>
    <t>N142</t>
  </si>
  <si>
    <t>D142</t>
  </si>
  <si>
    <t>N143</t>
  </si>
  <si>
    <t>D143</t>
  </si>
  <si>
    <t>N144</t>
  </si>
  <si>
    <t>D144</t>
  </si>
  <si>
    <t>N145</t>
  </si>
  <si>
    <t>D145</t>
  </si>
  <si>
    <t>N146</t>
  </si>
  <si>
    <t>D146</t>
  </si>
  <si>
    <t>N147</t>
  </si>
  <si>
    <t>D147</t>
  </si>
  <si>
    <t>N148</t>
  </si>
  <si>
    <t>D148</t>
  </si>
  <si>
    <t>N149</t>
  </si>
  <si>
    <t>D149</t>
  </si>
  <si>
    <t>N150</t>
  </si>
  <si>
    <t>D150</t>
  </si>
  <si>
    <t>N151</t>
  </si>
  <si>
    <t>D151</t>
  </si>
  <si>
    <t>N152</t>
  </si>
  <si>
    <t>D152</t>
  </si>
  <si>
    <t>N153</t>
  </si>
  <si>
    <t>D153</t>
  </si>
  <si>
    <t>N154</t>
  </si>
  <si>
    <t>D154</t>
  </si>
  <si>
    <t>N155</t>
  </si>
  <si>
    <t>D155</t>
  </si>
  <si>
    <t>N156</t>
  </si>
  <si>
    <t>D156</t>
  </si>
  <si>
    <t>N157</t>
  </si>
  <si>
    <t>D157</t>
  </si>
  <si>
    <t>N158</t>
  </si>
  <si>
    <t>D158</t>
  </si>
  <si>
    <t>N159</t>
  </si>
  <si>
    <t>D159</t>
  </si>
  <si>
    <t>N160</t>
  </si>
  <si>
    <t>D160</t>
  </si>
  <si>
    <t>N161</t>
  </si>
  <si>
    <t>D161</t>
  </si>
  <si>
    <t>N162</t>
  </si>
  <si>
    <t>D162</t>
  </si>
  <si>
    <t>N163</t>
  </si>
  <si>
    <t>D163</t>
  </si>
  <si>
    <t>N164</t>
  </si>
  <si>
    <t>D164</t>
  </si>
  <si>
    <t>N165</t>
  </si>
  <si>
    <t>D165</t>
  </si>
  <si>
    <t>N166</t>
  </si>
  <si>
    <t>D166</t>
  </si>
  <si>
    <t>N167</t>
  </si>
  <si>
    <t>D167</t>
  </si>
  <si>
    <t>N168</t>
  </si>
  <si>
    <t>D168</t>
  </si>
  <si>
    <t>N169</t>
  </si>
  <si>
    <t>D169</t>
  </si>
  <si>
    <t>N170</t>
  </si>
  <si>
    <t>D170</t>
  </si>
  <si>
    <t>N171</t>
  </si>
  <si>
    <t>D171</t>
  </si>
  <si>
    <t>N172</t>
  </si>
  <si>
    <t>D172</t>
  </si>
  <si>
    <t>N173</t>
  </si>
  <si>
    <t>D173</t>
  </si>
  <si>
    <t>N174</t>
  </si>
  <si>
    <t>D174</t>
  </si>
  <si>
    <t>N175</t>
  </si>
  <si>
    <t>D175</t>
  </si>
  <si>
    <t>N176</t>
  </si>
  <si>
    <t>D176</t>
  </si>
  <si>
    <t>N177</t>
  </si>
  <si>
    <t>D177</t>
  </si>
  <si>
    <t>N178</t>
  </si>
  <si>
    <t>D178</t>
  </si>
  <si>
    <t>N179</t>
  </si>
  <si>
    <t>D179</t>
  </si>
  <si>
    <t>N180</t>
  </si>
  <si>
    <t>D180</t>
  </si>
  <si>
    <t>N181</t>
  </si>
  <si>
    <t>D181</t>
  </si>
  <si>
    <t>N182</t>
  </si>
  <si>
    <t>D182</t>
  </si>
  <si>
    <t>N183</t>
  </si>
  <si>
    <t>D183</t>
  </si>
  <si>
    <t>N184</t>
  </si>
  <si>
    <t>D184</t>
  </si>
  <si>
    <t>N185</t>
  </si>
  <si>
    <t>D185</t>
  </si>
  <si>
    <t>N186</t>
  </si>
  <si>
    <t>D186</t>
  </si>
  <si>
    <t>N187</t>
  </si>
  <si>
    <t>D187</t>
  </si>
  <si>
    <t>In5_Public</t>
  </si>
  <si>
    <t>N188</t>
  </si>
  <si>
    <t>D188</t>
  </si>
  <si>
    <t>N189</t>
  </si>
  <si>
    <t>D189</t>
  </si>
  <si>
    <t>N190</t>
  </si>
  <si>
    <t>D190</t>
  </si>
  <si>
    <t>N191</t>
  </si>
  <si>
    <t>D191</t>
  </si>
  <si>
    <t>N192</t>
  </si>
  <si>
    <t>D192</t>
  </si>
  <si>
    <t>N193</t>
  </si>
  <si>
    <t>D193</t>
  </si>
  <si>
    <t>N194</t>
  </si>
  <si>
    <t>D194</t>
  </si>
  <si>
    <t>N195</t>
  </si>
  <si>
    <t>D195</t>
  </si>
  <si>
    <t>N196</t>
  </si>
  <si>
    <t>D196</t>
  </si>
  <si>
    <t>N197</t>
  </si>
  <si>
    <t>D197</t>
  </si>
  <si>
    <t>N198</t>
  </si>
  <si>
    <t>D198</t>
  </si>
  <si>
    <t>N199</t>
  </si>
  <si>
    <t>D199</t>
  </si>
  <si>
    <t>N200</t>
  </si>
  <si>
    <t>D200</t>
  </si>
  <si>
    <t>N201</t>
  </si>
  <si>
    <t>D201</t>
  </si>
  <si>
    <t>N202</t>
  </si>
  <si>
    <t>D202</t>
  </si>
  <si>
    <t>N203</t>
  </si>
  <si>
    <t>D203</t>
  </si>
  <si>
    <t>N204</t>
  </si>
  <si>
    <t>D204</t>
  </si>
  <si>
    <t>N205</t>
  </si>
  <si>
    <t>D205</t>
  </si>
  <si>
    <t>N206</t>
  </si>
  <si>
    <t>D206</t>
  </si>
  <si>
    <t>N207</t>
  </si>
  <si>
    <t>D207</t>
  </si>
  <si>
    <t>N208</t>
  </si>
  <si>
    <t>D208</t>
  </si>
  <si>
    <t>N209</t>
  </si>
  <si>
    <t>D209</t>
  </si>
  <si>
    <t>N210</t>
  </si>
  <si>
    <t>D210</t>
  </si>
  <si>
    <t>N211</t>
  </si>
  <si>
    <t>D211</t>
  </si>
  <si>
    <t>N212</t>
  </si>
  <si>
    <t>D212</t>
  </si>
  <si>
    <t>N213</t>
  </si>
  <si>
    <t>D213</t>
  </si>
  <si>
    <t>N214</t>
  </si>
  <si>
    <t>D214</t>
  </si>
  <si>
    <t>N215</t>
  </si>
  <si>
    <t>D215</t>
  </si>
  <si>
    <t>N216</t>
  </si>
  <si>
    <t>D216</t>
  </si>
  <si>
    <t>N217</t>
  </si>
  <si>
    <t>D217</t>
  </si>
  <si>
    <t>N218</t>
  </si>
  <si>
    <t>D218</t>
  </si>
  <si>
    <t>N219</t>
  </si>
  <si>
    <t>D219</t>
  </si>
  <si>
    <t>N220</t>
  </si>
  <si>
    <t>D220</t>
  </si>
  <si>
    <t>N221</t>
  </si>
  <si>
    <t>D221</t>
  </si>
  <si>
    <t>N222</t>
  </si>
  <si>
    <t>D222</t>
  </si>
  <si>
    <t>In6_Ind</t>
  </si>
  <si>
    <t>N223</t>
  </si>
  <si>
    <t>D223</t>
  </si>
  <si>
    <t>N224</t>
  </si>
  <si>
    <t>D224</t>
  </si>
  <si>
    <t>N225</t>
  </si>
  <si>
    <t>D225</t>
  </si>
  <si>
    <t>N226</t>
  </si>
  <si>
    <t>D226</t>
  </si>
  <si>
    <t>N227</t>
  </si>
  <si>
    <t>D227</t>
  </si>
  <si>
    <t>N228</t>
  </si>
  <si>
    <t>D228</t>
  </si>
  <si>
    <t>N229</t>
  </si>
  <si>
    <t>D229</t>
  </si>
  <si>
    <t>N230</t>
  </si>
  <si>
    <t>D230</t>
  </si>
  <si>
    <t>N231</t>
  </si>
  <si>
    <t>D231</t>
  </si>
  <si>
    <t>N232</t>
  </si>
  <si>
    <t>D232</t>
  </si>
  <si>
    <t>N233</t>
  </si>
  <si>
    <t>D233</t>
  </si>
  <si>
    <t>N234</t>
  </si>
  <si>
    <t>D234</t>
  </si>
  <si>
    <t>N235</t>
  </si>
  <si>
    <t>D235</t>
  </si>
  <si>
    <t>N236</t>
  </si>
  <si>
    <t>D236</t>
  </si>
  <si>
    <t>N237</t>
  </si>
  <si>
    <t>D237</t>
  </si>
  <si>
    <t>N238</t>
  </si>
  <si>
    <t>D238</t>
  </si>
  <si>
    <r>
      <t xml:space="preserve">I-P5[Indicator] Percent of customers participating that have not received an incentive for the past three years, annually, by </t>
    </r>
    <r>
      <rPr>
        <b/>
        <sz val="11"/>
        <color rgb="FFFF0000"/>
        <rFont val="Calibri"/>
        <family val="2"/>
        <scheme val="minor"/>
      </rPr>
      <t>small</t>
    </r>
    <r>
      <rPr>
        <sz val="11"/>
        <rFont val="Calibri"/>
        <family val="2"/>
        <scheme val="minor"/>
      </rPr>
      <t>, medium and large customer categories</t>
    </r>
  </si>
  <si>
    <t>N239</t>
  </si>
  <si>
    <t>D239</t>
  </si>
  <si>
    <r>
      <t xml:space="preserve">I-P5[Indicator] Percent of customers participating that have not received an incentive for the past three years, annually, by small, </t>
    </r>
    <r>
      <rPr>
        <b/>
        <sz val="11"/>
        <color rgb="FFFF0000"/>
        <rFont val="Calibri"/>
        <family val="2"/>
        <scheme val="minor"/>
      </rPr>
      <t>medium</t>
    </r>
    <r>
      <rPr>
        <sz val="11"/>
        <rFont val="Calibri"/>
        <family val="2"/>
        <scheme val="minor"/>
      </rPr>
      <t xml:space="preserve"> and large customer categories</t>
    </r>
  </si>
  <si>
    <t>N240</t>
  </si>
  <si>
    <t>D240</t>
  </si>
  <si>
    <r>
      <t xml:space="preserve">I-P5[Indicator] Percent of customers participating that have not received an incentive for the past three years, annually, by small, medium and </t>
    </r>
    <r>
      <rPr>
        <b/>
        <sz val="11"/>
        <color rgb="FFFF0000"/>
        <rFont val="Calibri"/>
        <family val="2"/>
        <scheme val="minor"/>
      </rPr>
      <t>large</t>
    </r>
    <r>
      <rPr>
        <sz val="11"/>
        <rFont val="Calibri"/>
        <family val="2"/>
        <scheme val="minor"/>
      </rPr>
      <t xml:space="preserve"> customer categories</t>
    </r>
  </si>
  <si>
    <t>N241</t>
  </si>
  <si>
    <t>D241</t>
  </si>
  <si>
    <t>N242</t>
  </si>
  <si>
    <t>D242</t>
  </si>
  <si>
    <t>N243</t>
  </si>
  <si>
    <t>D243</t>
  </si>
  <si>
    <t>N244</t>
  </si>
  <si>
    <t>D244</t>
  </si>
  <si>
    <t>N245</t>
  </si>
  <si>
    <t>D245</t>
  </si>
  <si>
    <t>N246</t>
  </si>
  <si>
    <t>D246</t>
  </si>
  <si>
    <t>N247</t>
  </si>
  <si>
    <t>D247</t>
  </si>
  <si>
    <t>N248</t>
  </si>
  <si>
    <t>D248</t>
  </si>
  <si>
    <t>N249</t>
  </si>
  <si>
    <t>D249</t>
  </si>
  <si>
    <t>N250</t>
  </si>
  <si>
    <t>D250</t>
  </si>
  <si>
    <t>N251</t>
  </si>
  <si>
    <t>D251</t>
  </si>
  <si>
    <t>N252</t>
  </si>
  <si>
    <t>D252</t>
  </si>
  <si>
    <t>N253</t>
  </si>
  <si>
    <t>D253</t>
  </si>
  <si>
    <t>N254</t>
  </si>
  <si>
    <t>D254</t>
  </si>
  <si>
    <t>N255</t>
  </si>
  <si>
    <t>D255</t>
  </si>
  <si>
    <t>N256</t>
  </si>
  <si>
    <t>D256</t>
  </si>
  <si>
    <t>N257</t>
  </si>
  <si>
    <t>D257</t>
  </si>
  <si>
    <t>N258</t>
  </si>
  <si>
    <t>D258</t>
  </si>
  <si>
    <t>N259</t>
  </si>
  <si>
    <t>D259</t>
  </si>
  <si>
    <t>In7_Agr</t>
  </si>
  <si>
    <t>N260</t>
  </si>
  <si>
    <t>D260</t>
  </si>
  <si>
    <t>N261</t>
  </si>
  <si>
    <t>D261</t>
  </si>
  <si>
    <t>N262</t>
  </si>
  <si>
    <t>D262</t>
  </si>
  <si>
    <t>N263</t>
  </si>
  <si>
    <t>D263</t>
  </si>
  <si>
    <t>N264</t>
  </si>
  <si>
    <t>D264</t>
  </si>
  <si>
    <t>N265</t>
  </si>
  <si>
    <t>D265</t>
  </si>
  <si>
    <t>N266</t>
  </si>
  <si>
    <t>D266</t>
  </si>
  <si>
    <t>N267</t>
  </si>
  <si>
    <t>D267</t>
  </si>
  <si>
    <t>N268</t>
  </si>
  <si>
    <t>D268</t>
  </si>
  <si>
    <t>N269</t>
  </si>
  <si>
    <t>D269</t>
  </si>
  <si>
    <t>N270</t>
  </si>
  <si>
    <t>D270</t>
  </si>
  <si>
    <t>N271</t>
  </si>
  <si>
    <t>D271</t>
  </si>
  <si>
    <t>N272</t>
  </si>
  <si>
    <t>D272</t>
  </si>
  <si>
    <t>N273</t>
  </si>
  <si>
    <t>D273</t>
  </si>
  <si>
    <t>N274</t>
  </si>
  <si>
    <t>D274</t>
  </si>
  <si>
    <t>N275</t>
  </si>
  <si>
    <t>D275</t>
  </si>
  <si>
    <t>N276</t>
  </si>
  <si>
    <t>D276</t>
  </si>
  <si>
    <t>N277</t>
  </si>
  <si>
    <t>D277</t>
  </si>
  <si>
    <t>N278</t>
  </si>
  <si>
    <t>D278</t>
  </si>
  <si>
    <t>N279</t>
  </si>
  <si>
    <t>D279</t>
  </si>
  <si>
    <t>N280</t>
  </si>
  <si>
    <t>D280</t>
  </si>
  <si>
    <t>N281</t>
  </si>
  <si>
    <t>D281</t>
  </si>
  <si>
    <t>In8_CS</t>
  </si>
  <si>
    <t>N282</t>
  </si>
  <si>
    <t>D282</t>
  </si>
  <si>
    <t>N283</t>
  </si>
  <si>
    <t>D283</t>
  </si>
  <si>
    <t>N284</t>
  </si>
  <si>
    <t>D284</t>
  </si>
  <si>
    <t>N285</t>
  </si>
  <si>
    <t>D285</t>
  </si>
  <si>
    <t>N286</t>
  </si>
  <si>
    <t>D286</t>
  </si>
  <si>
    <t>N287</t>
  </si>
  <si>
    <t>D287</t>
  </si>
  <si>
    <t>N288</t>
  </si>
  <si>
    <t>D288</t>
  </si>
  <si>
    <t>N289</t>
  </si>
  <si>
    <t>D289</t>
  </si>
  <si>
    <t>N290</t>
  </si>
  <si>
    <t>D290</t>
  </si>
  <si>
    <t>N291</t>
  </si>
  <si>
    <t>D291</t>
  </si>
  <si>
    <t>N292</t>
  </si>
  <si>
    <t>D292</t>
  </si>
  <si>
    <t>N293</t>
  </si>
  <si>
    <t>D293</t>
  </si>
  <si>
    <t>N294</t>
  </si>
  <si>
    <t>D294</t>
  </si>
  <si>
    <t>N295</t>
  </si>
  <si>
    <t>D295</t>
  </si>
  <si>
    <t>N/A-REN</t>
  </si>
  <si>
    <t>N296</t>
  </si>
  <si>
    <t>D296</t>
  </si>
  <si>
    <t>N297</t>
  </si>
  <si>
    <t>D297</t>
  </si>
  <si>
    <t>N298</t>
  </si>
  <si>
    <t>D298</t>
  </si>
  <si>
    <t>N299</t>
  </si>
  <si>
    <t>D299</t>
  </si>
  <si>
    <t>N300</t>
  </si>
  <si>
    <t>D300</t>
  </si>
  <si>
    <t>Input</t>
  </si>
  <si>
    <t>N301</t>
  </si>
  <si>
    <t>D301</t>
  </si>
  <si>
    <t>N302</t>
  </si>
  <si>
    <t>D302</t>
  </si>
  <si>
    <t>N303</t>
  </si>
  <si>
    <t>D303</t>
  </si>
  <si>
    <t>N304</t>
  </si>
  <si>
    <t>D304</t>
  </si>
  <si>
    <t>N305</t>
  </si>
  <si>
    <t>D305</t>
  </si>
  <si>
    <t>N306</t>
  </si>
  <si>
    <t>D306</t>
  </si>
  <si>
    <t>ETP-Future</t>
  </si>
  <si>
    <t>N307</t>
  </si>
  <si>
    <t>D307</t>
  </si>
  <si>
    <t>N308</t>
  </si>
  <si>
    <t>D308</t>
  </si>
  <si>
    <t>N309</t>
  </si>
  <si>
    <t>D309</t>
  </si>
  <si>
    <t>N310</t>
  </si>
  <si>
    <t>D310</t>
  </si>
  <si>
    <r>
      <t>Each ETP event will provide data for ETP-M4 and ETP-M5 simultaneously.**</t>
    </r>
    <r>
      <rPr>
        <sz val="11"/>
        <rFont val="Calibri"/>
        <family val="2"/>
      </rPr>
      <t>Data for this metric will be gathered from TPM Implementers annually based on methodology to be determined.</t>
    </r>
  </si>
  <si>
    <t>N311</t>
  </si>
  <si>
    <t>D311</t>
  </si>
  <si>
    <r>
      <t>Each ETP event will provide data for ETP-M4 and ETP-M5 simultaneously.**</t>
    </r>
    <r>
      <rPr>
        <sz val="11"/>
        <rFont val="Calibri"/>
        <family val="2"/>
      </rPr>
      <t>Data for this metric will be gathered from 3P TPM Implementers annually based on methodology to be determined.</t>
    </r>
  </si>
  <si>
    <t>N312</t>
  </si>
  <si>
    <t>D312</t>
  </si>
  <si>
    <t>N313</t>
  </si>
  <si>
    <t>D313</t>
  </si>
  <si>
    <t>N314</t>
  </si>
  <si>
    <t>D314</t>
  </si>
  <si>
    <t>N315</t>
  </si>
  <si>
    <t>D315</t>
  </si>
  <si>
    <t>N316</t>
  </si>
  <si>
    <t>D316</t>
  </si>
  <si>
    <t>N317</t>
  </si>
  <si>
    <t>D317</t>
  </si>
  <si>
    <t>N318</t>
  </si>
  <si>
    <t>D318</t>
  </si>
  <si>
    <t>N319</t>
  </si>
  <si>
    <t>D319</t>
  </si>
  <si>
    <t>N320</t>
  </si>
  <si>
    <t>D320</t>
  </si>
  <si>
    <t>N321</t>
  </si>
  <si>
    <t>D321</t>
  </si>
  <si>
    <t>N322</t>
  </si>
  <si>
    <t>D322</t>
  </si>
  <si>
    <t>N323</t>
  </si>
  <si>
    <t>D323</t>
  </si>
  <si>
    <t>N324</t>
  </si>
  <si>
    <t>D324</t>
  </si>
  <si>
    <t>N325</t>
  </si>
  <si>
    <t>D325</t>
  </si>
  <si>
    <t>N326</t>
  </si>
  <si>
    <t>D326</t>
  </si>
  <si>
    <t>N327</t>
  </si>
  <si>
    <t>D327</t>
  </si>
  <si>
    <t>N328</t>
  </si>
  <si>
    <t>D328</t>
  </si>
  <si>
    <t>N329</t>
  </si>
  <si>
    <t>D329</t>
  </si>
  <si>
    <t>In9_WET</t>
  </si>
  <si>
    <t>Sector:
Residential - 563             
Nonresidential - 5,853
Segment:                 
HVAC - 2299                              
Lighting - 271                                
Codes &amp; Standards - 634 
Foodservice - 126                        
Renewables &amp; Sustainability - 418 
Home Performance - 296                      
Real Estate - 222                               
Rates, Rebate &amp; Incentive Programs -  355  
Zero-Net Energy - 190
*Data was not tracked in line with other segments                            
Building Design, Construction and Performance - 1270
Marketing, Finance, and Sales (MFS) -335</t>
  </si>
  <si>
    <t>EE Sector Metrics with Targets - Definitions</t>
  </si>
  <si>
    <t>Term</t>
  </si>
  <si>
    <t>Definition</t>
  </si>
  <si>
    <t>Bill Account</t>
  </si>
  <si>
    <t>A bill account is a system generated number that uniquely identifies a billable entity</t>
  </si>
  <si>
    <t>Eligible Population</t>
  </si>
  <si>
    <t>Total number of bill accounts in sector/segment</t>
  </si>
  <si>
    <t>Disadvantaged Communities</t>
  </si>
  <si>
    <t>D.18-05-041: DAC = Bill accounts in census tracts corresponding to census tracts in the top quartile of CalEnviroScreen 3.0 scores.</t>
  </si>
  <si>
    <t>Hard-to-Reach</t>
  </si>
  <si>
    <t>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t>
  </si>
  <si>
    <t>Conversion of kWh and Therms to MTCO2eq as reported by CEDARS</t>
  </si>
  <si>
    <t>Levelized Cost</t>
  </si>
  <si>
    <t>PAC and TRC cost (excluding C&amp;S), as output from the CET Tool</t>
  </si>
  <si>
    <t>Residential Single Family</t>
  </si>
  <si>
    <t>Bill account on residential (GR) rates, with dwelling code of single family home or single family dwelling.</t>
  </si>
  <si>
    <t>Participant</t>
  </si>
  <si>
    <t>Identified by a bill account number, midsteam and upstream equipment deliveries who participanted in a ratepayer funded energy efficiency intervention</t>
  </si>
  <si>
    <t>Household</t>
  </si>
  <si>
    <t>Residential bill account</t>
  </si>
  <si>
    <t>Opt-In/Opt-Out Program</t>
  </si>
  <si>
    <t>Opt-in programs are voluntary and participation is at the discretion of the individual and/or entity.  Opt-out programs are those where individuals and/or entities are defaulted into with their option to opt-out.  Opower/HER is the only Opt-Out program.</t>
  </si>
  <si>
    <t>Residential Multifamily</t>
  </si>
  <si>
    <t>MF designation based on dwelling codes in bill accounts. Number of units = 2 or more.</t>
  </si>
  <si>
    <t>Project</t>
  </si>
  <si>
    <t>Energy efficiency efforts where the customer financial incentives and energy savings are determined using a site-specific analysis of the customer’s existing and proposed equipment and/or building components</t>
  </si>
  <si>
    <t>Building</t>
  </si>
  <si>
    <t>Per the residential sector, any MF structure used or intended to support or shelter any use or occupancy, that receives energy from a utility</t>
  </si>
  <si>
    <t>Property</t>
  </si>
  <si>
    <t>Per the residential sector, a property is a single residence stand-alone or inside a MF building that receives energy from a utility</t>
  </si>
  <si>
    <t>Energy Savings per Square Foot (depth of intervention)</t>
  </si>
  <si>
    <t>Sq footage of EE-addressed space, as defined by individual implementation plans</t>
  </si>
  <si>
    <t>In Unit</t>
  </si>
  <si>
    <t>A multi-family unit. Designated by a unique billing account under rate GR and location code (LC_CD) = B, C, D (&gt;= 2 units)</t>
  </si>
  <si>
    <t>Common Area</t>
  </si>
  <si>
    <t>AL 3826. Natural gas supplied through a single meter to common facilities only, will be billed under rates GM-C, GM-BC or GM-BCC, as appropriate.</t>
  </si>
  <si>
    <t>Master Metered</t>
  </si>
  <si>
    <t>AL 3826. Natural gas procurement for MF accomodations supply Baseline uses through one meter. Such as service will be billed under rates designated for GM-E, GM-BE or GM-BEC, as appropriate.</t>
  </si>
  <si>
    <t>Unit</t>
  </si>
  <si>
    <t>Bill accounts within MF property. Non-overlapping with Master Metered.</t>
  </si>
  <si>
    <t>Square Feet of Eligible Population (Residential)</t>
  </si>
  <si>
    <t>Esimated from RASS, averaging 935 sq. ft. for an invidual multi-family unit; 1,000 sq. ft./per unit per multi-family building.</t>
  </si>
  <si>
    <t>Square Feet of Eligible Population (Commercial &amp; Public)</t>
  </si>
  <si>
    <t>From Commercial Saturation Study (CalmacID CPU0077.01 ). SoCalGas assigns estimated average indoor square foot for each of the 2-digit NAICS codes per account and per eligible population.</t>
  </si>
  <si>
    <t>Public Sector</t>
  </si>
  <si>
    <t>Per SDG&amp;E BP application (p. 102), "the public sector came to be defined as the group of customers that are tax-payer funded, have political mandates, and that must go through a public budgeting and decision-making process.”
Local Gov't: Cities, Counties, Special Districts, Solid Waste Facilities, Water / Wastewater Facilities, Hospitals, Correctional Facilities.  
State: State Buildings, State Park Facilities,  Hospitals, Correctional Facilities.  
Federal: Federal Buildings, US Postal Service, Hospitals, Ports, Military Bases.  Native American Tribes
Public Education (double check): K-12 Schools (Schools, Admin Buildings), Higher Education (e.g., UC/CSU), community colleges
Special exceptions on a case by case basis, determined by PAs based on customer of record.</t>
  </si>
  <si>
    <t>Facility</t>
  </si>
  <si>
    <t>A structure or collection of structures, covered or uncovered, that typically encompass processing or production capabilities</t>
  </si>
  <si>
    <t>Project Building Floor Plan Area</t>
  </si>
  <si>
    <t>Program-Backed Financing</t>
  </si>
  <si>
    <t>Loan amount</t>
  </si>
  <si>
    <t>Water/Waste Water Facility</t>
  </si>
  <si>
    <t>A structure or collection of structures, covered or uncovered, that encompass water/waste water treatment processes.  EE savings are intended to be captured at the facility level.</t>
  </si>
  <si>
    <t>Annual Flow</t>
  </si>
  <si>
    <t>Flow (in millions of gallons per day) of water/wastewater as reported by the water/waste water facility</t>
  </si>
  <si>
    <t>Current Benchmark</t>
  </si>
  <si>
    <t>Benchmarked via Portfolio Manager in the calendar year</t>
  </si>
  <si>
    <t>Investments made by ratepayers and private capital</t>
  </si>
  <si>
    <t>Project incentive vs project cost</t>
  </si>
  <si>
    <t>Customer Satisfaction</t>
  </si>
  <si>
    <t>Per consistent survey, to be developed</t>
  </si>
  <si>
    <t>Trade Ally Satisfaction</t>
  </si>
  <si>
    <t>Customer Size - Small</t>
  </si>
  <si>
    <t>A bill account with &lt; 10,000 therms per year</t>
  </si>
  <si>
    <t>Customer Size - Medium</t>
  </si>
  <si>
    <t>A bill account between 10,000 and 50,000 therms per year</t>
  </si>
  <si>
    <t>Customer Size - Large</t>
  </si>
  <si>
    <t>A bill account with &gt; 50,000 therms per year</t>
  </si>
  <si>
    <t>Energy Use Intensity</t>
  </si>
  <si>
    <t>kBTU/sq ft, consistent with Energy Star Portfolio Manager definition (https://www.energystar.gov/buildings/facility-owners-and-managers/existing-buildings/use-portfolio-manager/understand-metrics/what-energy)</t>
  </si>
  <si>
    <t>Inputs and Calculations
By Sectors</t>
  </si>
  <si>
    <t>Final Common Metric or Indicator</t>
  </si>
  <si>
    <t>Index</t>
  </si>
  <si>
    <t>Formula (Numerator/Denominator)</t>
  </si>
  <si>
    <t>Assumptions-Notes</t>
  </si>
  <si>
    <t>First Year Annual and Lifecycle ExAnte(Pre-Evaluation) Gas, 
Electric, and Demand Savings (Gross and Net) for the Portfolio</t>
  </si>
  <si>
    <r>
      <t xml:space="preserve">S3: </t>
    </r>
    <r>
      <rPr>
        <b/>
        <sz val="11"/>
        <color rgb="FFFF0000"/>
        <rFont val="Calibri"/>
        <family val="2"/>
        <scheme val="minor"/>
      </rPr>
      <t xml:space="preserve">DAC </t>
    </r>
    <r>
      <rPr>
        <b/>
        <sz val="11"/>
        <color theme="1"/>
        <rFont val="Calibri"/>
        <family val="2"/>
        <scheme val="minor"/>
      </rPr>
      <t>Savings</t>
    </r>
  </si>
  <si>
    <t>First Year Annual and Lifecycle ExAnte(Pre-Evaluation) Gas, 
Electric, and Demand Savings (Gross and Net) 
in Disadvantages Communities</t>
  </si>
  <si>
    <t>First Year Annual and Lifecycle ExAnte(Pre-Evaluation) Gas, Electric, and Demand Savings(Gross and Net) 
in Hard-to-Reach Markets</t>
  </si>
  <si>
    <t>Cost per unit saved (PAC)</t>
  </si>
  <si>
    <t>Levelized PAC</t>
  </si>
  <si>
    <t>*exclude C&amp;S &amp; ESA</t>
  </si>
  <si>
    <t>Levelized PAC Cost PER kW</t>
  </si>
  <si>
    <t>(PAC cost * benefits)/Total Benefits</t>
  </si>
  <si>
    <t>AdjLifecyleNetkW</t>
  </si>
  <si>
    <t>Levelized PAC Cost PER kWh</t>
  </si>
  <si>
    <t>AdjLifecyleNetkWh</t>
  </si>
  <si>
    <t>Levelized PAC Cost PER Therm</t>
  </si>
  <si>
    <t>AdjLifecyleNetTherm</t>
  </si>
  <si>
    <t>Cost per unit saved (TRC)</t>
  </si>
  <si>
    <t>Levelized TRC</t>
  </si>
  <si>
    <t>(TRC cost * Gas benefits)/Total Benefits</t>
  </si>
  <si>
    <t>LifeCycleNetTherm</t>
  </si>
  <si>
    <t xml:space="preserve">RSF2-G - Greenhouse gasses </t>
  </si>
  <si>
    <t>Gross Gas CO2 (Metric Tonne)</t>
  </si>
  <si>
    <t>*Portfolio Savings Include C&amp;S and ESA</t>
  </si>
  <si>
    <t>**GHG: CO2 excludes ESA and C&amp;S, (MT CO2eq) Net kWh savings, reported on an annual basis (Elec Only)</t>
  </si>
  <si>
    <t>**RW- ReportingWarehouse</t>
  </si>
  <si>
    <t>SumOfAdjGrosskW1stBaseline</t>
  </si>
  <si>
    <t>SumOfAdjNetkW1stBaseline</t>
  </si>
  <si>
    <t>SumOfAdjGrosskWh1stBaseline</t>
  </si>
  <si>
    <t>SumOfAdjNetkWh1stBaseline</t>
  </si>
  <si>
    <t>SumOfAdjGrossTherm1stBaseline</t>
  </si>
  <si>
    <t>SumOfAdjNetTherm1stBaseline</t>
  </si>
  <si>
    <t>SumOfAdjLifecyleGrosskW</t>
  </si>
  <si>
    <t>SumOfAdjLifecyleNetkW</t>
  </si>
  <si>
    <t>SumOfAdjLifecyleGrosskWh</t>
  </si>
  <si>
    <t>SumOfAdjLifecyleNetkWh</t>
  </si>
  <si>
    <t>SumOfAdjLifecyleGrossTherm</t>
  </si>
  <si>
    <t>SumOfAdjLifecyleNetTherm</t>
  </si>
  <si>
    <t>Portfolio - All Sectors</t>
  </si>
  <si>
    <t>Residential - Single Family</t>
  </si>
  <si>
    <t>First Year Annual and Lifecycle ExAnte(Pre-Evaluation) Gas, Electric, and Demand Savings (Gross and Net) 
for Single Family Customers</t>
  </si>
  <si>
    <t>Greenhouse gases (MT CO2eq) Net kWh savings, reported on an annual basis</t>
  </si>
  <si>
    <t>D1: Depth of Interventions</t>
  </si>
  <si>
    <t>Downstream per participant</t>
  </si>
  <si>
    <t>Average lifecycle ex-ante kW net savings</t>
  </si>
  <si>
    <t>Lifecycle NET kW (Downstream)</t>
  </si>
  <si>
    <t># Participating Sector Customers (Downstream)</t>
  </si>
  <si>
    <t>Average lifecycle ex-ante kWh net savings</t>
  </si>
  <si>
    <t>Average lifecycle ex-ante Therm net savings</t>
  </si>
  <si>
    <t xml:space="preserve"> Opt-in - Midstream per participant</t>
  </si>
  <si>
    <t># Participating Sector Customers (Midstream)</t>
  </si>
  <si>
    <t>Opt Out</t>
  </si>
  <si>
    <t>EM&amp;V Study</t>
  </si>
  <si>
    <t># Participating Sector Customers (Opt Out)</t>
  </si>
  <si>
    <t>Upstream per participant</t>
  </si>
  <si>
    <t># Participating Sector Customers (Upstream)</t>
  </si>
  <si>
    <t xml:space="preserve">P1: Penetration of energy efficiency programs in the eligible market </t>
  </si>
  <si>
    <t>Participation Relative to Eligible Population for SF sector</t>
  </si>
  <si>
    <t>Participants (Upstream+Midstream+Downstream)</t>
  </si>
  <si>
    <t>Dec Total Number of Sector Customers</t>
  </si>
  <si>
    <t xml:space="preserve">Percent of participation in Disadvantaged Communities </t>
  </si>
  <si>
    <t>DAC Program Participants in Sector</t>
  </si>
  <si>
    <t>December Total Number of SF Customers in DAC</t>
  </si>
  <si>
    <t xml:space="preserve">Percent of participation in Hard to Reach Communities </t>
  </si>
  <si>
    <t>HTR Program Participants in Sector</t>
  </si>
  <si>
    <t>December Total Number of SF Customers in HTR</t>
  </si>
  <si>
    <t>Energy Intensity Indicator</t>
  </si>
  <si>
    <t>Average Energy Use Intensity of Single Family Homes (Not adjusted)</t>
  </si>
  <si>
    <t>NA - Indicator</t>
  </si>
  <si>
    <t>**For SF1- Includes Mobile Home if individully metered</t>
  </si>
  <si>
    <t>**All Calcs Exclude C&amp;S and ESA</t>
  </si>
  <si>
    <t>**If Account in two or more program in same sector, count as one participant.</t>
  </si>
  <si>
    <t xml:space="preserve">** Downstream, Midstream, Upstream Participants exclude Master Metered </t>
  </si>
  <si>
    <t>**Participant Count based on unique service account number</t>
  </si>
  <si>
    <t>** Sector Customer Count based on December Meter Count</t>
  </si>
  <si>
    <t>Residential - Multi-Family</t>
  </si>
  <si>
    <t>First Year Annual and Lifecycle ExAnte(Pre-Evaluation) Gas, Electric, and Demand Savings (Gross and Net) for Multi-family customers (in units, common area, and master metered accounts)</t>
  </si>
  <si>
    <t xml:space="preserve">D3: Depth of Intervention per building
</t>
  </si>
  <si>
    <t>Energy Savings per Project (Building)</t>
  </si>
  <si>
    <t>Annualized LifeCycle Net KW</t>
  </si>
  <si>
    <t>Total Number Building Premises</t>
  </si>
  <si>
    <t>Annualized LifeCycle Net KWh</t>
  </si>
  <si>
    <t>Lifecycle ex-ante Therm Net per project (building)</t>
  </si>
  <si>
    <t>Annualized LifeCycle Net Therm</t>
  </si>
  <si>
    <t xml:space="preserve">D4: Depth of Intervention per Project or Property
</t>
  </si>
  <si>
    <t>Total Number Properties</t>
  </si>
  <si>
    <t>Lifecycle ex-ante Therm Net per project (property)</t>
  </si>
  <si>
    <t xml:space="preserve">D5: Depth of Intervention per Square Foot
</t>
  </si>
  <si>
    <t>Total Number of participating MF In Total Sq.Ft</t>
  </si>
  <si>
    <t>Lifecycle ex-ante Therm Net per square foot</t>
  </si>
  <si>
    <t>Annualized LifeCycle Net Therm Saved by MF Participant</t>
  </si>
  <si>
    <t>P1: Penetration of energy efficiency programs in the eligible market</t>
  </si>
  <si>
    <t>Participant relative to eligible population</t>
  </si>
  <si>
    <t>Percent of participation relative to eligible population by Number of properties</t>
  </si>
  <si>
    <t>Number of Sector Participants</t>
  </si>
  <si>
    <t xml:space="preserve"> Total Number MF Accounts (Population)</t>
  </si>
  <si>
    <t>Percent of participation relative to eligible population by Number of Units</t>
  </si>
  <si>
    <t>Number of Unit Participants</t>
  </si>
  <si>
    <t xml:space="preserve"> Total Number MF Unit Properties (Population)</t>
  </si>
  <si>
    <t>Percent square feet  eligible population (by Property)</t>
  </si>
  <si>
    <t xml:space="preserve"> MF Participant(Sq.Ft)</t>
  </si>
  <si>
    <t>Total square footage of MF Accounts (Population)</t>
  </si>
  <si>
    <t>Number of MF Participants in DAC</t>
  </si>
  <si>
    <t>Number of MF in DAC (Population)</t>
  </si>
  <si>
    <t>Percent of participation in Hard to Reach Communities</t>
  </si>
  <si>
    <t>Number of MF Participants in HTR</t>
  </si>
  <si>
    <t>Number of MF in HTR (Population)</t>
  </si>
  <si>
    <t>B1: MF Benchmarking</t>
  </si>
  <si>
    <t>Percent of benchmarked multi‐family properties relative to the eligible population••••</t>
  </si>
  <si>
    <t>Percentage of Benchmarked multi-family properties relative to the eligible population</t>
  </si>
  <si>
    <t># MF accounts participated in Portfolio Manager</t>
  </si>
  <si>
    <t xml:space="preserve"># MF Buildings </t>
  </si>
  <si>
    <t>Percent of benchmarking by properties defined as “hard‐to‐reach”••••</t>
  </si>
  <si>
    <t>Percentage of Benchmarked properties defined as "hard-to-reach"</t>
  </si>
  <si>
    <t># MF accounts participanted in Portfolio Manager in HTR</t>
  </si>
  <si>
    <t># MF Buildings in HTR</t>
  </si>
  <si>
    <t>Average Energy Use Intensity</t>
  </si>
  <si>
    <t>Average Energy Use Intensity Multi Family Homes (not adjusted) in Kbtu/SqFt</t>
  </si>
  <si>
    <r>
      <t xml:space="preserve">[Indicator] - Average energy use intensity of multifamily units. including </t>
    </r>
    <r>
      <rPr>
        <b/>
        <sz val="11"/>
        <color theme="1"/>
        <rFont val="Calibri"/>
        <family val="2"/>
        <scheme val="minor"/>
      </rPr>
      <t>in‐unit</t>
    </r>
    <r>
      <rPr>
        <sz val="11"/>
        <color theme="1"/>
        <rFont val="Calibri"/>
        <family val="2"/>
        <scheme val="minor"/>
      </rPr>
      <t xml:space="preserve"> accounts - average usage per square foot – not adjusted</t>
    </r>
  </si>
  <si>
    <t>N/A-Indicator</t>
  </si>
  <si>
    <t>Total Sqft of MF households</t>
  </si>
  <si>
    <r>
      <t xml:space="preserve">[Indicator] Average energy use intensity of multifamily </t>
    </r>
    <r>
      <rPr>
        <b/>
        <sz val="11"/>
        <color theme="1"/>
        <rFont val="Calibri"/>
        <family val="2"/>
        <scheme val="minor"/>
      </rPr>
      <t>buildings</t>
    </r>
    <r>
      <rPr>
        <sz val="11"/>
        <color theme="1"/>
        <rFont val="Calibri"/>
        <family val="2"/>
        <scheme val="minor"/>
      </rPr>
      <t xml:space="preserve"> - average usage per square foot – not adjusted</t>
    </r>
  </si>
  <si>
    <t>Total Sqft of MF GM buildings</t>
  </si>
  <si>
    <t>**RW- ReportingWarehouse Participant Data</t>
  </si>
  <si>
    <t>**For MF1- MF  participant counts are based on Service account</t>
  </si>
  <si>
    <t>MF (individual) = 827 sqft</t>
  </si>
  <si>
    <t>**For D4 Premise ID used for Property</t>
  </si>
  <si>
    <t>Commercial</t>
  </si>
  <si>
    <t>First Year Annual and Lifecycle ExAnte(Pre-Evaluation) Gas, 
Electric, and Demand Savings (Gross and Net) for Commercial customers</t>
  </si>
  <si>
    <t>First Year Annual and Lifecycle ExAnte(Pre-Evaluation) Gas, 
Electric, and Demand Savings (Gross and Net)  as a percentage
of overall sectoral usage</t>
  </si>
  <si>
    <t>Annualized Gross KW</t>
  </si>
  <si>
    <t>Total Usage of Commercial Sector</t>
  </si>
  <si>
    <t>Annualized Net KW</t>
  </si>
  <si>
    <t>Annualized Gross KWh</t>
  </si>
  <si>
    <t>Annualized Net KWh</t>
  </si>
  <si>
    <t xml:space="preserve">Annualized Gross Therm Saved </t>
  </si>
  <si>
    <t xml:space="preserve">Annualized Net Therm Saved </t>
  </si>
  <si>
    <t>Annualized Gross kW LifeCycle Saved</t>
  </si>
  <si>
    <t>Annualized Net kW LifeCycle Saved</t>
  </si>
  <si>
    <t xml:space="preserve">Annualized Gross kWh Saved </t>
  </si>
  <si>
    <t xml:space="preserve">Annualized Net kWh Saved </t>
  </si>
  <si>
    <t xml:space="preserve">Annualized Gross Therm LifeCycle Saved </t>
  </si>
  <si>
    <t>Annualized Net Therm LifeCycle Saved</t>
  </si>
  <si>
    <t>D2: Depth of intervention by project</t>
  </si>
  <si>
    <t>Energy Savings Gross Therm as a fraction of project consumption</t>
  </si>
  <si>
    <t>Energy savings (lifecycle gross kW) as a fraction of total project consumption.</t>
  </si>
  <si>
    <t>Lifecycle gross kW</t>
  </si>
  <si>
    <t>Total Usage of the all Commercial Customers with Projects</t>
  </si>
  <si>
    <t>Energy savings (lifecyce kWh) as a fraction of total project consumption.</t>
  </si>
  <si>
    <t>Lifecycle kWh</t>
  </si>
  <si>
    <t>Energy savings (lifecycle Therms) as a fraction of total project consumption.</t>
  </si>
  <si>
    <t xml:space="preserve">LifecycLe Therm </t>
  </si>
  <si>
    <t>P1: Penetration of Energy Efficiency Programs in the Eligible Market Metric</t>
  </si>
  <si>
    <r>
      <t xml:space="preserve">Commercial Sector Participants relative to eligible population for Small, Medium, and Large Customer </t>
    </r>
    <r>
      <rPr>
        <b/>
        <sz val="11"/>
        <rFont val="Calibri"/>
        <family val="2"/>
        <scheme val="minor"/>
      </rPr>
      <t>(Downstream)</t>
    </r>
  </si>
  <si>
    <t>Percent of participation relative to eligible population - Large</t>
  </si>
  <si>
    <t># Commercial Participants Large</t>
  </si>
  <si>
    <t># Commercial Customers Populuation Large</t>
  </si>
  <si>
    <t>Percent of participation relative to eligible population - Medium</t>
  </si>
  <si>
    <t># Commercial Participants Medium</t>
  </si>
  <si>
    <t># Commercial Customers Population Medium</t>
  </si>
  <si>
    <t>Percent of participation relative to eligible population - Small</t>
  </si>
  <si>
    <t># Commercial Participants Small</t>
  </si>
  <si>
    <t># Commercial Customers Populuation Small</t>
  </si>
  <si>
    <t>P2: Penetration of energy efficiency</t>
  </si>
  <si>
    <t>Percent of Square feet of eligible population</t>
  </si>
  <si>
    <t>Sum of each participant Sq footage</t>
  </si>
  <si>
    <t>Number of Square feet of Eligible Population</t>
  </si>
  <si>
    <t>P4: Penetration of energy efficiency</t>
  </si>
  <si>
    <t>Number of Commercial Participants in HTR</t>
  </si>
  <si>
    <t>Number of Commercial in HTR</t>
  </si>
  <si>
    <t>P2: Penetration of EE programs (sqft of eligible population)</t>
  </si>
  <si>
    <t>SqFt of benchmarked commercial buildings in Portfolio Mgr</t>
  </si>
  <si>
    <t>Number of Sq. Ft. participation(Sum of each participant Sqft)</t>
  </si>
  <si>
    <t>Benchmarking penetration for commercial sector</t>
  </si>
  <si>
    <t>Benchmarked Customers relative to eligible population</t>
  </si>
  <si>
    <r>
      <t xml:space="preserve">Percent of benchmarked customers relative to eligible population for </t>
    </r>
    <r>
      <rPr>
        <b/>
        <sz val="11"/>
        <color theme="1"/>
        <rFont val="Calibri"/>
        <family val="2"/>
        <scheme val="minor"/>
      </rPr>
      <t>large</t>
    </r>
    <r>
      <rPr>
        <sz val="11"/>
        <color theme="1"/>
        <rFont val="Calibri"/>
        <family val="2"/>
        <scheme val="minor"/>
      </rPr>
      <t xml:space="preserve"> customers</t>
    </r>
  </si>
  <si>
    <t># Commercial Customer participant in Benchmark (Large)</t>
  </si>
  <si>
    <t># Commercial Customer (Large)</t>
  </si>
  <si>
    <r>
      <t xml:space="preserve">Percent of benchmarked customers relative to eligible population for </t>
    </r>
    <r>
      <rPr>
        <b/>
        <sz val="11"/>
        <color theme="1"/>
        <rFont val="Calibri"/>
        <family val="2"/>
        <scheme val="minor"/>
      </rPr>
      <t>medium</t>
    </r>
    <r>
      <rPr>
        <sz val="11"/>
        <color theme="1"/>
        <rFont val="Calibri"/>
        <family val="2"/>
        <scheme val="minor"/>
      </rPr>
      <t xml:space="preserve"> customers</t>
    </r>
  </si>
  <si>
    <t># Commercial Customer participant in Benchmark(Medium)</t>
  </si>
  <si>
    <t># Commercial Customer (Medium)</t>
  </si>
  <si>
    <r>
      <t xml:space="preserve">Percent of benchmarked customers relative to eligible population for </t>
    </r>
    <r>
      <rPr>
        <b/>
        <sz val="11"/>
        <color theme="1"/>
        <rFont val="Calibri"/>
        <family val="2"/>
        <scheme val="minor"/>
      </rPr>
      <t>small </t>
    </r>
    <r>
      <rPr>
        <sz val="11"/>
        <color theme="1"/>
        <rFont val="Calibri"/>
        <family val="2"/>
        <scheme val="minor"/>
      </rPr>
      <t xml:space="preserve"> customers</t>
    </r>
  </si>
  <si>
    <t># Commercial Customer participant in Benchmark (Small)</t>
  </si>
  <si>
    <t># Commercial Customer (Small)</t>
  </si>
  <si>
    <t>Percent of participation by customers defined as HTR</t>
  </si>
  <si>
    <t># Commercial Customer Benchmark(HTR)</t>
  </si>
  <si>
    <t># Commercial  Population HTR</t>
  </si>
  <si>
    <t>PAC</t>
  </si>
  <si>
    <t>**Sector Savings do not include C&amp;S or ESA</t>
  </si>
  <si>
    <t>**For COM1- COM Therm Savings exclude missing BA_IDs for COM Customers (BA_ID level) because participant counts are based on the BA_ID(service account) level</t>
  </si>
  <si>
    <t>**CO2 includes at the ClaimID Level</t>
  </si>
  <si>
    <t>**GrossGasCO2 = GrossElecCO2 + GrossGasCO2</t>
  </si>
  <si>
    <t>**Number of Commercial Customer participant in Benchmark sources from RW out of the Commercial Customer in Portfolio Manager</t>
  </si>
  <si>
    <t>**RW- ReportingWarehouse, EE Claim Database; CIS-Customer Information System; BA_ID (Service Account)</t>
  </si>
  <si>
    <t>Investment in Energy Efficiency</t>
  </si>
  <si>
    <t>Total incentive</t>
  </si>
  <si>
    <t>Total project cost</t>
  </si>
  <si>
    <t> =TotalIncentive(COM, RW)/Total Expenditure (SCG-COM, CEDARS)=6,069,606/17,813,417=34%</t>
  </si>
  <si>
    <t>Public</t>
  </si>
  <si>
    <t xml:space="preserve">
S1: Energy Savings</t>
  </si>
  <si>
    <t xml:space="preserve">
GHG</t>
  </si>
  <si>
    <t>Annualized LifeCycle</t>
  </si>
  <si>
    <t>Total Number of Projects/Building in the Public Sector</t>
  </si>
  <si>
    <t>D5: Depth of interventions per square foot</t>
  </si>
  <si>
    <t>Average Energy Savings (therms) per Project Building Floor Plan Area</t>
  </si>
  <si>
    <t>Life Cycle Net Average of Savings per Sq.Ft</t>
  </si>
  <si>
    <t>Annualized LifeCycle Net Therm Saved for all Public Projects</t>
  </si>
  <si>
    <t>Total Number of Sq. Ft Area for the Public Sector Participants</t>
  </si>
  <si>
    <t>Average Energy Savings (therms) per Project Water/Wastewater Facilities</t>
  </si>
  <si>
    <t>Average of Savings per Gallons</t>
  </si>
  <si>
    <t>Annualized Therm Saved for all Public 
Projects of Waste Water Projects</t>
  </si>
  <si>
    <t>Total Number of Wastewater Projects</t>
  </si>
  <si>
    <t>P1: Penetration of energy efficiency programs in the elibible market ++ Percent of participation</t>
  </si>
  <si>
    <t>Public Sector Participants relative to eligible population 
for Small, Medium, and Large Customer</t>
  </si>
  <si>
    <t>Number of Public Sector participant</t>
  </si>
  <si>
    <t>Number of Public Accounts</t>
  </si>
  <si>
    <t>P2: Pen SQ FT</t>
  </si>
  <si>
    <t>Total Square Footage of Public Sector participants</t>
  </si>
  <si>
    <t>Total Square Footage of Public Sector Customers</t>
  </si>
  <si>
    <t>W2-Water</t>
  </si>
  <si>
    <t xml:space="preserve">Percent of Public Sector Water/Wastewater enrolled </t>
  </si>
  <si>
    <t>Total Public Participants Millions of Gallons</t>
  </si>
  <si>
    <t>Total Wastewater (non-building) in Millions of Gallons</t>
  </si>
  <si>
    <t>LifeCycleNetkW</t>
  </si>
  <si>
    <t>Energy Intensity per public building sector building</t>
  </si>
  <si>
    <t>Average Energy Use Intensity of all Public Sector Building</t>
  </si>
  <si>
    <t>Average Energy use of all Public Sector in KBtu/Sqft</t>
  </si>
  <si>
    <t>Total KWH of all Public Customer</t>
  </si>
  <si>
    <t>Total Sqft of all Public buildings</t>
  </si>
  <si>
    <t>Percent of Public Sector building benchmarked</t>
  </si>
  <si>
    <t>Number of Public Accounts with Benchmark</t>
  </si>
  <si>
    <t>Number of Public Customer Participants in Sq. Ft in Portfolio Manager (Sqft Public Accounts Benchmark)</t>
  </si>
  <si>
    <t>Total Numbers of Sq. Ft in Portfolio Manager 
(Sqft Public Account=22,966 sqft * # Public Accounts)</t>
  </si>
  <si>
    <t>Industrial</t>
  </si>
  <si>
    <t>Penetration of energy efficiency programs in the eligible market</t>
  </si>
  <si>
    <t>Industrial Sector Participants relative to eligible population 
for Small, Medium, and Large Customer</t>
  </si>
  <si>
    <t>Percent of eligible population for Large Customer in Industrial Sector</t>
  </si>
  <si>
    <t># Industrial Participants - Large</t>
  </si>
  <si>
    <t># Industrial Customers Large</t>
  </si>
  <si>
    <t>Percent of eligible population for Medium Customer in Industrial Sector</t>
  </si>
  <si>
    <t>#  Industrial Participants - Medium</t>
  </si>
  <si>
    <t># Industrial Customers Medium</t>
  </si>
  <si>
    <t>Percent of eligible population for Small Customer in Industrial Sector</t>
  </si>
  <si>
    <t># Industrial Participants - Small</t>
  </si>
  <si>
    <t># Industrial Customers Small</t>
  </si>
  <si>
    <t>New Participation</t>
  </si>
  <si>
    <t>Percent of customers participating that have not received an incentive for the last three years, annually, by SML customer categories</t>
  </si>
  <si>
    <t>Percent of New Participants by Large Customer</t>
  </si>
  <si>
    <t>N/A -  Indicator</t>
  </si>
  <si>
    <t># New large participants in the past three year</t>
  </si>
  <si>
    <t># Industrial Customer Large</t>
  </si>
  <si>
    <t>Percent of New Participants by Medium Customer</t>
  </si>
  <si>
    <t># New medium participants in the past three year</t>
  </si>
  <si>
    <t>Percent of New Participants by Small Customer</t>
  </si>
  <si>
    <t># new large participants in the past three year</t>
  </si>
  <si>
    <t>Agricultural</t>
  </si>
  <si>
    <t xml:space="preserve">First Year Annual and Lifecycle ExAnte(Pre-Evaluation) Gas, 
Electric, and Demand Savings (Gross and Net) </t>
  </si>
  <si>
    <t>Agricultural Sector Participants relative to eligible population 
for Small, Medium, and Large Customer</t>
  </si>
  <si>
    <t>Percent of eligible population for Small Customer in Agricultural Sector</t>
  </si>
  <si>
    <t># Agricultural Participants - Small</t>
  </si>
  <si>
    <t># Agricultural Customer Small</t>
  </si>
  <si>
    <t>Percent of eligible population for Medium Customer in Agricultural Sector</t>
  </si>
  <si>
    <t># Agricultural Participants - Medium</t>
  </si>
  <si>
    <t># Agricultural Customers Medium</t>
  </si>
  <si>
    <t>Percent of eligible population for Large Customer in Agricultural Sector</t>
  </si>
  <si>
    <t># Agricultural Participants - Large</t>
  </si>
  <si>
    <t># Agricultural Customers Large</t>
  </si>
  <si>
    <t>Codes and Standards</t>
  </si>
  <si>
    <t>NOTE:  Codes and Standards is a statewide program.  Subsequently, all IOUs file the same C&amp;S metrics.</t>
  </si>
  <si>
    <t>Data Type</t>
  </si>
  <si>
    <t>2016 (Baseline)</t>
  </si>
  <si>
    <t>2017 Achievements</t>
  </si>
  <si>
    <t>2018 Achievements</t>
  </si>
  <si>
    <t>Comments</t>
  </si>
  <si>
    <t xml:space="preserve"> # IOUs supported/# DOE adopted
</t>
  </si>
  <si>
    <t>3000 attendees for live training and 600 attendees for webinars in 2017; short, mid, and long-term targets are annual.  Attendees will be shown by major segment (i.e., building officials, builders, architects, HERS raters) and target size of each segment will be provided during first metrics reporting.</t>
  </si>
  <si>
    <t>Workforce Education &amp; Training</t>
  </si>
  <si>
    <t>"Collaborations" mean sharing mutually-beneficial  resources such as training materials, expertise, and marketing/outreach tactics that help achieve WE&amp;T goals and outcomes.</t>
  </si>
  <si>
    <t>Sector:
Residential - 889               
Nonresidential - 5,814   
Segment:                 
HVAC - 2507                              
Lighting - 239                                 
Codes &amp; Standards - 896  
Foodservice - 125                        
Renewables &amp; Sustainability - 730 
Home Performance - N/A                      
Real Estate - N/A                                
Rates, Rebate &amp; Incentive Programs -  321  
Zero-Net Energy - 103
*Data was not tracked in line with other segments                            
Building Design, Construction and Performance - N/A</t>
  </si>
  <si>
    <t xml:space="preserve">"Participation" means aggregate class attendance, meaning that one person attending two classes throughout the year would qualify a participation of two.
“Curriculum” refers to the portfolio of training programs offered by WE&amp;T
“Eligible target population” refers to the energy efficiency labor workforce within each PA's service territory.
</t>
  </si>
  <si>
    <t>“Disadvantaged Worker” means a worker that (1) has a referral from a collaborating community-based organization (CBO), state agency, or workforce investment board; or (2) lives in a ZIP code that is in the top 25% in one or more of the five socioeconomic indicators as defined in the California Office of Environmental Health Hazard Assessment’s CalEnviroScreen Tool. These socioeconomic indicators are educational attainment, housing burden, linguistic isolation, poverty, and unemployment.</t>
  </si>
  <si>
    <t>“Applicable” incentive contract spend includes programs that install, modify, repair, or maintain EE equipment where the incentive is paid to an entity other than a manufacturer,
distributor, or retailer of equipment. This applicability standard is adopted from the language the July 9th ruling on workforce standards. It excludes contracts such as those for upstream incentives, Codes and Standards, and mid-stream distributor programs. 
“Demonstrated commitment” means that the vendor submits a plan describing how the program will provide disadvantaged workers with improved access to career opportunities in the energy efficiency industry, that they regularly report the percentage of their workforce qualifying as “disadvantaged”, and that they have long-term targets for the percentage of their  workforce qualifying as “disadvantaged”.
See "Disadvantaged worker" above.</t>
  </si>
  <si>
    <t>Total SF Households</t>
  </si>
  <si>
    <t>Annual usage for Single Family per household per Kbtu</t>
  </si>
  <si>
    <t>Energy Savings Gross kW fraction of project consumption</t>
  </si>
  <si>
    <t>Energy Savings Gross kWh as a fraction of project consumption</t>
  </si>
  <si>
    <t>N/A - The statewide goals to be tracked are still under collaborative discussion with ED and not yet available; hence, no data will be reported for 2019</t>
  </si>
  <si>
    <t>2019 Achievements</t>
  </si>
  <si>
    <t>LifeCycleNetkWh</t>
  </si>
  <si>
    <t>2018 achievement includes spillover effects; 2019 does not include spillover effects.</t>
  </si>
  <si>
    <t>79 measuress "supported" in uncompleted CASE studies.</t>
  </si>
  <si>
    <t>Title 24 operates on a three year cycle so adoptions will not occur for the 2022 cycle until mid-year 2021.</t>
  </si>
  <si>
    <t>12 measureess "supported" in uncompleted CASE studies..</t>
  </si>
  <si>
    <t>Spray sprinkler bodies; GSLs; and compressors.</t>
  </si>
  <si>
    <t>VRF product - test procedure and standard were both adopted.</t>
  </si>
  <si>
    <t>One out of 27 supported were adopted.</t>
  </si>
  <si>
    <t>Carlsbad, Davis, and Los Angeles County are included for Reach codes exceeding the 2016 Standards. Carlsbad, Marin County, Menlo Park, San Jose, San Mateo, Santa Monica, and West Hollywood are included for Reach codes exceeding the 2019 Standards.</t>
  </si>
  <si>
    <t>118 Traditional classromm; 17 webinars; 38 virtual classroom; 17 on line, on demand -- data for PG&amp;E, SDG&amp;E, and SCE.</t>
  </si>
  <si>
    <t>1888 Traditional classromm; 834 webinars; 613 virtual classroom; 275 on line, on demand -- data for PG&amp;E, SDG&amp;E, and SCE.</t>
  </si>
  <si>
    <t>Knowledge score based absolute knowledge swing for 498 PG&amp;E test pairs  and 10 SDG&amp;E test pairs.  Matched pre and post tests are required.  Testing is not done on one hour classes due to instructional time constraints.</t>
  </si>
  <si>
    <t xml:space="preserve">Sector:
Residential - 520
Nonresidential - 5,566
Segment:                 
Building Design &amp; Construction - 350
Building Performance - 336
Commercial &amp; Industrial Energy Process &amp; Technoloby (CIEPT) - 334
Energy Codes &amp; Standards - 699
Food Service - 82
Home Performance - 541
HVAC -   2,163                           
Lighting - 150             
Market, Finance &amp; Sales - 243
Rates, Rebate &amp; Incentive Programs - 259
Real Estate - 333         
Renewable Energy &amp; Sustainability -  483            
Zero-Net Energy - 113
*Data was not tracked in line with other segments </t>
  </si>
  <si>
    <t xml:space="preserve">Report from class registration database. </t>
  </si>
  <si>
    <t>Annual kBtu Usage for MF GM Accounts</t>
  </si>
  <si>
    <r>
      <t>Greenhouse Gas (MT CO2) Savings, reported on an annual basis</t>
    </r>
    <r>
      <rPr>
        <b/>
        <vertAlign val="superscript"/>
        <sz val="11"/>
        <color theme="1"/>
        <rFont val="Calibri"/>
        <family val="2"/>
        <scheme val="minor"/>
      </rPr>
      <t>1</t>
    </r>
  </si>
  <si>
    <r>
      <t>Greenhouse gases (MT CO2eq) savings, reported on an annual basis</t>
    </r>
    <r>
      <rPr>
        <b/>
        <vertAlign val="superscript"/>
        <sz val="11"/>
        <color theme="1"/>
        <rFont val="Calibri"/>
        <family val="2"/>
        <scheme val="minor"/>
      </rPr>
      <t>1</t>
    </r>
  </si>
  <si>
    <t>Energy Savings per Project (Property) - Downstream</t>
  </si>
  <si>
    <t>Average Savings  per Sq.Ft - Downstream</t>
  </si>
  <si>
    <r>
      <t>Annual kBtu Usage for MF HH Accounts</t>
    </r>
    <r>
      <rPr>
        <u/>
        <vertAlign val="superscript"/>
        <sz val="11"/>
        <color theme="1"/>
        <rFont val="Calibri"/>
        <family val="2"/>
        <scheme val="minor"/>
      </rPr>
      <t>2</t>
    </r>
  </si>
  <si>
    <t>2. Conversion formulas used: Electric conversion kBtu = kWh x 3.142.  Gas conversion kBtu = therm x 99.97612449</t>
  </si>
  <si>
    <r>
      <t>Annual electric and gas Usage converted to kBtu for SF HH Accounts</t>
    </r>
    <r>
      <rPr>
        <u/>
        <vertAlign val="superscript"/>
        <sz val="11"/>
        <color theme="1"/>
        <rFont val="Calibri"/>
        <family val="2"/>
        <scheme val="minor"/>
      </rPr>
      <t>2</t>
    </r>
  </si>
  <si>
    <t>1. CO2 savings by kWh and therm per EPA Website &lt;https://www.epa.gov/energy/greenhouse-gases-equivalencies-calculator-calculations-and-references&gt;.</t>
  </si>
  <si>
    <r>
      <t>Greenhouse Gas (MT CO2) Savings, reported on an annual basis</t>
    </r>
    <r>
      <rPr>
        <b/>
        <vertAlign val="superscript"/>
        <sz val="11"/>
        <color theme="1"/>
        <rFont val="Calibri"/>
        <family val="2"/>
        <scheme val="minor"/>
      </rPr>
      <t>2</t>
    </r>
  </si>
  <si>
    <t>2020 Achievments</t>
  </si>
  <si>
    <t>2020 Achievements</t>
  </si>
  <si>
    <t xml:space="preserve">Sector: 
Residential - 185
Nonresidential - 7,036
Segment:                 
Building Design &amp; Construction - 606
Building Performance - 326
Commercial &amp; Industrial Energy Process &amp; Technology (CIEPT) - 180
*Energy Codes &amp; Standards (CNS) - 441
Food Service - 28
Home Performance - 471
HVAC - 3855
Lighting - 104
Market, Finance &amp; Sales - 516
Rates, Rebate &amp; Incentive Programs - 108 
Real Estate - 187
Renewable Energy &amp; Sustainability - 383
Zero-Net Energy - 16
*Data was not tracked in line with other segments </t>
  </si>
  <si>
    <t xml:space="preserve">* Please note, the Codes &amp; Standards segment participation number (441) represents the number of attendees who participated in a Codes &amp; Standards class through the promotion of Workforce Education &amp; Training classes. Although the promotion may not have been limited to Workforce Education &amp; Training, attendees were able to register and participate through efforts provided by the Workforce Education &amp; Training program. Participants in this segment are also reflected in C&amp;S attendance metric. </t>
  </si>
  <si>
    <t>2021 Achievements</t>
  </si>
  <si>
    <t>8</t>
  </si>
  <si>
    <t xml:space="preserve"> Sector:
 Residential = 605  
Non-res= 8244
Segment: 
Agriculture - 59               
Building Design &amp; Construction - 1065
Building Performance - 191 
Commercial &amp; Industrial Energy Process &amp; Technology (CIEPT) - 244
Energy Codes &amp; Standards - 36
Food Service - 35
Home Performance - 719
HVAC - 4699
Lighting - 246
Market, Finance &amp; Sales - 654
Rates, Rebate &amp; Incentive Programs - 43
Real Estate - 295
Renewable Energy &amp; Sustainability - 232
Zero-Net Energy - 331
*Data was not tracked in line with other segments                            </t>
  </si>
  <si>
    <t>`</t>
  </si>
  <si>
    <t xml:space="preserve"> N/A - Indicator</t>
  </si>
  <si>
    <t xml:space="preserve"> N/A</t>
  </si>
  <si>
    <t xml:space="preserve">Short Term Target (2018) </t>
  </si>
  <si>
    <t xml:space="preserve">Short Term Target (2019) </t>
  </si>
  <si>
    <t xml:space="preserve">Short Term Target (2020) </t>
  </si>
  <si>
    <t>Table 9: Metrics Compliance Filing</t>
  </si>
  <si>
    <t>Metric/
Indicator</t>
  </si>
  <si>
    <t>Baseline Year</t>
  </si>
  <si>
    <t>Baseline Number</t>
  </si>
  <si>
    <t>Baseline Num</t>
  </si>
  <si>
    <t>Baseline Denom</t>
  </si>
  <si>
    <t xml:space="preserve">2018 Achievements </t>
  </si>
  <si>
    <t xml:space="preserve">2019 Achievements </t>
  </si>
  <si>
    <t>Short Term Annual Targets (2018-2020)</t>
  </si>
  <si>
    <t>Mid Term Annual Targets
 (2021-2023)</t>
  </si>
  <si>
    <t>Long Term Annual Target 
(2024-2025)</t>
  </si>
  <si>
    <t>2020
 Achievements</t>
  </si>
  <si>
    <t xml:space="preserve">Proxy Explanation
</t>
  </si>
  <si>
    <t>Greenhouse gasses (MT CO2eq) Net kWh savings, reported on an annual basis</t>
  </si>
  <si>
    <t>Calculated using CET, and reported by sector consistent with primary sector groupings in CEDARS PROGRAM specification. Includes Codes and Standards. BayREN, MCE, and ESA not included.</t>
  </si>
  <si>
    <t>Includes CO2 but not NOX and PM10 as these are not GHG equivalents.  New GHG added to CET for 2018.
As of April 19, 2020, electric C02 emissions reduction values output by the Cost Effectiveness Tool (CET) and displayed in CEDARS are under investigation. Per an email from Energy Division staff to Program Administrators on February 6, 2020, these values appear to undercount C02 emissions reductions. As a result, the C02 emissions reduction values may be revised in the future, with final, up-to-date values available for review in CEDARS. For 2019, this metric  shows the value in CEDARS as of April 19, 2020, the date the report was finalized.</t>
  </si>
  <si>
    <t>First year annual and lifecycle ex‐ante (pre‐evaluation) gas, electric, and demand savings (gross and net)</t>
  </si>
  <si>
    <t xml:space="preserve">Portfolio Energy Savings include Codes and Standards, ESA, Bay Area Regional Energy Network (BayREN), and Marin Clean Energy (MCE), consistent with how portfolio savings are reported in the annual reports. 2016 achievements align with savings reported in 2016 Annual Report. 
Targets are aligned with CPUC adopted goals in D.17-09-025 and the 2018 Potential and Goals Study. </t>
  </si>
  <si>
    <t>Codes and Standards savings are net with 5% market effects.</t>
  </si>
  <si>
    <t>PL1-S1- First year annual and lifecycle ex‐ante (pre‐evaluation) gas, electric, and demand savings (gross and net)••</t>
  </si>
  <si>
    <t>First year annual and lifecycle ex‐ante (pre‐evaluation) gas, electric, and demand savings (gross and net) in disadvantaged communities</t>
  </si>
  <si>
    <t>Baseline data aligns with underlying savings data reported in the 2016 Annual Report. Targets align with the movement of overall portfolio savings goals.</t>
  </si>
  <si>
    <t>DAC definition adopted in D.18-05-041</t>
  </si>
  <si>
    <t xml:space="preserve">Please note that during data quality review, this 2018 metric was found to be incorrectly entered into Index 19, when it should have been entered into Index 21.  </t>
  </si>
  <si>
    <t xml:space="preserve">Please note that during data quality review, this 2018 metric was found to be incorrectly entered into Index 20, when it should have been entered into Index 22.  </t>
  </si>
  <si>
    <t xml:space="preserve">Please note that during data quality review, this 2018 metric was found to be incorrectly entered into Index 21, when it should have been entered into Index 19.  </t>
  </si>
  <si>
    <t xml:space="preserve">Please note that during data quality review, this 2018 metric was found to be incorrectly entered into Index 22, when it should have been entered into Index 20.  </t>
  </si>
  <si>
    <t>First year annual and lifecycle ex‐ante (pre‐evaluation) gas, electric, and demand savings (gross and net) in hard‐to‐reach markets</t>
  </si>
  <si>
    <t>HTR definition adopted in D.18-05-041</t>
  </si>
  <si>
    <t>First year annual kWh net in Hard-to-Reach Markets</t>
  </si>
  <si>
    <t>First year annual Therm gross in Hard-to-Reach Markets</t>
  </si>
  <si>
    <t>First year annual Therm net in Hard-to-Reach Markets</t>
  </si>
  <si>
    <t>Lifecycle ex-ante kW gross in Hard-to-Reach Markets</t>
  </si>
  <si>
    <t>Lifecycle ex-ante kW net in Hard-to-Reach Markets</t>
  </si>
  <si>
    <t>Lifecycle ex-ante kWh gross in Hard-to-Reach Markets</t>
  </si>
  <si>
    <t>Lifecycle ex-ante kWh net in Hard-to-Reach Markets</t>
  </si>
  <si>
    <t>Lifecycle ex-ante Therm gross in Hard-to-Reach Markets</t>
  </si>
  <si>
    <t>Lifecycle ex-ante Therm net in Hard-to-Reach Markets</t>
  </si>
  <si>
    <t>Levelized cost of energy efficiency per kWh, therm and kW (use both TRC and PAC)</t>
  </si>
  <si>
    <t xml:space="preserve">Levelized costs are reported by sector consistent with primary sector groupings in CEDARS PROGRAM specifications. 
PAC cost per kWh or per therm or per kW is (PAC Cost x Electric Benefits/Total Benefits)/Lifecycle Net kWh or (PAC Cost x Gas Benefits/Total Benefits)/Lifecycle Net therm or (PAC Cost x Electric Benefits/Total Benefits)/Lifecycle Net kW respectively 
The adopted avoided cost methodology does not provide information to provide a meaningful value for TRC or PAC Cost per kW
Portfolio TRC and PAC excludes ESA, BayREN, and MCE benefits and program costs, SW ET program costs per D.12-11-015 (p. 52), and Financing OBF Loan Pool amounts per D.09-09-047 (p. 288).
</t>
  </si>
  <si>
    <t>Levelized costs do not include codes and standards, per D.18-05-041.</t>
  </si>
  <si>
    <t>Levelized costs are reported by sector consistent with primary sector groupings in CEDARS PROGRAM specifications. 
PAC cost per kWh or per therm or per kW is (PAC Cost x Electric Benefits/Total Benefits)/Lifecycle Net kWh or (PAC Cost x Gas Benefits/Total Benefits)/Lifecycle Net therm or (PAC Cost x Electric Benefits/Total Benefits)/Lifecycle Net kW respectively 
Portfolio TRC and PAC excludes ESA, BayREN, and MCE benefits and program costs, SW ET program costs per D.12-11-015 (p. 52), and Financing OBF Loan Pool amounts per D.09-09-047 (p. 288).</t>
  </si>
  <si>
    <t xml:space="preserve">Levelized costs are reported by sector consistent with primary sector groupings in CEDARS PROGRAM specifications. 
PAC cost per kWh or per therm or per kW is (PAC Cost x Electric Benefits/Total Benefits)/Lifecycle Net kWh or (PAC Cost x Gas Benefits/Total Benefits)/Lifecycle Net therm or (PAC Cost x Electric Benefits/Total Benefits)/Lifecycle Net kW respectively 
Portfolio TRC and PAC excludes ESA, BayREN, and MCE benefits and program costs, SW ET program costs per D.12-11-015 (p. 52), and Financing OBF Loan Pool amounts per D.09-09-047 (p. 288).
</t>
  </si>
  <si>
    <t>Levelized costs are reported by sector consistent with primary sector groupings in CEDARS PROGRAM specifications. 
TRC cost per kWh or per therm or per kW is (TRC Cost x Electric Benefits/Total Benefits)/Lifecycle Net kWh or (TRC Cost x Gas Benefits/Total Benefits)/Lifecycle Net therm or (TRC Cost x Electric Benefits/Total Benefits)/Lifecycle Net  kW  
The adopted avoided cost methodology does not provide information to provide a meaningful value for TRC or PAC Cost per kW. 
Portfolio TRC and PAC excludes ESA, BayREN, and MCE benefits and program costs, SW ET program costs per D.12-11-015 (p. 52), and Financing OBF Loan Pool amounts per D.09-09-047 (p. 288).</t>
  </si>
  <si>
    <t>Levelized costs are reported by sector consistent with primary sector groupings in CEDARS PROGRAM specifications. 
TRC cost per kWh or per therm or per kW is (TRC Cost x Electric Benefits/Total Benefits)/Lifecycle Net kWh or (TRC Cost x Gas Benefits/Total Benefits)/Lifecycle Net therm or (TRC Cost x Electric Benefits/Total Benefits)/Lifecycle Net kW.
Portfolio TRC and PAC excludes ESA, BayREN, and MCE benefits and program costs, SW ET program costs per D.12-11-015 (p. 52), and Financing OBF Loan Pool amounts per D.09-09-047 (p. 288).</t>
  </si>
  <si>
    <t>Levelized costs are reported by sector consistent with primary sector groupings in CEDARS PROGRAM specifications. 
TRC cost per kWh or per therm or per kW is (TRC Cost x Electric Benefits/Total Benefits)/Lifecycle Net kWh or (TRC Cost x Gas Benefits/Total Benefits)/Lifecycle Net therm or (TRC Cost x Electric Benefits/Total Benefits)/Lifecycle Net  kW  
Portfolio TRC and PAC excludes ESA, BayREN, and MCE benefits and program costs, SW ET program costs per D.12-11-015 (p. 52), and Financing OBF Loan Pool amounts per D.09-09-047 (p. 288).</t>
  </si>
  <si>
    <t>First year annual and lifecycle ex‐ante (pre‐evaluation) gas, electric, and demand savings (gross and net) for Single Family Customers</t>
  </si>
  <si>
    <t xml:space="preserve">Baseline savings tie to 2016 Annual Report. Targets are aligned with CPUC adopted goals in D.17-09-025 and the 2018 Potential and Goals Study. </t>
  </si>
  <si>
    <t xml:space="preserve">Single family savings are based on dwelling type, and includes 83% of the savings from Residential Energy Advisor based on the portion of Home Energy Reports sent to single-family customers. </t>
  </si>
  <si>
    <t>2016 achievements align with savings reported in 2016 Annual Report.</t>
  </si>
  <si>
    <t xml:space="preserve">Calculated using CET, and reported in the MF segment by dwelling type. </t>
  </si>
  <si>
    <t>Includes CO2 but not NOX and PM10 as these are not GHG equivalents.
For details regarding electric C02 emissions reduction values, refer to note in cell AA5</t>
  </si>
  <si>
    <t>D1: Depth of interventions: Per downstream participant</t>
  </si>
  <si>
    <t>Average savings per participant in both opt‐in and opt‐out programs (broken down by downstream, midstream and upstream, as feasible)</t>
  </si>
  <si>
    <t xml:space="preserve">Numerator: Total downstream savings claimed
Denominator: Total number of downstream participants (unique premise and account IDs) </t>
  </si>
  <si>
    <t>D1: Depth of interventions: Per midstream participant</t>
  </si>
  <si>
    <t>Midstream methodology –NOT FEASIBLE••••Numerator: Total midstream savings claimed ••Denominator: (not available) number or sector of midstream participants</t>
  </si>
  <si>
    <t xml:space="preserve">Since it is currently unclear how to define midstream "participants," PAs and ED agreed to report only the numerator for this metric in the compliance filing. </t>
  </si>
  <si>
    <t>D1: Depth of interventions: Per opt out participant</t>
  </si>
  <si>
    <t xml:space="preserve">  N/A</t>
  </si>
  <si>
    <t>Numerator: net lifecycle savings from Home Energy Reports
Denominator: total number of Home Energy Reports</t>
  </si>
  <si>
    <t xml:space="preserve">1) Currently, the only opt-out program is the Home Energy Report using social norming through neighborhood comparisons 2) Per ED: “Energy savings” = lifecycle NET savings. </t>
  </si>
  <si>
    <t>D1: Depth of interventions: Per upstream participant</t>
  </si>
  <si>
    <t>Upstream methodology– NOT FEASIBLE••Numerator: Total upstream savings claimed••Denominator: (not available) number or sector of of upstream participants</t>
  </si>
  <si>
    <t xml:space="preserve">Since it is unclear how to define upstream "participants," PAs and ED agreed to report only the numerator for this metric in the compliance filing. </t>
  </si>
  <si>
    <t>P1: Penetration of energy efficiency programs in the eligible market: Percent of Participation</t>
  </si>
  <si>
    <t>Numerator: Number of downstream SF participants (unique account and premise IDs)
Denominator: total number of unique SF account and premise IDs</t>
  </si>
  <si>
    <t>"Participation" is defined as the first instance of participation.</t>
  </si>
  <si>
    <t>Numerator: Number of SF participants in DACs (unique account and premise IDs)
Denominator: Total number of SF customers in DACs (unique account and premise IDs)</t>
  </si>
  <si>
    <t>DAC customers defined in accordance with D.18-05-041</t>
  </si>
  <si>
    <t>Numerator: Number of SF HTR participants (unique account and premise IDs)
 Denominator: Total number of SF HTR customers (unique account and premise IDs)</t>
  </si>
  <si>
    <t>HTR customers defined in accordance with D.18-05-041.</t>
  </si>
  <si>
    <t xml:space="preserve">PAC cost per kWh or per therm or per kW is (PAC Cost x Electric Benefits/Total Benefits)/Lifecycle Net kWh or (PAC Cost x Gas Benefits/Total Benefits)/Lifecycle Net therm or (PAC Cost x Electric Benefits/Total Benefits)/Lifecycle Net kW respectively 
The adopted avoided cost methodology does not provide information to provide a meaningful value for TRC or PAC Cost per kW. 
</t>
  </si>
  <si>
    <t xml:space="preserve">Levelized costs are reported by sector consistent with primary sector groupings in CEDARS PROGRAM specifications. </t>
  </si>
  <si>
    <t xml:space="preserve">
PAC cost per kWh or per therm or per kW is (PAC Cost x Electric Benefits/Total Benefits)/Lifecycle Net kWh or (PAC Cost x Gas Benefits/Total Benefits)/Lifecycle Net therm or (PAC Cost x Electric Benefits/Total Benefits)/Lifecycle Net kW respectively 
</t>
  </si>
  <si>
    <t xml:space="preserve">PAC cost per kWh or per therm or per kW is (PAC Cost x Electric Benefits/Total Benefits)/Lifecycle Net kWh or (PAC Cost x Gas Benefits/Total Benefits)/Lifecycle Net therm or (PAC Cost x Electric Benefits/Total Benefits)/Lifecycle Net kW respectively 
</t>
  </si>
  <si>
    <t xml:space="preserve">TRC cost per kWh or per therm or per kW is (TRC Cost x Electric Benefits/Total Benefits)/Lifecycle Net kWh or (TRC Cost x Gas Benefits/Total Benefits)/Lifecycle Net therm or (TRC Cost x Electric Benefits/Total Benefits)/Lifecycle Net  kW  
The adopted avoided cost methodology does not provide information to provide a meaningful value for TRC or PAC Cost per kW. </t>
  </si>
  <si>
    <t xml:space="preserve">TRC cost per kWh or per therm or per kW is (TRC Cost x Electric Benefits/Total Benefits)/Lifecycle Net kWh or (TRC Cost x Gas Benefits/Total Benefits)/Lifecycle Net therm or (TRC Cost x Electric Benefits/Total Benefits)/Lifecycle Net  kW </t>
  </si>
  <si>
    <t xml:space="preserve">TRC cost per kWh or per therm or per kW is (TRC Cost x Electric Benefits/Total Benefits)/Lifecycle Net kWh or (TRC Cost x Gas Benefits/Total Benefits)/Lifecycle Net therm or (TRC Cost x Electric Benefits/Total Benefits)/Lifecycle Net  kW  </t>
  </si>
  <si>
    <t>Average energy use intensity of single family homes (average usage per household – not adjusted)</t>
  </si>
  <si>
    <t>Average electric and gas usage per household</t>
  </si>
  <si>
    <t>Household refers to a unique account and premise ID in SF segment</t>
  </si>
  <si>
    <t>First year annual and lifecycle ex‐ante (pre‐evaluation) gas, electric, and demand savings (gross and net) for multifamily customers (in‐unit, common area, and master metered accounts)</t>
  </si>
  <si>
    <t xml:space="preserve">All baseline savings tie to 2016 Annual Report. Targets are aligned with CPUC adopted goals in D.17-09-025 and the 2018 Potential and Goals Study. </t>
  </si>
  <si>
    <t>First year annual kW gross - Master Metered</t>
  </si>
  <si>
    <t>Energy savings (kWh, kw, therms) per project (building)</t>
  </si>
  <si>
    <t>Numerator: Total savings claimed for MF retrofit projects
Denominator: Number of buildings that have been retrofitted</t>
  </si>
  <si>
    <t>Average savings per participant Savings per project (property)</t>
  </si>
  <si>
    <t xml:space="preserve">Numerator - Total savings claimed for MF retrofit projects
Denominator - Number of participating properties </t>
  </si>
  <si>
    <t xml:space="preserve">Numerator: Total savings claimed for MF retrofit projects
Denominator: Number of participating properties </t>
  </si>
  <si>
    <t>D5: Depth of interventions: Per square foot</t>
  </si>
  <si>
    <t>Energy savings (kWh, kw, therms) per square foot</t>
  </si>
  <si>
    <t>Numerator: Total  MF savings
Denominator: Total number of unique MF premise and account IDs of participants multiplied by the average square footage of MF accounts</t>
  </si>
  <si>
    <t>Per ED: “Energy savings” = lifecycle NET savings. 
Includes savings attributed to MF customers for Home Energy Reports, as this metric refers to overall MF savings per square foot, instead of projects.</t>
  </si>
  <si>
    <t>Percent of participation relative to eligible population (by unit, and property)</t>
  </si>
  <si>
    <t>Numerator: Number of downstream MF projects
Denominator: Total number of unique account and premise IDs in the MF segment</t>
  </si>
  <si>
    <t xml:space="preserve">Numerator: Number of downstream participating MF units (unique account and premise IDs)
Denominator: Total number of unique account and premise IDs in the MF segment </t>
  </si>
  <si>
    <t>Participation is defined as the first instance of participation.</t>
  </si>
  <si>
    <t>Percent of square feet of eligible population participating (by property)</t>
  </si>
  <si>
    <t xml:space="preserve">Numerator: Square footage of participating MF customers (unique account and premise IDs)
Denominator: Square footage of all eligible accounts </t>
  </si>
  <si>
    <t>Numerator: Number of participants in disadvantaged communities (unique account and premise IDs)
Denominator: Total number of unique account and premise IDs in disadvantaged communities.</t>
  </si>
  <si>
    <t>Numerator: Number of HTR MF participants (unique account and premise IDs)
Denominator: Total number of MF HTR customers (unique account and premise IDs)</t>
  </si>
  <si>
    <t>MF Benchmarking Penetration</t>
  </si>
  <si>
    <t>This metric captures properties benchmarked  within the calendar year</t>
  </si>
  <si>
    <t>Benchmarking of HTR Properties</t>
  </si>
  <si>
    <t xml:space="preserve">
TRC cost per kWh or per therm or per kW is (TRC Cost x Electric Benefits/Total Benefits)/Lifecycle Net kWh or (TRC Cost x Gas Benefits/Total Benefits)/Lifecycle Net therm or (TRC Cost x Electric Benefits/Total Benefits)/Lifecycle Net  kW  
The adopted avoided cost methodology does not provide information to provide a meaningful value for TRC or PAC Cost per kW. </t>
  </si>
  <si>
    <t xml:space="preserve">
TRC cost per kWh or per therm or per kW is (TRC Cost x Electric Benefits/Total Benefits)/Lifecycle Net kWh or (TRC Cost x Gas Benefits/Total Benefits)/Lifecycle Net therm or (TRC Cost x Electric Benefits/Total Benefits)/Lifecycle Net  kW  </t>
  </si>
  <si>
    <t>Average energy use intensity of multifamily units. including in‐unit accounts)</t>
  </si>
  <si>
    <t>Average electric and gas usage per unit</t>
  </si>
  <si>
    <t>Average energy use intensity of multifamily buildings (average usage per square foot – not adjusted</t>
  </si>
  <si>
    <t>Average electric and gas usage per square foot</t>
  </si>
  <si>
    <t>Baseline data is reported consistent with primary sector groups in CEDARS PROGRAM specification and aligns with achievements reported in 2016 Annual Report. Targets were set using the 2018 Potential and Goals Study, consistent with CPUC-adopted goals in D.17-09-025.</t>
  </si>
  <si>
    <t>First year annual and lifecycle ex‐ante (pre‐evaluation) gas, electric, and demand savings (gross and net) as a percentage of overall sectoral usage</t>
  </si>
  <si>
    <t xml:space="preserve">Calculated using CET, and reported by sector consistent with primary sector groupings in CEDARS PROGRAM specification. </t>
  </si>
  <si>
    <t>Includes CO2 (in metric tons) but not NOX and PM10 as these are not GHG equivalents.
For details regarding electric C02 emissions reduction values, refer to note in cell AA5</t>
  </si>
  <si>
    <t>D2: Depth of interventions by project</t>
  </si>
  <si>
    <t>Energy savings (gross kWh, therms) as a fraction of total project consumption</t>
  </si>
  <si>
    <t>Did not calculate as Attachment A states: "Energy savings (gross kWh, therms) as a fraction of total project consumption. Does not include gross kW.</t>
  </si>
  <si>
    <t>Numerator: Energy savings claimed for commercial projects, consistent with CEDARS PROGRAM classification
Denominator: Energy usage baseline on application, against which project savings is calculated.</t>
  </si>
  <si>
    <t>“Project” is defined as “per application”</t>
  </si>
  <si>
    <t>Percent of participation relative to eligible population for small, medium, and large customers</t>
  </si>
  <si>
    <t>Numerator: Number of participating large customers (defined by unique combination of account and premise ID)
Denominator: Total number of large customers in the sector (defined by unique combination of account and premise ID)</t>
  </si>
  <si>
    <t xml:space="preserve">Participation is defined as the first instance of participation. Large customers are defined as those using greater than or equal to 500,000 kWh or 250,000 therms annually. </t>
  </si>
  <si>
    <t>Numerator: Number of participating medium customers (defined by unique combination of account and premise ID)
Denominator: Total number of medium customers in the sector (defined by unique combination of account and premise ID)</t>
  </si>
  <si>
    <t xml:space="preserve">Participation is defined as the first instance of participation. Medium customers are defined as those who use between 40,000-500,000kWh or 10,000-250,000 therms annually. </t>
  </si>
  <si>
    <t>Percent of participation relative to eligible population for  small customers</t>
  </si>
  <si>
    <t>Numerator: Number of participating small customers (defined by unique combination of account and premise ID)
Denominator: Total number of small customers in the sector (defined by unique combination of account and premise ID)</t>
  </si>
  <si>
    <t xml:space="preserve">Participation is defined as the first instance of participation. Small customers are defined as those who use less than 40,000 kWh or 10,000 therms annually. 
Targets are set at 5% in compliance with D.18-05-041. The methodology for capturing participation is still to be determined. </t>
  </si>
  <si>
    <t>Numerator: square footage of participating service commercial customers
Denominator: square footage of the commercial sector</t>
  </si>
  <si>
    <t>Numerator: Number of commercial HTR participants (unique account and premise ID)
Denominator: Total number of HTR commercial customers (unique account and premise ID)</t>
  </si>
  <si>
    <t>This metric includes buildings benchmarked  within the calendar year</t>
  </si>
  <si>
    <t>Percent of benchmarked customers relative to eligible population for large customers</t>
  </si>
  <si>
    <t>Percent of benchmarked customers relative to eligible population for medium customers</t>
  </si>
  <si>
    <t>Percent of benchmarked customers relative to eligible population for small  customers</t>
  </si>
  <si>
    <t>HTR customers defined based on D.18-05-041. 
This metric captures customers benchmarked within the calendar year.</t>
  </si>
  <si>
    <t xml:space="preserve">PAC cost per kWh or per therm or per kW is (PAC Cost x Electric Benefits/Total Benefits)/Lifecycle Net kWh or (PAC Cost x Gas Benefits/Total Benefits)/Lifecycle Net therm or (PAC Cost x Electric Benefits/Total Benefits)/Lifecycle Net kW respectively
</t>
  </si>
  <si>
    <t xml:space="preserve">TRC cost per kWh or per therm or per kW is (TRC Cost x Electric Benefits/Total Benefits)/Lifecycle Net kWh or (TRC Cost x Gas Benefits/Total Benefits)/Lifecycle Net therm or (TRC Cost x Electric Benefits/Total Benefits)/Lifecycle Net  kW respectively </t>
  </si>
  <si>
    <t xml:space="preserve">TRC cost per kWh or per therm or per kW is (TRC Cost x Electric Benefits/Total Benefits)/Lifecycle Net kWh or (TRC Cost x Gas Benefits/Total Benefits)/Lifecycle Net therm or (TRC Cost x Electric Benefits/Total Benefits)/Lifecycle Net  kW respectively
</t>
  </si>
  <si>
    <t>Fraction of total projects utilizing Normalized Metered Energy Consumption (NMEC) to estimate savings</t>
  </si>
  <si>
    <t>Per CAEECC meeting : “Fraction of total custom projects utilizing NMEC to estimate savings”.••••Data from CMPA (Custom Measure and Project Archive)</t>
  </si>
  <si>
    <t>Fraction of total savings (gross kWh and therm) derived from NMEC analysis</t>
  </si>
  <si>
    <t>Per CAEECC Meeting: “Fraction of total custom savings derived from NMEC analysis”.••••Data from CMPA.</t>
  </si>
  <si>
    <t>Improvement in customer satisfaction</t>
  </si>
  <si>
    <t>Improvement in trade ally satisfaction</t>
  </si>
  <si>
    <t xml:space="preserve">Numerator = Current Year Percentage - Baseline Year Percentage.  Denominator = Baseline Year Percentage.  </t>
  </si>
  <si>
    <t>Fraction of total investments made by ratepayers and private capital</t>
  </si>
  <si>
    <t xml:space="preserve"> Per CAEECC meeting: and ED :
Numerator: Total incentive amounts 
Denominator: Total project cost</t>
  </si>
  <si>
    <t>First year annual and lifecycle ex‐ante (pre‐evaluation) gas, electric, and demand savings (gross and net) across Public Sector programs</t>
  </si>
  <si>
    <t>Greenhouse gasses (MT CO2eq) based on net lifecycle kWh and Therms savings, reported on an annual basis, incorporating average fuel/technology mix</t>
  </si>
  <si>
    <t>Includes CO2 but not NOX and PM10 as these are not GHGs.
For details regarding electric C02 emissions reduction values, refer to note in cell AA5</t>
  </si>
  <si>
    <t>Average percent energy savings (kWh, kw, therms) per project building or facility</t>
  </si>
  <si>
    <t>Average annual energy savings (kWh, kw, therms) per project building floor plan area</t>
  </si>
  <si>
    <t>Numerator: Total downstream savings
Denominator Total number of service accounts participating. x average square footage of property</t>
  </si>
  <si>
    <t>Numerator: Total downstream savings
Denominator: Total number of service accounts participating. x average square footage of property</t>
  </si>
  <si>
    <t>Numeartor: Total downstream savings
Denominator: Total number of service accounts participating. x average square footage of property</t>
  </si>
  <si>
    <t>Average annual energy savings (kWh, kW therms) per annual flow through project water/wastewater facilities</t>
  </si>
  <si>
    <t>Numerator: claimed savings from water/wastewater customers
Denominator: Baseline energy usage as reported on project applications</t>
  </si>
  <si>
    <t>Numerator: Number of public sector unique account and premise IDs that participated in an EE program
Denominator: total number of unique account and premise IDs in the public sector</t>
  </si>
  <si>
    <t xml:space="preserve">Participation is defined as the first instance of participation. Public sector customers are defined by NAICS codes. </t>
  </si>
  <si>
    <t>Percent of estimated floorplan area (i.e., ft2) of all Public Sector buildings participating in building projects—estimate within +/‐15% of sector‐wide building area, +/‐5% of project building area</t>
  </si>
  <si>
    <t>Numerator: square footage of participating unique account and premise IDs
Denominator: Square footage of all unique public sector premise and account IDs times average number of buildings per account</t>
  </si>
  <si>
    <t>Percent of Public Sector water/wastewater flow (i.e.,
annual average Million Gallons per Day) enrolled in
non‐building water/wastewater programs—
estimate within +/‐20% of flow through eligible
facilities (treatment facilities pumping stations),
+/‐10% of flow through project facilities</t>
  </si>
  <si>
    <t>Total program‐backed financing distributed to Public Sector customers requiring repayment (i.e., loans, OBF)</t>
  </si>
  <si>
    <t xml:space="preserve">Total amount loaned through PA programs </t>
  </si>
  <si>
    <t>"Total program backed financing…requiring repayment" = total  loan amount</t>
  </si>
  <si>
    <t>Energy intensity per public sector building</t>
  </si>
  <si>
    <t xml:space="preserve"> Average energy use intensity of all Public Sector buildings</t>
  </si>
  <si>
    <t>Numerator: Total square footage of public buildings benchmarked within calendar year, in Portfolio Manager
Denominator: Total square footage of all benchmarked public sector buildings</t>
  </si>
  <si>
    <t>First year annualized and lifecycle ex‐ante (pre‐evaluation) gas, electric, and demand savings (gross and net) in industrial sector</t>
  </si>
  <si>
    <t>Percent of participation relative to eligible population for small, medium and large customers</t>
  </si>
  <si>
    <t>Participation is defined as the first instance of participation. Small customers are defined as those who use less than 40,000 kWh or 10,000 therms annually.</t>
  </si>
  <si>
    <t>Percent of customers participating that have not received an incentive for the past three years, annually, by small, medium and large customer categories</t>
  </si>
  <si>
    <t>Numerator: Annual number of large industrial participants (by service account) that have not received an incentive for the past 3 years 
Denominator: Total number of unique large industrial account and premise IDs  in the sector</t>
  </si>
  <si>
    <t xml:space="preserve"> Large customers are defined as those using greater than or equal to 500,000 kWh or 250,000 therms annually. </t>
  </si>
  <si>
    <t>Numerator: Annual number of medium industrial participants (by service account) that have not received an incentive for the past 3 years
Denominator: Total number of unique medium industrial account and premise IDs in the sector</t>
  </si>
  <si>
    <t xml:space="preserve">Medium customers are defined as those who use between 40,000-500,000kWh or 10,000-250,000 therms annually. </t>
  </si>
  <si>
    <t>Numerator: Annual number of small industrial participants (by service account) that have not received an incentive for the past 3 years 
Denominator: Total number of unique small industrial account and premise IDs in the sector</t>
  </si>
  <si>
    <t>Small customers are defined as those who use less than 40,000 kWh or 10,000 therms annually.</t>
  </si>
  <si>
    <t>Levelized cost of energy efficiency per kWh, therm and KW (use both TRC and PAC)</t>
  </si>
  <si>
    <t>Reduction in consumption (proposed by SCE and SDG&amp;E)</t>
  </si>
  <si>
    <t>Defined as savings as a percentage of sectoral usage, based on conversations between PAs and ED.</t>
  </si>
  <si>
    <t>Net Energy Savings: GWH</t>
  </si>
  <si>
    <t>Net Energy Savings: MM Therms</t>
  </si>
  <si>
    <t>Net Energy Savings: MW</t>
  </si>
  <si>
    <t xml:space="preserve"> N/A-REN</t>
  </si>
  <si>
    <t>Sector:
Residential - 889               
Nonresidential - 5,814   
Segment:                 
HVAC - 2507                              
Lighting - 239                                 
Codes &amp; Standards - 896  
Foodservice - 125                        
Renewables &amp; Sustainability - 730 
Home Performance -  N/A                      
Real Estate -  N/A                                
Rates, Rebate &amp; Incentive Programs -  321  
Zero-Net Energy - 103
*Data was not tracked in line with other segments                            
Building Design, Construction and Performance -  N/A</t>
  </si>
  <si>
    <t>Sector:
Residential - 185
Nonresidential - 7,036
Segment
Building Design &amp; Construction - 606
Building Performance - 326
Commercial &amp; Industrial Energy Process &amp; Technology (CIEPT) - 180
*Energy Codes &amp; Standards (CNS) - 441
Food Service - 28
Home Performance - 471
HVAC - 3,855
Lighting - 104
Market, Finance &amp; Sales - 516
Rates, Rebate &amp; Incentive Programs - 108
Real Estate - 187
Renewable Energy &amp; Sustainability - 383
Zero-Net Energy - 16
*Data was not tracked in line with other segments</t>
  </si>
  <si>
    <t xml:space="preserve">Report from class registration database.
</t>
  </si>
  <si>
    <t xml:space="preserve">"Participation" means unique participants, meaning that one person attending two classes throughout the year would be counted as one participant.
“Curriculum” refers to the portfolio of training programs and training materials offered by WE&amp;T
“Eligible target population” refers to the energy efficiency labor workforce within each PA's service territory based on the proportion of the IOU's territory population compared to that of California's population.
Justification for targets is consistent with justification provided for metric above.
</t>
  </si>
  <si>
    <t>*Applies only to programs that install, modify, repair, or maintain EE equipment where the incentive is paid to an entity other than a manufacturer, distributor, or retailer of equipment. This applicability standard is adopted from the language the July 9th ruling on workforce standards. It excludes contracts such as those for upstream incentives, Codes and Standards, and mid-stream distributor programs. 
“Demonstrated commitment” means that the vendor submits a plan describing how the program will provide disadvantaged workers with improved access to career opportunities in the energy efficiency industry, that they regularly report the percentage of their workforce qualifying as “disadvantaged”, and that they have long-term targets for the percentage of their  workforce qualifying as “disadvantaged”.
See "Disadvantaged worker" above.
Data to support this metric will be required by new third-party program implementers as part of the upcoming solicitations.</t>
  </si>
  <si>
    <t>CWR program does not yet exist. CWR RFA/RFP will be issued Q3 2019 with exptected launch mid-2020.</t>
  </si>
  <si>
    <t xml:space="preserve"> Number of TPMs initiated (gas and electric combined), including one technology-focused pilot (TFP) TPM  *This number will be updated once all third party contracts have been awarded. </t>
  </si>
  <si>
    <t xml:space="preserve">Number of TPMs initiated (gas and electric combined), including one technology-focused pilot (TFP) TPM </t>
  </si>
  <si>
    <t xml:space="preserve"> N/A—TPMs will be initiated once 3P implentation contracts have been awarded.</t>
  </si>
  <si>
    <t>Number of TPMs updated *This number will be updated once all third party contracts have been awarded.</t>
  </si>
  <si>
    <t>Number of TPMs updated</t>
  </si>
  <si>
    <t>Number of projects initiated</t>
  </si>
  <si>
    <t>Number of outreach events with technology developers with products &lt;1 year from commercialization, including new technology vendors, manufacturers, and entrepreneurs. *This number will be updated once all third party contracts have been awarded.</t>
  </si>
  <si>
    <t>Number of outreach events with technology developers with products &lt;1 year from commercialization, including new technology vendors, manufacturers, and entrepreneurs</t>
  </si>
  <si>
    <t>Number of outreach events with technology developers with products &lt;5 years from commercialization, including new technology vendors, manufacturers, and entrepreneurs. *This number will be updated once all third party contracts have been awarded.</t>
  </si>
  <si>
    <t>Number of outreach events with technology developers with products &lt;5 years from commercialization, including new technology vendors, manufacturers, and entrepreneurs</t>
  </si>
  <si>
    <t>Number of projects initiated with cooperation from other internal IOU programs associated with each Technology-focused Pilot  *This number will be updated once all third party contracts have been awarded.</t>
  </si>
  <si>
    <t xml:space="preserve">Number of projects initiated with cooperation from other internal IOU programs associated with each Technology-focused Pilot  </t>
  </si>
  <si>
    <t xml:space="preserve"> N/A—TFPs will begin once 3P implentation contracts have been awarded.</t>
  </si>
  <si>
    <t>Number of Technology-Focused Pilot (TFP) initiated as part of the TFP TPM. *This number will be updated once all third party contracts have been awarded.</t>
  </si>
  <si>
    <t>Number of Technology-Focused Pilot (TFP) initiated as part of the TFP TPM</t>
  </si>
  <si>
    <t>1) A technology-focused pilot (TFP) will identify market barriers for a diverse range of high-impact technologies through studies, and subsequently breaking down identified barriers  in collaboration with other relevant programs . 2) “Technology-focused Pilot”- Pilots that have been proposed by 3Ps in response to PA needs and that have been approved through the existing ED Ideation Process. These includes TFPs conducted in cooperation with other programs.</t>
  </si>
  <si>
    <t>Prior year: % of new measures added to the portfolio that were previously ETP technologies *The PAs believe this is not suited for a metric with targets because ETP does not make decisions about new measures.</t>
  </si>
  <si>
    <t>Prior year: % of new measures added to the portfolio that were previously ETP technologies</t>
  </si>
  <si>
    <t xml:space="preserve">ETP-T1 through ETP -T8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</si>
  <si>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Prior Year: # of new measures added to the portfolio that were previously ETP technologies. *The PAs believe this is not suited for a metric with targets because ETP does not make decisions about new measures.</t>
  </si>
  <si>
    <t>Prior Year: # of new measures added to the portfolio that were previously ETP technologies</t>
  </si>
  <si>
    <t>Prior year: % of new codes or standards that were previously ETP technologies</t>
  </si>
  <si>
    <t>Prior Year: # of new codes and standards that were previously ETP technologies. *The PAs believe this is not suited for a metric with targets because ETP does not make decisions about new codes or standards.</t>
  </si>
  <si>
    <t>Prior Year: # of new codes and standards that were previously ETP technologies</t>
  </si>
  <si>
    <t>Savings of measures currently in the portfolio that were supported by ETP, added since 2009. Ex-ante with gross and net for all measures, with ex-post where available</t>
  </si>
  <si>
    <t>ETP-T7a Number and source (as reported by submitter) of project ideas submitted AS PART OF the annual TPM research planning process by PA</t>
  </si>
  <si>
    <t>List of ETP projects aligned with statewide goals that were initiated in the reporting year with specificity as to what aspect of each goal it is fulfilling. Goals will also be labeled in the ETP database. A list of eligible goals will be developed collaboratively with ED.</t>
  </si>
  <si>
    <t>List of ETP projects aligned with statewide goals that were initiated in the reporting year with specificity as to what aspect of each goal it is fulfilling</t>
  </si>
  <si>
    <t xml:space="preserve"> N/A - The statewide goals to be tracked are still under collaborative discussion with ED and not yet available; hence, no data will be reported for 2019</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</si>
  <si>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 however the commission ruled that these tracking metrics must have targets. The “statewide goals” will be tracked will be developed and updated in collaboration with ED as needed. Projects are considered “initiated” when project budget has been approved and funding allocated.</t>
  </si>
  <si>
    <t>1-GHG</t>
  </si>
  <si>
    <t>Using same methodology as 2017.  Utilizing PG&amp;E suggested calculation.</t>
  </si>
  <si>
    <t>S1_Savings</t>
  </si>
  <si>
    <t>S3_DAC</t>
  </si>
  <si>
    <t>S4_HTR</t>
  </si>
  <si>
    <t>CPU-SAVED</t>
  </si>
  <si>
    <t>INT-PEN</t>
  </si>
  <si>
    <t>MISC Tab</t>
  </si>
  <si>
    <t>I-P5[Indicator] Percent of customers participating that have not received an incentive for the past three years, annually, by small, medium and large customer categories</t>
  </si>
  <si>
    <t>ETP-M3 Number of projects initiated *This number will be updated once all third party contracts have been awarded.</t>
  </si>
  <si>
    <t>'ETP-Future'!$A$1:$I$24</t>
  </si>
  <si>
    <t>ETP-T3: Prior year: % of new codes or standards that were previously ETP technologies. *The PAs believe this is not suited for a metric with targets because ETP does not make decisions about new codes or standards.</t>
  </si>
  <si>
    <t>ETP-T5a: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</si>
  <si>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ETP-T5b: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</si>
  <si>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ETP-T5c: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</si>
  <si>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ETP-T6a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</si>
  <si>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ETP-T6a Number and source (as reported by submitter) of project ideas submitted OUTSIDE OF the annual TPM research planning process by PA</t>
  </si>
  <si>
    <t>N/A—  TPMs will be used once 3P implentation contracts have been awarded.</t>
  </si>
  <si>
    <t>ETP-T6b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</si>
  <si>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ETP-T6b Number and source (as reported by submitter) of project ideas submitted OUTSIDE OF the annual TPM research planning process by National Lab</t>
  </si>
  <si>
    <t>N/A—TPMs will initiated once 3P implentation contracts have been awarded.</t>
  </si>
  <si>
    <t>ETP-T6c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</si>
  <si>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ETP-T6c Number and source (as reported by submitter) of project ideas submitted OUTSIDE OF the annual TPM research planning process by Manufacturer</t>
  </si>
  <si>
    <t>ETP-T6d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</si>
  <si>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ETP-T6d Number and source (as reported by submitter) of project ideas submitted OUTSIDE OF the annual TPM research planning process by Entrepreneur</t>
  </si>
  <si>
    <t>ETP-T7a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</si>
  <si>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ETP-T7b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</si>
  <si>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ETP-T7b Number and source (as reported by submitter) of project ideas submitted AS PART OF the annual TPM research planning process by National Lab</t>
  </si>
  <si>
    <t>ETP-T7c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</si>
  <si>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ETP-T7c Number and source (as reported by submitter) of project ideas submitted AS PART OF the annual TPM research planning process by Manufacturer</t>
  </si>
  <si>
    <t>ETP-T7d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</si>
  <si>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ETP-T7d Number and source (as reported by submitter) of project ideas submitted AS PART OF the annual TPM research planning process by Entrepreneur</t>
  </si>
  <si>
    <t>N/A - The statewide goals to be tracked are still under collaborative discussion with ED and not yet available; hence, no data will be reported for 2020</t>
  </si>
  <si>
    <t>Streadsheet Index</t>
  </si>
  <si>
    <t>2020 Results</t>
  </si>
  <si>
    <t>PGE-9; SCG-2; SCE-20; SDGE - 0</t>
  </si>
  <si>
    <t>4 ETCC events; 1 Rocketfund event</t>
  </si>
  <si>
    <t>1-Calc - Errors Transformed</t>
  </si>
  <si>
    <t>Numerator - Errors Transformed</t>
  </si>
  <si>
    <t>Denominator - Errors Transformed</t>
  </si>
  <si>
    <t>[PA Name, Year]</t>
  </si>
  <si>
    <t>2018 Target</t>
  </si>
  <si>
    <t>2019 Target</t>
  </si>
  <si>
    <t>2020 Target</t>
  </si>
  <si>
    <t>Portfolio Energy Savings include Codes and Standards, ESA, Bay Area Regional Energy Network (BayREN), and Marin Clean Energy (MCE), which is consistent with regulatory reporting of portfolio energy savings. 2016 achievements align with savings reported in 2016 Annual Report. 
Since the 2018 Potential and Goals Study does not include lifecycle savings, PG&amp;E estimated lifecycle targets based on 2016 achievements (baseline) and first-year savings targets.</t>
  </si>
  <si>
    <t>PG&amp;E does not currently collect whether a commercial customer rents their facility or if a customer's primary language is other than English. As a result, this metric includes the geography and business size criteria for commercial customers and the geography and income and geography and housing type criteria for residential customers.  
PG&amp;E will collect all required information to track HTR customers and will update the metric when this data is available. Since all HTR criteria are not included, PG&amp;E anticipates HTR metrics on savings and participation will increase once all data is available.</t>
  </si>
  <si>
    <t>PG&amp;E does not currently collect whether a commercial customer rents their facility or if a customer's primary language is other than English. As a result, this metric includes the geography and business size criteria for commercial customers and the geography and income and geography and housing type criteria for residential customers.  Please note that during data quality review, this 2018 metric was found to be incorrectly entered into Index 31, when it should have been entered into Index 33.    
PG&amp;E will collect all required information to track HTR customers and will update the metric when this data is available. Since all HTR criteria are not included, PG&amp;E anticipates HTR metrics on savings and participation will increase once all data is available.</t>
  </si>
  <si>
    <t>PG&amp;E does not currently collect whether a commercial customer rents their facility or if a customer's primary language is other than English. As a result, this metric includes the geography and business size criteria for commercial customers and the geography and income and geography and housing type criteria for residential customers.  Please note that during data quality review, this 2018 metric was found to be incorrectly entered into Index 32, when it should have been entered into Index 34.    
PG&amp;E will collect all required information to track HTR customers and will update the metric when this data is available. Since all HTR criteria are not included, PG&amp;E anticipates HTR metrics on savings and participation will increase once all data is available.</t>
  </si>
  <si>
    <t>PG&amp;E does not currently collect whether a commercial customer rents their facility or if a customer's primary language is other than English. As a result, this metric includes the geography and business size criteria for commercial customers and the geography and income and geography and housing type criteria for residential customers.  Please note that during data quality review, this 2018 metric was found to be incorrectly entered into Index 33, when it should have been entered into Index 31.    
PG&amp;E will collect all required information to track HTR customers and will update the metric when this data is available. Since all HTR criteria are not included, PG&amp;E anticipates HTR metrics on savings and participation will increase once all data is available.</t>
  </si>
  <si>
    <t>PG&amp;E does not currently collect whether a commercial customer rents their facility or if a customer's primary language is other than English. As a result, this metric includes the geography and business size criteria for commercial customers and the geography and income and geography and housing type criteria for residential customers.  Please note that during data quality review, this 2018 metric was found to be incorrectly entered into Index 34, when it should have been entered into Index 32.    
PG&amp;E will collect all required information to track HTR customers and will update the metric when this data is available. Since all HTR criteria are not included, PG&amp;E anticipates HTR metrics on savings and participation will increase once all data is available.</t>
  </si>
  <si>
    <t xml:space="preserve">2016 achievements align with savings reported in 2016 Annual Report.
PG&amp;E estimated lifecycle savings targets based on 2016 achievements (baseline) and first year savings targets. </t>
  </si>
  <si>
    <t xml:space="preserve"> Since PG&amp;E does not yet report language data, this metric identifies residential customers as HTR if they meet the geography and income and geography and housing type criteria.</t>
  </si>
  <si>
    <t>Numerator: Total SF energy use from PG&amp;E database (gas + electric)
Denominator:  Number of unique account and premise IDs in SF segment</t>
  </si>
  <si>
    <t>Multi-family designation based on dwelling type in PG&amp;E database and refers to any buliding or property with at least two residential housing units. Multi-family savings include 17% of the savings from Residential Energy Advisor based on the portfion of Home Energy Reports sent to multi-family customers.</t>
  </si>
  <si>
    <t>PG&amp;E is unable to report this metric at this time because PG&amp;E has not historically required program data to be tracked and reported at this level of detail, and was unable to identify a proxy for this filing.</t>
  </si>
  <si>
    <t xml:space="preserve">PG&amp;E consulted the American Community Survey and the 2010-2012 PG&amp;E and SCE Multifamily Energy Efficiency Rebate Program (MFEER) Process Evaluation and Market Characterization Study in an attempt to identify ways to split the multi-family savings data by in-unit, common area, and master-metered. However, neither of these sources provided the data required to provide a valid estimate. Rather than providing an arbitrary split in this filing, PG&amp;E will collect the required information in as accurate a manner as possible to support reliable and insightful metrics reporting. 
In addition to requiring vendors to collect this information moving forward, PG&amp;E believes a study of the multi-family segment would be helpful to provide historical information on the savings attributable to in-unit, common, area, and master-metered sites. </t>
  </si>
  <si>
    <t xml:space="preserve">Savings do not include savings attributed to multi-family customers receiving Home Energy Reports, as this metric is focused on projects.
“Energy savings” = Lifecycle NET savings
Based on conversations with ED and the other PAs, PG&amp;E agrees to assume that project = property for this filing. 
PG&amp;E projects savings per project to increase by 1.4% year over year. </t>
  </si>
  <si>
    <t xml:space="preserve">Since PG&amp;E does not require building information to be collected and reported from vendors, PG&amp;E used an estimate of 6.01 buildings per property from the 2010-2012 PG&amp;E and SCE Multifamily Energy Efficiency Rebate Program (MFEER) Process Evaluationa nd Market Characterization Study for this filing. 
Moving forward, PG&amp;E will collect and report project data per building. </t>
  </si>
  <si>
    <t>PG&amp;E does not currently collect square footage data from multi-family program participants, and estimates the average square footage per participant to be 911 square feet. Specifically, CLASS and the 2010-2012 MFEER Process Evaluation and Market Characterization indicate there are 535,519 sites with 2-4 units (1,020 sq ft avg) and 1,054,662 with five+ units (855 sq ft avg). From this data, PG&amp;E estimates the average square footage to be 911 square feet and total square footage to be 1,447,965,390 square feet.
For more information, see PG&amp;E's July 14, 2017 Revised Metrics filing, which provides extensive detail on the calculation for MF square footage estimates.  
PG&amp;E will collect this information from vendors to report on this metric in the future.</t>
  </si>
  <si>
    <t xml:space="preserve">Participation is defined as the first instance of participation. PG&amp;E assumes project = participating property for this compliance filing. </t>
  </si>
  <si>
    <t xml:space="preserve">PG&amp;E has not historically tracked and reported the number of unique properties treated through programs that work with MF customers. PG&amp;E will track this information moving forward to report on this metric. For now, the number of projects are used as a proxy for the number of properties participating in an EE program. 
PG&amp;E also does not currently know the number of MF properties (two or more units) in its service area. PG&amp;E believes a study on the number of multi-family units, buildings, and properties in its service area would enable more consistent and accurate reporting of this metric, as well as provide useful information for third-party vendors participating in solicitations. The unique combination of account and premise ID is used as a proxy for this filing. 
</t>
  </si>
  <si>
    <t xml:space="preserve">PG&amp;E has not historically tracked and reported the number of unique units treated through programs that work with MF customers. PG&amp;E will track this information moving forward to report on this metric. For now, we believe the number of unique premise and account IDs provides the closest estimate of the number of units. 
</t>
  </si>
  <si>
    <t xml:space="preserve">PG&amp;E does not currently collect square footage data from multi-family program participants, and estimates the average square footage per participant to be 911 square feet. Specifically, CLASS and the 2010-2012 MFEER Process Evaluation and Market Characterization indicate there are 535,519 sites with 2-4 units (1,020 sq ft avg) and 1,054,662 with five+ units (855 sq ft avg). From this data, PG&amp;E estimates the average square footage to be 911 square feet, and the total square footage of the MF segment to be 1,447,965,390 square feet. 
For more information, see PG&amp;E's July 14, 2017 Revised Metrics filing, which provides extensive detail on the calculation for MF square footage estimates.  
PG&amp;E will collect this information from vendors to report on this metric in the future.
For this filing, PG&amp;E multiplied the number of participating unique MF account and premise IDs by the estimate for square footage (911 square feet) and divided it by an estimate for the total square footage of MF properties. </t>
  </si>
  <si>
    <t xml:space="preserve"> Since PG&amp;E does not collect language data, this metric identifies residential customers as HTR if they meet the geography and income and geography and housing type criteria</t>
  </si>
  <si>
    <t xml:space="preserve">
Numerator:Total number of multifamily properties benchmarked via Portfolio Manager using PG&amp;E's portal. 
Denominator: Total number of unique account and premise IDs in PG&amp;E's service area
</t>
  </si>
  <si>
    <t>PG&amp;E attempted to identify the number of MF properties from the American Community Survey, 2010-2012 Multifamily Energy Efficiency Rebate Program Process Evaluation, an AB 802 presentation from the California Energy Commission, and its own databases, but was unable to identify a reliable estimate for the number of multi-family properties with two or more units in its service area. The number of unique MF account and premise IDs will be used as a proxy for this filing. 
PG&amp;E believes a study on the number of multi-family units, buildings, and properties in its service area would enable more consistent and accurate reporting of this metric, as well as provide useful information for third-party vendors participating in solicitations.</t>
  </si>
  <si>
    <t xml:space="preserve">
Numerator:Total number of multifamily HTR  properties benchmarked via Portfolio Manager using PG&amp;E's portal. 
Denominator: Total number of unique HTR MF account and premise IDs in PG&amp;E's service area
</t>
  </si>
  <si>
    <t xml:space="preserve">Since PG&amp;E does not collect language data, this metric identifies multifamily customers that benchmarked as HTR if they meet the geography and income and geography and housing type criteria
PG&amp;E believes a study on the number of multi-family units, buildings, and properties in its service area would enable more consistent and accurate reporting of this metric, as well as provide useful information for third-party vendors participating in solicitations. </t>
  </si>
  <si>
    <t>Numerator: Total MF energy use from PG&amp;E database (gas + electric)
Denominator: Total units in MF segment</t>
  </si>
  <si>
    <t>PG&amp;E will use unique premise and account IDs as a proxy for total units in the MF segment until a study provides more accurate information about the MF building stock in PG&amp;E's service area.</t>
  </si>
  <si>
    <t>Numerator: Total MF energy use from PG&amp;E database (gas + electric)
Denominator: Total number of MF units multiplied by the average square footage of MF units</t>
  </si>
  <si>
    <t>PG&amp;E will use unique premise and account ID as a proxy for total units in the MF segment until a study provides more accurate information about the MF building stock in PG&amp;E's service area.
PG&amp;E does not currently collect square footage data from multi-family program participants, and estimates the average square footage per participant to be 911 square feet. Specifically, CLASS and the 2010-2012 MFEER Process Evaluation and Market Characterization indicate there are 535,519 sites with 2-4 units (1,020 sq ft avg) and 1,054,662 with five+ units (855 sq ft avg). From this data, PG&amp;E estimates the average square footage to be 911 square feet and total square footage to be 1,447,965,390 square feet.
For more information, see PG&amp;E's July 14, 2017 Revised Metrics filing, which provides extensive detail on the calculation for MF square footage estimates.  
PG&amp;E will collect this information from vendors to report on this indicator in the future.</t>
  </si>
  <si>
    <t>Since the Potential Study does not distinguish public sector energy savings potential from commercial sector energy savings potential, PG&amp;E analyzed the ratio of savings achievement in the public sector relative to the commercial sector and applied that ratio to the Potential Study data to distinguish between the two. This represents PG&amp;E's best estimate of future energy savings potential. Savings targets will be updated based on the next version of the Potential Study which distinguishes between commercial and public sector energy savings potential.</t>
  </si>
  <si>
    <t>Numerator = Metric C1
Denominator = Total commercial usage from PG&amp;E database
Projected sectoral usage derived by analyzing the forecasted annual percent change in energy use from CES sales data (as presented in the "Mid" scenario from the 2018 Potential and Goals Study)</t>
  </si>
  <si>
    <t xml:space="preserve">PG&amp;E does not currently collect square footage data from participants. The numerator for this metric multiplies the number of commercial sector participants by the average square footage of commercial buildings in PG&amp;E's service territory. This was derived by dividing the total commercial square footage in PG&amp;E's service area from CEUS by PG&amp;E's best current estimate for the number of buildings in its service area (unique account and premise ID). This numerator was then divided by the total square footage of commercial buildings in PG&amp;E's service area from CEUS.
Targets increase in accordance with participation targets. </t>
  </si>
  <si>
    <t>PG&amp;E also considered using data from the Commercial Saturation Survey to determine square footage, but decided on CEUS based on Commission direction.
PG&amp;E will require this information to be colllected to track this metric moving forward.</t>
  </si>
  <si>
    <t xml:space="preserve">PG&amp;E does not currently collect whether a commercial customer rents their facility or the customer's primary language is other than English. As a result, this metric includes the geography and business size criteria. 
PG&amp;E will collect all required information to track HTR customers and will update the metric when this data is available. </t>
  </si>
  <si>
    <t>Numerator: Total square footage of benchmarked commercial buildings in Portfolio Manager using PG&amp;E portal
Denominator: Total square footage of commercial sector</t>
  </si>
  <si>
    <t xml:space="preserve">PG&amp;E estimated the total square footage of the commercial sector using data from CEUS. </t>
  </si>
  <si>
    <t>Numerator: Number of large commercial customers that  benchmarked on Portfolio Manager using PG&amp;E portal
Denominator: Total number of large commercial customers (unique account and premise ID)</t>
  </si>
  <si>
    <t xml:space="preserve">Large customers are defined consistent with criteria approved in PG&amp;E's Business Plan. Specifically, large customers use more than 500,000 kWh or 250,000 therms per year. 
This metric includes customers benchmarked within the calendar year.
</t>
  </si>
  <si>
    <t>PG&amp;E considered using data on covered commercial buildings from the AB 802 benchmarking presentation, but decided to use the unique combination of premise ID and account ID because the AB 802 data could not easily be broken down to distinguish between small, medium, and large customers. 
PG&amp;E will explore opportunities to better report this metric using data from sources such as CoStar, but believes a study on the commercial building stock in its service area would provide more accurate data that would also add value to the solicitation process.</t>
  </si>
  <si>
    <t>Numerator: Number of medium commercial customers that  benchmarked on Portfolio Manager using PG&amp;E portal
Denominator: Total number of medium commercial customers (unique account and premise ID)</t>
  </si>
  <si>
    <t>Medium customers are defined consistent with criteria approved in PG&amp;E's Business Plan. Specifically, medium customers use between 40,000-500,000 kWh or 10,000-250,000 therms per year. 
This metric includes customers benchmarked within the calendar year.</t>
  </si>
  <si>
    <t>Numerator: Number of small commercial customers that  benchmarked on Portfolio Manager using PG&amp;E portal
Denominator: Total number of small commercial customers (unique account and premise ID)</t>
  </si>
  <si>
    <t>Small customers are defined consistent with criteria approved in PG&amp;E's Business Plan. Specifically, small customers use less than 40,000 kWh or 10,000 therms per year. 
This metric includes customers benchmarked within the calendar year.</t>
  </si>
  <si>
    <t xml:space="preserve">Numerator: number of commercial HTR customers that bencharmed on Portfolio Manager using PG&amp;E portal
Denominator: total number of commercial HTR customers (unique account and premise ID)
</t>
  </si>
  <si>
    <t>Informal Survey of Trade Pros found for each of the previous target years.  Scale is 1-5, where 5 is high satisfaction.  PG&amp;E is indicating increase percentage in satisfaction over the previous year reported.</t>
  </si>
  <si>
    <t xml:space="preserve">Numerator: Number of public sector buildings benchmarked on Portfolio Manager using PG&amp;E portal 
Denominator: total number of public sector unique account and premise IDs </t>
  </si>
  <si>
    <t>PG&amp;E used the number of unique account and premise IDs as a proxy for public sector buildings. A study that sheds some light on the building stock and public sector market would be helpful to report this metric.</t>
  </si>
  <si>
    <t>Numerator: Total sector-level energy use from PG&amp;E database (gas + electric)
Denominator: Number of unique public sector account and premise IDs</t>
  </si>
  <si>
    <t xml:space="preserve">Numerator = Metric IN 1 
Denominator = Total sectoral usage from PG&amp;E database
Projected usage remains steady through 2025 in accordance with projections from CEC sales data presented in the 2018 Potential and Goals Study "Mid" case. </t>
  </si>
  <si>
    <t>First year and lifecycle ex ante (pre‐evaluation) annualized gas, electric, and demand savings in agriculture sector, gross and net</t>
  </si>
  <si>
    <t xml:space="preserve">"Collaborations" mean sharing mutually-beneficial  resources such as training materials, expertise, and marketing/outreach tactics that help achieve WE&amp;T goals and outcomes and that support the collaborating organizations' goals and objectives.
The targets are based on interviews with PG&amp;E staff. PG&amp;E does not anticipate a steep increase in the number of collaborations, but rather turnover within our number of collaborations as activities become self-sustaining without the need for PG&amp;E assistance. The 2018 target is set as  N/A because PG&amp;E does not currently have any signed collaboration agreements in place.
Targets reflect number of agreements currently  in place as of the referred time period. </t>
  </si>
  <si>
    <t xml:space="preserve">"Sector" refers to:
a. Residential versus non-residential
b. Energy efficiency training topic area (e.g., Lighting, HVAC, Agriculture)
"Participants" means aggregate class attendance, meaning that one person attending two classes throughout the year would qualify as two participants. This is an accurate measurement of audience interest per topic / sector.
PG&amp;E analyzed attendance rates since 2012 and discovered a high positive correlation (0.8) between unemployment rates in California and class attendance. Unemployment is not only an indicator of employment, but also the workload of the existing industry. In other words, when the workforce is busy, they do not have time to attend as many classes. The unemployment rate has fallen since 2016, which means that attendance may fall as well. PG&amp;E will adjust the training format (e.g., Offer online classes) and time (e.g., Offer night classes) in order to maintain our 2016 attendance figure. </t>
  </si>
  <si>
    <t>Numerator: from class registration database. 
Denominator: PG&amp;E's share of 321,000 jobs is approximately 132,380. Advanced Energy Economy Institute (AEEI) report finding: “Energy Efficiency accounts for the largest share of advanced energy jobs in California. About six in 10 advanced energy workers are employed in the Energy Efficiency sector; these firms support over 321,000 jobs.” Assume advanced Energy Efficiency jobs are commiserate with population for each PA territory. Population figues obtained from 2010 census.</t>
  </si>
  <si>
    <t xml:space="preserve">The zip codes available in PG&amp;E's database are a mix of home and workplace zip codes. Starting in 2019, PG&amp;E will request home zip codes specifically. </t>
  </si>
  <si>
    <t xml:space="preserve">Calculation based on students with valid CA (not just PG&amp;E) zip codes. Numerator includes students with any CA zip code. Our 2018 records also do not include people who benefited from WE&amp;T through consultations, outreach classes, etc., </t>
  </si>
  <si>
    <t xml:space="preserve">This metric applies only to the Statewide CWR program, which will help Disadvantaged Workers enter the energy industry, and not technical upskill classes offered at the Energy Centers. As the lead PA, PG&amp;E will report on this metric for the whole state. </t>
  </si>
  <si>
    <r>
      <t xml:space="preserve">Number of projects initiated </t>
    </r>
    <r>
      <rPr>
        <sz val="9"/>
        <rFont val="Calibri"/>
        <family val="2"/>
      </rPr>
      <t>*This number will be updated once all third party contracts have been awarded.</t>
    </r>
  </si>
  <si>
    <r>
      <t>Prior year: % of new codes or standards that were previously ETP technologies. *</t>
    </r>
    <r>
      <rPr>
        <sz val="9"/>
        <rFont val="Calibri"/>
        <family val="2"/>
      </rPr>
      <t>The PAs believe this is not suited for a metric with targets because ETP does not make decisions about new codes or standards.</t>
    </r>
  </si>
  <si>
    <r>
      <t>Savings of measures currently in the portfolio that were supported by ETP, added since 2009. Ex-ante with gross and net for all measures, with ex-post where available.</t>
    </r>
    <r>
      <rPr>
        <sz val="9"/>
        <rFont val="Palatino"/>
        <family val="1"/>
      </rPr>
      <t> </t>
    </r>
    <r>
      <rPr>
        <sz val="9"/>
        <rFont val="Calibri"/>
        <family val="2"/>
      </rPr>
      <t>*The PAs believe this is not suited for a metric with targets because ETP is a non-resource program and does not claim any savings.</t>
    </r>
  </si>
  <si>
    <r>
      <t xml:space="preserve">Number and source (as reported by submitter) of project ideas submitted OUTSIDE OF the annual TPM research planning process, for these categories of sources: </t>
    </r>
    <r>
      <rPr>
        <sz val="9"/>
        <rFont val="Calibri"/>
        <family val="2"/>
      </rPr>
      <t>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</si>
  <si>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Number and source (as reported by submitter) of project ideas submitted OUTSIDE OF the annual TPM research planning process by</t>
    </r>
    <r>
      <rPr>
        <sz val="9"/>
        <rFont val="Calibri"/>
        <family val="2"/>
      </rPr>
      <t xml:space="preserve"> PA</t>
    </r>
  </si>
  <si>
    <r>
      <t xml:space="preserve">Number and source (as reported by submitter) of project ideas submitted OUTSIDE OF the annual TPM research planning process, for these categories of sources: PA, </t>
    </r>
    <r>
      <rPr>
        <sz val="9"/>
        <rFont val="Calibri"/>
        <family val="2"/>
      </rPr>
      <t>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</si>
  <si>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Number and source (as reported by submitter) of project ideas submitted OUTSIDE OF the annual TPM research planning process by</t>
    </r>
    <r>
      <rPr>
        <sz val="9"/>
        <rFont val="Calibri"/>
        <family val="2"/>
      </rPr>
      <t xml:space="preserve"> National Lab</t>
    </r>
  </si>
  <si>
    <r>
      <t xml:space="preserve">Number and source (as reported by submitter) of project ideas submitted OUTSIDE OF the annual TPM research planning process, for these categories of sources: PA, national lab, </t>
    </r>
    <r>
      <rPr>
        <sz val="9"/>
        <rFont val="Calibri"/>
        <family val="2"/>
      </rPr>
      <t>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</si>
  <si>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Number and source (as reported by submitter) of project ideas submitted OUTSIDE OF the annual TPM research planning process by</t>
    </r>
    <r>
      <rPr>
        <sz val="9"/>
        <rFont val="Calibri"/>
        <family val="2"/>
      </rPr>
      <t xml:space="preserve"> Manufacturer</t>
    </r>
  </si>
  <si>
    <r>
      <t xml:space="preserve">Number and source (as reported by submitter) of project ideas submitted OUTSIDE OF the annual TPM research planning process, for these categories of sources: PA, national lab, manufacturer, </t>
    </r>
    <r>
      <rPr>
        <sz val="9"/>
        <rFont val="Calibri"/>
        <family val="2"/>
      </rPr>
      <t>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</si>
  <si>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Number and source (as reported by submitter) of project ideas submitted OUTSIDE OF the annual TPM research planning process by</t>
    </r>
    <r>
      <rPr>
        <sz val="9"/>
        <rFont val="Calibri"/>
        <family val="2"/>
      </rPr>
      <t xml:space="preserve"> Entrepreneur</t>
    </r>
  </si>
  <si>
    <r>
      <t xml:space="preserve">Number and source (as reported by submitter) of project ideas submitted AS PART OF the annual TPM research planning process, for these categories of sources: </t>
    </r>
    <r>
      <rPr>
        <sz val="9"/>
        <rFont val="Calibri"/>
        <family val="2"/>
      </rPr>
      <t>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</si>
  <si>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ETP-T7a Number and source (as reported by submitter) of project ideas submitted AS PART OF the annual TPM research planning process by</t>
    </r>
    <r>
      <rPr>
        <sz val="9"/>
        <rFont val="Calibri"/>
        <family val="2"/>
      </rPr>
      <t xml:space="preserve"> PA</t>
    </r>
  </si>
  <si>
    <r>
      <t xml:space="preserve">Number and source (as reported by submitter) of project ideas submitted AS PART OF the annual TPM research planning process, for these categories of sources: PA, </t>
    </r>
    <r>
      <rPr>
        <sz val="9"/>
        <rFont val="Calibri"/>
        <family val="2"/>
      </rPr>
      <t>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</si>
  <si>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Number and source (as reported by submitter) of project ideas submitted AS PART OF the annual TPM research planning process by</t>
    </r>
    <r>
      <rPr>
        <sz val="9"/>
        <rFont val="Calibri"/>
        <family val="2"/>
      </rPr>
      <t xml:space="preserve"> National Lab</t>
    </r>
  </si>
  <si>
    <r>
      <t xml:space="preserve">Number and source (as reported by submitter) of project ideas submitted AS PART OF the annual TPM research planning process, for these categories of sources: PA, national lab, </t>
    </r>
    <r>
      <rPr>
        <sz val="9"/>
        <rFont val="Calibri"/>
        <family val="2"/>
      </rPr>
      <t>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</si>
  <si>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 xml:space="preserve">Number and source (as reported by submitter) of project ideas submitted AS PART OF the annual TPM research planning process by </t>
    </r>
    <r>
      <rPr>
        <sz val="9"/>
        <rFont val="Calibri"/>
        <family val="2"/>
      </rPr>
      <t>Manufacturer</t>
    </r>
  </si>
  <si>
    <r>
      <t xml:space="preserve">Number and source (as reported by submitter) of project ideas submitted AS PART OF the annual TPM research planning process, for these categories of sources: PA, national lab, manufacturer, </t>
    </r>
    <r>
      <rPr>
        <sz val="9"/>
        <rFont val="Calibri"/>
        <family val="2"/>
      </rPr>
      <t>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</si>
  <si>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Number and source (as reported by submitter) of project ideas submitted AS PART OF the annual TPM research planning process by</t>
    </r>
    <r>
      <rPr>
        <sz val="9"/>
        <rFont val="Calibri"/>
        <family val="2"/>
      </rPr>
      <t xml:space="preserve"> Entrepreneur</t>
    </r>
  </si>
  <si>
    <t>2021 Numerator</t>
  </si>
  <si>
    <t>2021 Denominator</t>
  </si>
  <si>
    <t>2021
 Achievements</t>
  </si>
  <si>
    <t>SDGE Local Portfolio Level (PL) - All Sectors</t>
  </si>
  <si>
    <t>SDGE Local Residential - Single Family (SF)</t>
  </si>
  <si>
    <t>SDGE Local Residential - Multi Family (MF)</t>
  </si>
  <si>
    <t>SDGE Local</t>
  </si>
  <si>
    <t xml:space="preserve">SDGE Local Commercial </t>
  </si>
  <si>
    <t>SDGE Local Public Sector (P)</t>
  </si>
  <si>
    <t>SDGE Local Industrial (I)</t>
  </si>
  <si>
    <t>SDGE Local Agricultural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</si>
</sst>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_(* #,##0.000_);_(* \(#,##0.000\);_(* &quot;-&quot;_);_(@_)"/>
    <numFmt numFmtId="168" formatCode="0.00000"/>
    <numFmt numFmtId="169" formatCode="#,##0.0000"/>
    <numFmt numFmtId="170" formatCode="_(* #,##0.0_);_(* \(#,##0.0\);_(* &quot;-&quot;??_);_(@_)"/>
    <numFmt numFmtId="171" formatCode="#,##0.0"/>
    <numFmt numFmtId="172" formatCode="#,##0.000"/>
    <numFmt numFmtId="173" formatCode="_(* #,##0.000000_);_(* \(#,##0.000000\);_(* &quot;-&quot;??????_);_(@_)"/>
    <numFmt numFmtId="174" formatCode="_-* #,##0.00_-;\-* #,##0.00_-;_-* &quot;-&quot;??_-;_-@_-"/>
    <numFmt numFmtId="175" formatCode="_-* #,##0_-;\-* #,##0_-;_-* &quot;-&quot;??_-;_-@_-"/>
  </numFmts>
  <fonts count="63">
    <font>
      <sz val="11"/>
      <color theme="1"/>
      <name val="Calibri"/>
      <family val="2"/>
      <scheme val="minor"/>
    </font>
    <font>
      <sz val="11"/>
      <name val="Calibri"/>
      <family val="2"/>
    </font>
    <font>
      <i/>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b/>
      <sz val="11"/>
      <name val="Calibri"/>
      <family val="2"/>
    </font>
    <font>
      <sz val="12"/>
      <color theme="1"/>
      <name val="Calibri"/>
      <family val="2"/>
      <scheme val="minor"/>
    </font>
    <font>
      <sz val="14"/>
      <color theme="1"/>
      <name val="Calibri"/>
      <family val="2"/>
      <scheme val="minor"/>
    </font>
    <font>
      <sz val="11"/>
      <color rgb="FFFF0000"/>
      <name val="Calibri"/>
      <family val="2"/>
      <scheme val="minor"/>
    </font>
    <font>
      <sz val="11"/>
      <name val="Calibri"/>
      <family val="2"/>
      <scheme val="minor"/>
    </font>
    <font>
      <b/>
      <sz val="14"/>
      <name val="Calibri"/>
      <family val="2"/>
      <scheme val="minor"/>
    </font>
    <font>
      <sz val="14"/>
      <name val="Calibri"/>
      <family val="2"/>
      <scheme val="minor"/>
    </font>
    <font>
      <b/>
      <sz val="11"/>
      <name val="Calibri"/>
      <family val="2"/>
      <scheme val="minor"/>
    </font>
    <font>
      <sz val="11"/>
      <color rgb="FF006100"/>
      <name val="Calibri"/>
      <family val="2"/>
      <scheme val="minor"/>
    </font>
    <font>
      <sz val="16"/>
      <color theme="1"/>
      <name val="Calibri"/>
      <family val="2"/>
      <scheme val="minor"/>
    </font>
    <font>
      <sz val="20"/>
      <color theme="1"/>
      <name val="Calibri"/>
      <family val="2"/>
      <scheme val="minor"/>
    </font>
    <font>
      <b/>
      <sz val="20"/>
      <name val="Calibri"/>
      <family val="2"/>
      <scheme val="minor"/>
    </font>
    <font>
      <sz val="9"/>
      <name val="Calibri"/>
      <family val="2"/>
      <scheme val="minor"/>
    </font>
    <font>
      <b/>
      <u val="singleAccounting"/>
      <sz val="11"/>
      <name val="Calibri"/>
      <family val="2"/>
      <scheme val="minor"/>
    </font>
    <font>
      <sz val="12"/>
      <color rgb="FF9C6500"/>
      <name val="Calibri"/>
      <family val="2"/>
      <scheme val="minor"/>
    </font>
    <font>
      <sz val="11"/>
      <name val="Palatino"/>
      <family val="1"/>
    </font>
    <font>
      <b/>
      <u/>
      <sz val="11"/>
      <name val="Calibri"/>
      <family val="2"/>
      <scheme val="minor"/>
    </font>
    <font>
      <b/>
      <sz val="11"/>
      <color theme="0"/>
      <name val="Calibri"/>
      <family val="2"/>
      <scheme val="minor"/>
    </font>
    <font>
      <sz val="12"/>
      <color theme="1"/>
      <name val="Calibri"/>
      <family val="2"/>
      <charset val="204"/>
      <scheme val="minor"/>
    </font>
    <font>
      <sz val="12"/>
      <color rgb="FF9C6500"/>
      <name val="Calibri"/>
      <family val="2"/>
      <charset val="204"/>
      <scheme val="minor"/>
    </font>
    <font>
      <sz val="12"/>
      <name val="Calibri"/>
      <family val="2"/>
      <scheme val="minor"/>
    </font>
    <font>
      <u/>
      <sz val="11"/>
      <color theme="1"/>
      <name val="Calibri"/>
      <family val="2"/>
      <scheme val="minor"/>
    </font>
    <font>
      <u val="singleAccounting"/>
      <sz val="11"/>
      <color theme="1"/>
      <name val="Calibri"/>
      <family val="2"/>
      <scheme val="minor"/>
    </font>
    <font>
      <b/>
      <sz val="14"/>
      <color rgb="FFFF0000"/>
      <name val="Calibri"/>
      <family val="2"/>
      <scheme val="minor"/>
    </font>
    <font>
      <b/>
      <sz val="12"/>
      <color theme="0"/>
      <name val="Calibri"/>
      <family val="2"/>
      <scheme val="minor"/>
    </font>
    <font>
      <b/>
      <sz val="11"/>
      <color rgb="FFFF0000"/>
      <name val="Calibri"/>
      <family val="2"/>
      <scheme val="minor"/>
    </font>
    <font>
      <sz val="9"/>
      <color indexed="81"/>
      <name val="Tahoma"/>
      <family val="2"/>
    </font>
    <font>
      <b/>
      <sz val="9"/>
      <color indexed="81"/>
      <name val="Tahoma"/>
      <family val="2"/>
    </font>
    <font>
      <sz val="9"/>
      <color theme="1"/>
      <name val="Calibri"/>
      <family val="2"/>
      <scheme val="minor"/>
    </font>
    <font>
      <b/>
      <sz val="10"/>
      <name val="Calibri"/>
      <family val="2"/>
      <scheme val="minor"/>
    </font>
    <font>
      <sz val="12"/>
      <color rgb="FF00610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u val="singleAccounting"/>
      <sz val="11"/>
      <name val="Calibri"/>
      <family val="2"/>
      <scheme val="minor"/>
    </font>
    <font>
      <sz val="11"/>
      <name val="Arial Narrow"/>
      <family val="2"/>
    </font>
    <font>
      <sz val="10"/>
      <color indexed="8"/>
      <name val="Arial"/>
      <family val="2"/>
    </font>
    <font>
      <sz val="11"/>
      <color indexed="8"/>
      <name val="Calibri"/>
      <family val="2"/>
    </font>
    <font>
      <u/>
      <sz val="11"/>
      <name val="Calibri"/>
      <family val="2"/>
      <scheme val="minor"/>
    </font>
    <font>
      <sz val="11"/>
      <color rgb="FF9C0006"/>
      <name val="Calibri"/>
      <family val="2"/>
      <scheme val="minor"/>
    </font>
    <font>
      <sz val="11"/>
      <color rgb="FF000000"/>
      <name val="Calibri"/>
      <family val="2"/>
      <scheme val="minor"/>
    </font>
    <font>
      <sz val="11"/>
      <color theme="0"/>
      <name val="Calibri"/>
      <family val="2"/>
      <scheme val="minor"/>
    </font>
    <font>
      <u/>
      <vertAlign val="superscript"/>
      <sz val="11"/>
      <color theme="1"/>
      <name val="Calibri"/>
      <family val="2"/>
      <scheme val="minor"/>
    </font>
    <font>
      <b/>
      <vertAlign val="superscript"/>
      <sz val="11"/>
      <color theme="1"/>
      <name val="Calibri"/>
      <family val="2"/>
      <scheme val="minor"/>
    </font>
    <font>
      <sz val="12"/>
      <color theme="0"/>
      <name val="Calibri"/>
      <family val="2"/>
      <scheme val="minor"/>
    </font>
    <font>
      <sz val="8"/>
      <name val="Calibri"/>
      <family val="2"/>
      <scheme val="minor"/>
    </font>
    <font>
      <sz val="10"/>
      <name val="Calibri"/>
      <family val="2"/>
      <scheme val="minor"/>
    </font>
    <font>
      <sz val="10"/>
      <name val="Arial"/>
      <family val="2"/>
    </font>
    <font>
      <b/>
      <sz val="10"/>
      <name val="Arial"/>
      <family val="2"/>
    </font>
    <font>
      <b/>
      <sz val="10"/>
      <name val="Calibri"/>
      <family val="2"/>
    </font>
    <font>
      <strike/>
      <sz val="8"/>
      <name val="Calibri"/>
      <family val="2"/>
      <scheme val="minor"/>
    </font>
    <font>
      <sz val="8"/>
      <name val="Arial"/>
      <family val="2"/>
    </font>
    <font>
      <sz val="11"/>
      <color rgb="FF00B050"/>
      <name val="Calibri"/>
      <family val="2"/>
      <scheme val="minor"/>
    </font>
    <font>
      <sz val="10"/>
      <color rgb="FFFF0000"/>
      <name val="Arial"/>
      <family val="2"/>
    </font>
    <font>
      <sz val="9"/>
      <name val="Calibri"/>
      <family val="2"/>
    </font>
    <font>
      <sz val="9"/>
      <name val="Palatino"/>
      <family val="1"/>
    </font>
  </fonts>
  <fills count="17">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EB9C"/>
      </patternFill>
    </fill>
    <fill>
      <patternFill patternType="solid">
        <fgColor theme="1"/>
        <bgColor indexed="64"/>
      </patternFill>
    </fill>
    <fill>
      <patternFill patternType="solid">
        <fgColor theme="0" tint="-4.9989318521683403E-2"/>
        <bgColor indexed="64"/>
      </patternFill>
    </fill>
    <fill>
      <patternFill patternType="solid">
        <fgColor theme="4"/>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7CE"/>
      </patternFill>
    </fill>
    <fill>
      <patternFill patternType="solid">
        <fgColor theme="0" tint="-0.249977111117893"/>
        <bgColor indexed="64"/>
      </patternFill>
    </fill>
  </fills>
  <borders count="3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theme="0" tint="-0.249977111117893"/>
      </bottom>
      <diagonal/>
    </border>
    <border>
      <left/>
      <right/>
      <top style="thin">
        <color theme="0" tint="-0.249977111117893"/>
      </top>
      <bottom/>
      <diagonal/>
    </border>
    <border>
      <left style="thin">
        <color indexed="64"/>
      </left>
      <right/>
      <top/>
      <bottom/>
      <diagonal/>
    </border>
    <border>
      <left/>
      <right/>
      <top style="thin">
        <color theme="0" tint="-0.249977111117893"/>
      </top>
      <bottom style="thin">
        <color theme="0" tint="-0.249977111117893"/>
      </bottom>
      <diagonal/>
    </border>
    <border>
      <left/>
      <right/>
      <top style="thin">
        <color theme="0" tint="-0.249977111117893"/>
      </top>
      <bottom style="thin">
        <color indexed="64"/>
      </bottom>
      <diagonal/>
    </border>
    <border>
      <left style="thin">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indexed="64"/>
      </left>
      <right/>
      <top/>
      <bottom style="thin">
        <color theme="0" tint="-0.249977111117893"/>
      </bottom>
      <diagonal/>
    </border>
    <border>
      <left/>
      <right style="thin">
        <color indexed="64"/>
      </right>
      <top/>
      <bottom style="thin">
        <color theme="0" tint="-0.24997711111789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bottom/>
      <diagonal/>
    </border>
    <border>
      <left style="thin">
        <color theme="0" tint="-0.24994659260841701"/>
      </left>
      <right style="thin">
        <color indexed="64"/>
      </right>
      <top/>
      <bottom style="thin">
        <color indexed="64"/>
      </bottom>
      <diagonal/>
    </border>
    <border>
      <left/>
      <right/>
      <top style="thin">
        <color auto="1"/>
      </top>
      <bottom/>
      <diagonal/>
    </border>
    <border>
      <left style="thin">
        <color auto="1"/>
      </left>
      <right/>
      <top style="thin">
        <color auto="1"/>
      </top>
      <bottom style="thin">
        <color auto="1"/>
      </bottom>
      <diagonal/>
    </border>
  </borders>
  <cellStyleXfs count="35">
    <xf numFmtId="0" fontId="0" fillId="0" borderId="0"/>
    <xf numFmtId="43" fontId="5"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5" fillId="0" borderId="0" applyFont="0" applyFill="0" applyBorder="0" applyAlignment="0" applyProtection="0"/>
    <xf numFmtId="0" fontId="14" fillId="2" borderId="0" applyNumberFormat="0" applyBorder="0" applyAlignment="0" applyProtection="0"/>
    <xf numFmtId="0" fontId="7" fillId="0" borderId="0"/>
    <xf numFmtId="0" fontId="5" fillId="0" borderId="0"/>
    <xf numFmtId="0" fontId="20" fillId="4" borderId="0" applyNumberFormat="0" applyBorder="0" applyAlignment="0" applyProtection="0"/>
    <xf numFmtId="0" fontId="24" fillId="0" borderId="0"/>
    <xf numFmtId="0" fontId="25" fillId="4"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24" fillId="0" borderId="0" applyFont="0" applyFill="0" applyBorder="0" applyAlignment="0" applyProtection="0"/>
    <xf numFmtId="0" fontId="36" fillId="2" borderId="0" applyNumberFormat="0" applyBorder="0" applyAlignment="0" applyProtection="0"/>
    <xf numFmtId="0" fontId="43" fillId="0" borderId="0"/>
    <xf numFmtId="0" fontId="46" fillId="15" borderId="0" applyNumberFormat="0" applyBorder="0" applyAlignment="0" applyProtection="0"/>
    <xf numFmtId="0" fontId="47" fillId="0" borderId="0"/>
    <xf numFmtId="43" fontId="7" fillId="0" borderId="0" applyFont="0" applyFill="0" applyBorder="0" applyAlignment="0" applyProtection="0"/>
    <xf numFmtId="0" fontId="5" fillId="0" borderId="0"/>
    <xf numFmtId="0" fontId="54" fillId="0" borderId="0"/>
    <xf numFmtId="174" fontId="54" fillId="0" borderId="0" applyFont="0" applyFill="0" applyBorder="0" applyAlignment="0" applyProtection="0"/>
    <xf numFmtId="0" fontId="5" fillId="0" borderId="0"/>
    <xf numFmtId="0" fontId="5" fillId="0" borderId="0"/>
    <xf numFmtId="0" fontId="7" fillId="0" borderId="0"/>
    <xf numFmtId="0" fontId="36" fillId="2" borderId="0" applyNumberFormat="0" applyBorder="0" applyAlignment="0" applyProtection="0"/>
    <xf numFmtId="0" fontId="5" fillId="0" borderId="0"/>
    <xf numFmtId="9" fontId="54" fillId="0" borderId="0" applyFont="0" applyFill="0" applyBorder="0" applyAlignment="0" applyProtection="0"/>
    <xf numFmtId="9" fontId="7" fillId="0" borderId="0" applyFont="0" applyFill="0" applyBorder="0" applyAlignment="0" applyProtection="0"/>
    <xf numFmtId="0" fontId="5" fillId="0" borderId="0"/>
    <xf numFmtId="0" fontId="20" fillId="4" borderId="0" applyNumberFormat="0" applyBorder="0" applyAlignment="0" applyProtection="0"/>
  </cellStyleXfs>
  <cellXfs count="1023">
    <xf numFmtId="0" fontId="0" fillId="0" borderId="0" xfId="0"/>
    <xf numFmtId="0" fontId="0" fillId="3" borderId="0" xfId="0" applyFill="1"/>
    <xf numFmtId="0" fontId="10" fillId="3" borderId="0" xfId="0" applyFont="1" applyFill="1"/>
    <xf numFmtId="0" fontId="11" fillId="3" borderId="0" xfId="0" applyFont="1" applyFill="1"/>
    <xf numFmtId="0" fontId="12" fillId="3" borderId="0" xfId="0" applyFont="1" applyFill="1"/>
    <xf numFmtId="0" fontId="13" fillId="3" borderId="0" xfId="0" applyFont="1" applyFill="1" applyAlignment="1">
      <alignment horizontal="center"/>
    </xf>
    <xf numFmtId="0" fontId="15" fillId="3" borderId="0" xfId="0" applyFont="1" applyFill="1"/>
    <xf numFmtId="0" fontId="8" fillId="3" borderId="0" xfId="0" applyFont="1" applyFill="1"/>
    <xf numFmtId="0" fontId="8" fillId="3" borderId="0" xfId="0" applyFont="1" applyFill="1" applyAlignment="1">
      <alignment horizontal="center"/>
    </xf>
    <xf numFmtId="0" fontId="8" fillId="3" borderId="1" xfId="0" applyFont="1" applyFill="1" applyBorder="1" applyAlignment="1">
      <alignment horizontal="center"/>
    </xf>
    <xf numFmtId="0" fontId="3" fillId="3" borderId="0" xfId="0" applyFont="1" applyFill="1"/>
    <xf numFmtId="0" fontId="16" fillId="3" borderId="0" xfId="0" applyFont="1" applyFill="1"/>
    <xf numFmtId="0" fontId="10" fillId="3" borderId="5" xfId="0" applyFont="1" applyFill="1" applyBorder="1" applyAlignment="1">
      <alignment horizontal="left" vertical="top"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horizontal="center" vertical="top" wrapText="1"/>
    </xf>
    <xf numFmtId="0" fontId="10" fillId="0" borderId="0" xfId="6" applyFont="1" applyFill="1" applyAlignment="1">
      <alignment horizontal="center" vertical="top" wrapText="1"/>
    </xf>
    <xf numFmtId="0" fontId="13" fillId="0" borderId="0" xfId="0" applyFont="1" applyAlignment="1">
      <alignment horizontal="center" vertical="center" wrapText="1"/>
    </xf>
    <xf numFmtId="0" fontId="10" fillId="0" borderId="5" xfId="0" applyFont="1" applyBorder="1" applyAlignment="1">
      <alignment vertical="top" wrapText="1"/>
    </xf>
    <xf numFmtId="0" fontId="10" fillId="0" borderId="5" xfId="0" applyFont="1" applyBorder="1" applyAlignment="1">
      <alignment horizontal="left" vertical="top" wrapText="1"/>
    </xf>
    <xf numFmtId="0" fontId="10" fillId="0" borderId="5" xfId="0" applyFont="1" applyBorder="1" applyAlignment="1">
      <alignment horizontal="center" vertical="top" wrapText="1"/>
    </xf>
    <xf numFmtId="0" fontId="10" fillId="0" borderId="8" xfId="0" applyFont="1" applyBorder="1" applyAlignment="1">
      <alignment vertical="top" wrapText="1"/>
    </xf>
    <xf numFmtId="0" fontId="10" fillId="0" borderId="8" xfId="0" applyFont="1" applyBorder="1" applyAlignment="1">
      <alignment horizontal="left" vertical="top" wrapText="1"/>
    </xf>
    <xf numFmtId="0" fontId="10" fillId="0" borderId="11" xfId="0" applyFont="1" applyBorder="1" applyAlignment="1">
      <alignment vertical="top" wrapText="1"/>
    </xf>
    <xf numFmtId="0" fontId="10" fillId="0" borderId="9" xfId="0" applyFont="1" applyBorder="1" applyAlignment="1">
      <alignment vertical="top" wrapText="1"/>
    </xf>
    <xf numFmtId="0" fontId="10" fillId="0" borderId="9" xfId="0" applyFont="1" applyBorder="1" applyAlignment="1">
      <alignment horizontal="left" vertical="top" wrapText="1"/>
    </xf>
    <xf numFmtId="0" fontId="10" fillId="0" borderId="9" xfId="0" applyFont="1" applyBorder="1" applyAlignment="1">
      <alignment horizontal="center" vertical="top" wrapText="1"/>
    </xf>
    <xf numFmtId="0" fontId="10" fillId="0" borderId="13" xfId="0" applyFont="1" applyBorder="1" applyAlignment="1">
      <alignment vertical="top" wrapText="1"/>
    </xf>
    <xf numFmtId="0" fontId="10" fillId="0" borderId="15" xfId="0" applyFont="1" applyBorder="1" applyAlignment="1">
      <alignment vertical="top" wrapText="1"/>
    </xf>
    <xf numFmtId="0" fontId="10" fillId="0" borderId="14"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9" fillId="3" borderId="0" xfId="0" applyFont="1" applyFill="1" applyAlignment="1">
      <alignment horizontal="left" vertical="top" wrapText="1"/>
    </xf>
    <xf numFmtId="0" fontId="2" fillId="3" borderId="5" xfId="0" applyFont="1" applyFill="1" applyBorder="1" applyAlignment="1">
      <alignment horizontal="center" vertical="top"/>
    </xf>
    <xf numFmtId="0" fontId="2" fillId="3" borderId="8" xfId="0" applyFont="1" applyFill="1" applyBorder="1" applyAlignment="1">
      <alignment horizontal="center" vertical="top"/>
    </xf>
    <xf numFmtId="0" fontId="0" fillId="3" borderId="8" xfId="0" applyFill="1" applyBorder="1"/>
    <xf numFmtId="0" fontId="10" fillId="0" borderId="8" xfId="0" applyFont="1" applyBorder="1" applyAlignment="1">
      <alignment vertical="top"/>
    </xf>
    <xf numFmtId="0" fontId="5" fillId="0" borderId="0" xfId="8"/>
    <xf numFmtId="0" fontId="23" fillId="5" borderId="0" xfId="10" applyFont="1" applyFill="1" applyAlignment="1">
      <alignment horizontal="center" wrapText="1"/>
    </xf>
    <xf numFmtId="0" fontId="23" fillId="5" borderId="0" xfId="11" applyFont="1" applyFill="1" applyAlignment="1">
      <alignment horizontal="left" wrapText="1"/>
    </xf>
    <xf numFmtId="0" fontId="5" fillId="0" borderId="0" xfId="8" applyFill="1"/>
    <xf numFmtId="0" fontId="4" fillId="0" borderId="0" xfId="8" applyFont="1" applyFill="1"/>
    <xf numFmtId="0" fontId="26" fillId="0" borderId="0" xfId="7" applyFont="1" applyAlignment="1"/>
    <xf numFmtId="0" fontId="10" fillId="0" borderId="0" xfId="8" applyFont="1" applyFill="1"/>
    <xf numFmtId="0" fontId="10" fillId="0" borderId="0" xfId="10" applyFont="1" applyFill="1" applyAlignment="1">
      <alignment horizontal="center" vertical="top" wrapText="1"/>
    </xf>
    <xf numFmtId="0" fontId="26" fillId="0" borderId="0" xfId="7" applyFont="1" applyAlignment="1">
      <alignment wrapText="1"/>
    </xf>
    <xf numFmtId="0" fontId="5" fillId="0" borderId="1" xfId="8" applyFill="1" applyBorder="1"/>
    <xf numFmtId="0" fontId="10" fillId="0" borderId="1" xfId="10" applyFont="1" applyFill="1" applyBorder="1" applyAlignment="1">
      <alignment horizontal="center" vertical="top" wrapText="1"/>
    </xf>
    <xf numFmtId="0" fontId="5" fillId="0" borderId="0" xfId="8" applyFill="1" applyAlignment="1">
      <alignment horizontal="left"/>
    </xf>
    <xf numFmtId="164" fontId="0" fillId="0" borderId="1" xfId="12" applyNumberFormat="1" applyFont="1" applyFill="1" applyBorder="1"/>
    <xf numFmtId="0" fontId="10" fillId="0" borderId="0" xfId="10" applyFont="1" applyFill="1" applyAlignment="1">
      <alignment horizontal="center" vertical="center" wrapText="1"/>
    </xf>
    <xf numFmtId="3" fontId="5" fillId="0" borderId="1" xfId="8" applyNumberFormat="1" applyFill="1" applyBorder="1"/>
    <xf numFmtId="3" fontId="5" fillId="0" borderId="0" xfId="8" applyNumberFormat="1" applyFill="1"/>
    <xf numFmtId="164" fontId="0" fillId="0" borderId="1" xfId="12" applyNumberFormat="1" applyFont="1" applyFill="1" applyBorder="1" applyAlignment="1">
      <alignment horizontal="center"/>
    </xf>
    <xf numFmtId="0" fontId="4" fillId="0" borderId="0" xfId="7" applyFont="1"/>
    <xf numFmtId="0" fontId="10" fillId="0" borderId="0" xfId="8" applyFont="1"/>
    <xf numFmtId="3" fontId="5" fillId="0" borderId="0" xfId="8" applyNumberFormat="1" applyFill="1" applyBorder="1"/>
    <xf numFmtId="0" fontId="5" fillId="0" borderId="0" xfId="8" applyFill="1" applyBorder="1"/>
    <xf numFmtId="0" fontId="5" fillId="0" borderId="0" xfId="8" applyFill="1" applyAlignment="1">
      <alignment horizontal="center"/>
    </xf>
    <xf numFmtId="0" fontId="5" fillId="0" borderId="1" xfId="8" applyFill="1" applyBorder="1" applyAlignment="1">
      <alignment horizontal="center"/>
    </xf>
    <xf numFmtId="164" fontId="5" fillId="0" borderId="1" xfId="12" applyNumberFormat="1" applyFill="1" applyBorder="1"/>
    <xf numFmtId="0" fontId="4" fillId="0" borderId="0" xfId="8" applyFont="1" applyFill="1" applyAlignment="1">
      <alignment horizontal="left" vertical="center" wrapText="1"/>
    </xf>
    <xf numFmtId="0" fontId="5" fillId="0" borderId="0" xfId="8" applyFill="1" applyAlignment="1">
      <alignment horizontal="left" vertical="center"/>
    </xf>
    <xf numFmtId="0" fontId="5" fillId="0" borderId="0" xfId="8" applyFont="1" applyFill="1"/>
    <xf numFmtId="0" fontId="5" fillId="0" borderId="0" xfId="8" applyFill="1" applyAlignment="1">
      <alignment horizontal="center" vertical="center"/>
    </xf>
    <xf numFmtId="0" fontId="10" fillId="0" borderId="8" xfId="6" applyFont="1" applyFill="1" applyBorder="1" applyAlignment="1">
      <alignment horizontal="right" vertical="top" wrapText="1"/>
    </xf>
    <xf numFmtId="3" fontId="10" fillId="0" borderId="8" xfId="6" applyNumberFormat="1" applyFont="1" applyFill="1" applyBorder="1" applyAlignment="1">
      <alignment horizontal="right" vertical="top" wrapText="1"/>
    </xf>
    <xf numFmtId="164" fontId="10" fillId="0" borderId="5" xfId="1" applyNumberFormat="1" applyFont="1" applyFill="1" applyBorder="1" applyAlignment="1">
      <alignment horizontal="right" vertical="top" wrapText="1"/>
    </xf>
    <xf numFmtId="0" fontId="10" fillId="0" borderId="8" xfId="0" applyFont="1" applyBorder="1" applyAlignment="1">
      <alignment horizontal="right" vertical="top" wrapText="1"/>
    </xf>
    <xf numFmtId="0" fontId="7" fillId="0" borderId="0" xfId="7"/>
    <xf numFmtId="0" fontId="5" fillId="0" borderId="1" xfId="10" applyFont="1" applyFill="1" applyBorder="1" applyAlignment="1">
      <alignment horizontal="center" vertical="center" wrapText="1"/>
    </xf>
    <xf numFmtId="0" fontId="5" fillId="0" borderId="0" xfId="8" applyFill="1" applyAlignment="1">
      <alignment vertical="center"/>
    </xf>
    <xf numFmtId="0" fontId="4" fillId="0" borderId="0" xfId="8" applyFont="1" applyFill="1" applyAlignment="1">
      <alignment horizontal="center"/>
    </xf>
    <xf numFmtId="3" fontId="5" fillId="0" borderId="0" xfId="8" applyNumberFormat="1" applyFill="1" applyAlignment="1">
      <alignment horizontal="right"/>
    </xf>
    <xf numFmtId="2" fontId="5" fillId="0" borderId="0" xfId="8" applyNumberFormat="1" applyFill="1" applyAlignment="1">
      <alignment horizontal="center" vertical="center"/>
    </xf>
    <xf numFmtId="0" fontId="5" fillId="0" borderId="0" xfId="8" applyFont="1"/>
    <xf numFmtId="0" fontId="5" fillId="0" borderId="0" xfId="14" applyFill="1"/>
    <xf numFmtId="0" fontId="7" fillId="0" borderId="0" xfId="7" applyAlignment="1">
      <alignment horizontal="center"/>
    </xf>
    <xf numFmtId="0" fontId="5" fillId="0" borderId="0" xfId="14" applyFill="1" applyAlignment="1">
      <alignment horizontal="center"/>
    </xf>
    <xf numFmtId="164" fontId="5" fillId="0" borderId="0" xfId="14" applyNumberFormat="1" applyFill="1"/>
    <xf numFmtId="0" fontId="4" fillId="0" borderId="0" xfId="14" applyFont="1" applyFill="1" applyAlignment="1">
      <alignment vertical="center" wrapText="1"/>
    </xf>
    <xf numFmtId="164" fontId="0" fillId="0" borderId="0" xfId="15" applyNumberFormat="1" applyFont="1" applyFill="1"/>
    <xf numFmtId="0" fontId="5" fillId="0" borderId="0" xfId="14" applyFill="1" applyAlignment="1">
      <alignment wrapText="1"/>
    </xf>
    <xf numFmtId="0" fontId="4" fillId="0" borderId="0" xfId="14" applyFont="1" applyFill="1"/>
    <xf numFmtId="0" fontId="4" fillId="0" borderId="0" xfId="14" applyFont="1" applyFill="1" applyAlignment="1">
      <alignment horizontal="center" vertical="center" wrapText="1"/>
    </xf>
    <xf numFmtId="0" fontId="5" fillId="0" borderId="1" xfId="14" applyFill="1" applyBorder="1"/>
    <xf numFmtId="0" fontId="4" fillId="0" borderId="0" xfId="14" applyFont="1" applyFill="1" applyAlignment="1">
      <alignment horizontal="left" vertical="center" wrapText="1"/>
    </xf>
    <xf numFmtId="0" fontId="5" fillId="0" borderId="0" xfId="14" applyFill="1" applyAlignment="1">
      <alignment horizontal="left" vertical="center"/>
    </xf>
    <xf numFmtId="0" fontId="5" fillId="0" borderId="0" xfId="14" applyFill="1" applyBorder="1"/>
    <xf numFmtId="164" fontId="0" fillId="0" borderId="1" xfId="15" applyNumberFormat="1" applyFont="1" applyFill="1" applyBorder="1" applyAlignment="1">
      <alignment horizontal="right"/>
    </xf>
    <xf numFmtId="43" fontId="0" fillId="0" borderId="0" xfId="15" applyFont="1" applyFill="1"/>
    <xf numFmtId="0" fontId="5" fillId="0" borderId="0" xfId="14" applyFill="1" applyAlignment="1">
      <alignment horizontal="left" wrapText="1"/>
    </xf>
    <xf numFmtId="0" fontId="4" fillId="0" borderId="0" xfId="14" applyFont="1" applyFill="1" applyAlignment="1">
      <alignment horizontal="left" vertical="top" wrapText="1"/>
    </xf>
    <xf numFmtId="0" fontId="5" fillId="0" borderId="0" xfId="14"/>
    <xf numFmtId="0" fontId="0" fillId="3" borderId="8" xfId="0" applyFill="1" applyBorder="1" applyAlignment="1">
      <alignment wrapText="1"/>
    </xf>
    <xf numFmtId="0" fontId="0" fillId="3" borderId="8" xfId="0" applyFill="1" applyBorder="1" applyAlignment="1">
      <alignment vertical="top" wrapText="1"/>
    </xf>
    <xf numFmtId="0" fontId="4" fillId="0" borderId="0" xfId="8" applyFont="1" applyFill="1" applyAlignment="1">
      <alignment horizontal="right"/>
    </xf>
    <xf numFmtId="164" fontId="5" fillId="0" borderId="1" xfId="8" applyNumberFormat="1" applyFill="1" applyBorder="1"/>
    <xf numFmtId="0" fontId="5" fillId="0" borderId="0" xfId="14" applyFont="1"/>
    <xf numFmtId="0" fontId="10" fillId="0" borderId="10" xfId="0" applyFont="1" applyFill="1" applyBorder="1" applyAlignment="1">
      <alignment horizontal="left" vertical="top" wrapText="1"/>
    </xf>
    <xf numFmtId="0" fontId="10" fillId="0" borderId="8" xfId="0" applyFont="1" applyFill="1" applyBorder="1" applyAlignment="1">
      <alignment vertical="top" wrapText="1"/>
    </xf>
    <xf numFmtId="0" fontId="5" fillId="0" borderId="0" xfId="14" applyFill="1" applyAlignment="1">
      <alignment horizontal="right"/>
    </xf>
    <xf numFmtId="0" fontId="4" fillId="0" borderId="16" xfId="14" applyFont="1" applyFill="1" applyBorder="1"/>
    <xf numFmtId="0" fontId="10" fillId="0" borderId="16" xfId="10" applyFont="1" applyFill="1" applyBorder="1" applyAlignment="1">
      <alignment vertical="center" wrapText="1"/>
    </xf>
    <xf numFmtId="0" fontId="4" fillId="0" borderId="16" xfId="14" applyFont="1" applyFill="1" applyBorder="1" applyAlignment="1">
      <alignment horizontal="right"/>
    </xf>
    <xf numFmtId="0" fontId="10" fillId="0" borderId="0" xfId="10" applyFont="1" applyFill="1" applyBorder="1" applyAlignment="1">
      <alignment horizontal="center" vertical="top" wrapText="1"/>
    </xf>
    <xf numFmtId="3" fontId="5" fillId="0" borderId="0" xfId="14" applyNumberFormat="1" applyFill="1" applyBorder="1"/>
    <xf numFmtId="0" fontId="4" fillId="0" borderId="0" xfId="14" applyFont="1" applyFill="1" applyBorder="1"/>
    <xf numFmtId="0" fontId="5" fillId="0" borderId="16" xfId="14" applyFill="1" applyBorder="1"/>
    <xf numFmtId="0" fontId="5" fillId="0" borderId="16" xfId="14" applyFill="1" applyBorder="1" applyAlignment="1">
      <alignment horizontal="left" vertical="center"/>
    </xf>
    <xf numFmtId="0" fontId="13" fillId="0" borderId="16" xfId="11" applyFont="1" applyFill="1" applyBorder="1" applyAlignment="1">
      <alignment horizontal="left" vertical="top" wrapText="1"/>
    </xf>
    <xf numFmtId="164" fontId="0" fillId="0" borderId="0" xfId="15" applyNumberFormat="1" applyFont="1" applyFill="1" applyBorder="1"/>
    <xf numFmtId="0" fontId="4" fillId="0" borderId="16" xfId="14" applyFont="1" applyFill="1" applyBorder="1" applyAlignment="1">
      <alignment wrapText="1"/>
    </xf>
    <xf numFmtId="0" fontId="5" fillId="0" borderId="16" xfId="8" applyFill="1" applyBorder="1"/>
    <xf numFmtId="0" fontId="4" fillId="0" borderId="16" xfId="8" applyFont="1" applyFill="1" applyBorder="1"/>
    <xf numFmtId="0" fontId="4" fillId="0" borderId="0" xfId="8" applyFont="1" applyFill="1" applyBorder="1"/>
    <xf numFmtId="164" fontId="0" fillId="0" borderId="1" xfId="12" applyNumberFormat="1" applyFont="1" applyFill="1" applyBorder="1" applyAlignment="1">
      <alignment horizontal="right"/>
    </xf>
    <xf numFmtId="0" fontId="5" fillId="0" borderId="0" xfId="8" applyFill="1" applyAlignment="1">
      <alignment horizontal="right"/>
    </xf>
    <xf numFmtId="0" fontId="5" fillId="0" borderId="0" xfId="8" applyFill="1" applyBorder="1" applyAlignment="1">
      <alignment vertical="center"/>
    </xf>
    <xf numFmtId="0" fontId="5" fillId="0" borderId="16" xfId="8" applyFill="1" applyBorder="1" applyAlignment="1">
      <alignment horizontal="left" vertical="center"/>
    </xf>
    <xf numFmtId="0" fontId="5" fillId="0" borderId="1" xfId="8" applyFill="1" applyBorder="1" applyAlignment="1">
      <alignment horizontal="right"/>
    </xf>
    <xf numFmtId="0" fontId="4" fillId="0" borderId="16" xfId="8" applyFont="1" applyFill="1" applyBorder="1" applyAlignment="1">
      <alignment horizontal="right"/>
    </xf>
    <xf numFmtId="0" fontId="5" fillId="0" borderId="0" xfId="8" applyFill="1" applyAlignment="1">
      <alignment horizontal="right" vertical="center"/>
    </xf>
    <xf numFmtId="0" fontId="5" fillId="0" borderId="0" xfId="8" applyFill="1" applyBorder="1" applyAlignment="1">
      <alignment horizontal="right" vertical="center"/>
    </xf>
    <xf numFmtId="0" fontId="4" fillId="0" borderId="0" xfId="8" applyFont="1" applyFill="1" applyBorder="1" applyAlignment="1">
      <alignment horizontal="right"/>
    </xf>
    <xf numFmtId="0" fontId="4" fillId="0" borderId="16" xfId="8" applyFont="1" applyFill="1" applyBorder="1" applyAlignment="1">
      <alignment wrapText="1"/>
    </xf>
    <xf numFmtId="0" fontId="5" fillId="6" borderId="1" xfId="8" applyFill="1" applyBorder="1"/>
    <xf numFmtId="3" fontId="5" fillId="6" borderId="1" xfId="8" applyNumberFormat="1" applyFill="1" applyBorder="1" applyAlignment="1">
      <alignment horizontal="right"/>
    </xf>
    <xf numFmtId="3" fontId="5" fillId="0" borderId="0" xfId="8" applyNumberFormat="1" applyFill="1" applyBorder="1" applyAlignment="1">
      <alignment horizontal="right"/>
    </xf>
    <xf numFmtId="0" fontId="5" fillId="0" borderId="0" xfId="7" applyFont="1"/>
    <xf numFmtId="0" fontId="5" fillId="0" borderId="0" xfId="14" applyFont="1" applyFill="1"/>
    <xf numFmtId="0" fontId="5" fillId="0" borderId="0" xfId="14" applyFill="1" applyBorder="1" applyAlignment="1"/>
    <xf numFmtId="0" fontId="4" fillId="0" borderId="16" xfId="14" applyFont="1" applyFill="1" applyBorder="1" applyAlignment="1">
      <alignment vertical="center"/>
    </xf>
    <xf numFmtId="0" fontId="4" fillId="0" borderId="0" xfId="14" applyFont="1" applyFill="1" applyBorder="1" applyAlignment="1">
      <alignment horizontal="center" vertical="center" wrapText="1"/>
    </xf>
    <xf numFmtId="10" fontId="5" fillId="0" borderId="0" xfId="14" applyNumberFormat="1" applyFill="1" applyBorder="1" applyAlignment="1">
      <alignment horizontal="center" vertical="center"/>
    </xf>
    <xf numFmtId="0" fontId="4" fillId="0" borderId="16" xfId="14" applyFont="1" applyFill="1" applyBorder="1" applyAlignment="1">
      <alignment horizontal="left" vertical="center"/>
    </xf>
    <xf numFmtId="0" fontId="5" fillId="0" borderId="0" xfId="14" applyFill="1" applyBorder="1" applyAlignment="1">
      <alignment horizontal="center"/>
    </xf>
    <xf numFmtId="0" fontId="5" fillId="6" borderId="0" xfId="14" applyFill="1" applyBorder="1"/>
    <xf numFmtId="3" fontId="5" fillId="6" borderId="1" xfId="14" applyNumberFormat="1" applyFill="1" applyBorder="1"/>
    <xf numFmtId="0" fontId="5" fillId="6" borderId="1" xfId="14" applyFill="1" applyBorder="1"/>
    <xf numFmtId="165" fontId="5" fillId="0" borderId="0" xfId="14" applyNumberFormat="1" applyFill="1" applyAlignment="1">
      <alignment horizontal="center" vertical="center"/>
    </xf>
    <xf numFmtId="0" fontId="5" fillId="0" borderId="16" xfId="14" applyFill="1" applyBorder="1" applyAlignment="1">
      <alignment horizontal="center" vertical="center"/>
    </xf>
    <xf numFmtId="0" fontId="0" fillId="6" borderId="1" xfId="14" applyFont="1" applyFill="1" applyBorder="1" applyAlignment="1">
      <alignment vertical="top" wrapText="1"/>
    </xf>
    <xf numFmtId="0" fontId="13" fillId="0" borderId="16" xfId="0" applyFont="1" applyBorder="1" applyAlignment="1">
      <alignment vertical="top" wrapText="1"/>
    </xf>
    <xf numFmtId="0" fontId="4" fillId="0" borderId="16" xfId="8" applyFont="1" applyFill="1" applyBorder="1" applyAlignment="1">
      <alignment horizontal="left" vertical="top" wrapText="1"/>
    </xf>
    <xf numFmtId="0" fontId="5" fillId="0" borderId="0" xfId="8" applyFill="1" applyBorder="1" applyAlignment="1">
      <alignment horizontal="center"/>
    </xf>
    <xf numFmtId="0" fontId="4" fillId="0" borderId="16" xfId="8" applyFont="1" applyFill="1" applyBorder="1" applyAlignment="1">
      <alignment vertical="center"/>
    </xf>
    <xf numFmtId="10" fontId="5" fillId="0" borderId="0" xfId="8" applyNumberFormat="1" applyFill="1" applyBorder="1" applyAlignment="1">
      <alignment horizontal="center" vertical="center"/>
    </xf>
    <xf numFmtId="0" fontId="5" fillId="0" borderId="16" xfId="8" applyFill="1" applyBorder="1" applyAlignment="1">
      <alignment horizontal="center" vertical="center"/>
    </xf>
    <xf numFmtId="164" fontId="5" fillId="0" borderId="0" xfId="12" applyNumberFormat="1" applyFill="1" applyBorder="1"/>
    <xf numFmtId="0" fontId="10" fillId="0" borderId="16" xfId="10" applyFont="1" applyFill="1" applyBorder="1" applyAlignment="1">
      <alignment horizontal="center" vertical="top" wrapText="1"/>
    </xf>
    <xf numFmtId="0" fontId="23" fillId="5" borderId="0" xfId="11" applyFont="1" applyFill="1" applyAlignment="1">
      <alignment wrapText="1"/>
    </xf>
    <xf numFmtId="164" fontId="5" fillId="0" borderId="16" xfId="1" applyNumberFormat="1" applyFont="1" applyFill="1" applyBorder="1"/>
    <xf numFmtId="164" fontId="10" fillId="0" borderId="16" xfId="1" applyNumberFormat="1" applyFont="1" applyFill="1" applyBorder="1" applyAlignment="1">
      <alignment horizontal="center" vertical="top" wrapText="1"/>
    </xf>
    <xf numFmtId="164" fontId="5" fillId="0" borderId="0" xfId="1" applyNumberFormat="1" applyFont="1" applyFill="1" applyBorder="1"/>
    <xf numFmtId="164" fontId="5" fillId="0" borderId="0" xfId="1" applyNumberFormat="1" applyFont="1" applyFill="1" applyBorder="1" applyAlignment="1">
      <alignment horizontal="left" vertical="center"/>
    </xf>
    <xf numFmtId="0" fontId="10" fillId="0" borderId="0" xfId="1" applyNumberFormat="1" applyFont="1" applyFill="1" applyBorder="1" applyAlignment="1">
      <alignment horizontal="center" vertical="top" wrapText="1"/>
    </xf>
    <xf numFmtId="164" fontId="4" fillId="0" borderId="16" xfId="1" applyNumberFormat="1" applyFont="1" applyFill="1" applyBorder="1"/>
    <xf numFmtId="0" fontId="4" fillId="0" borderId="16" xfId="8" applyFont="1" applyFill="1" applyBorder="1" applyAlignment="1">
      <alignment horizontal="left" vertical="center"/>
    </xf>
    <xf numFmtId="3" fontId="5" fillId="6" borderId="0" xfId="8" applyNumberFormat="1" applyFill="1" applyBorder="1" applyAlignment="1">
      <alignment horizontal="right"/>
    </xf>
    <xf numFmtId="0" fontId="4" fillId="0" borderId="1" xfId="8" applyFont="1" applyFill="1" applyBorder="1"/>
    <xf numFmtId="41" fontId="5" fillId="0" borderId="0" xfId="8" applyNumberFormat="1" applyFill="1" applyBorder="1"/>
    <xf numFmtId="164" fontId="0" fillId="0" borderId="0" xfId="12" applyNumberFormat="1" applyFont="1" applyFill="1" applyBorder="1"/>
    <xf numFmtId="10" fontId="4" fillId="0" borderId="0" xfId="15" applyNumberFormat="1" applyFont="1" applyFill="1" applyBorder="1"/>
    <xf numFmtId="164" fontId="0" fillId="0" borderId="0" xfId="15" applyNumberFormat="1" applyFont="1" applyFill="1" applyBorder="1" applyAlignment="1">
      <alignment horizontal="right"/>
    </xf>
    <xf numFmtId="10" fontId="4" fillId="0" borderId="0" xfId="15" applyNumberFormat="1" applyFont="1" applyFill="1" applyBorder="1" applyAlignment="1">
      <alignment horizontal="right" vertical="center"/>
    </xf>
    <xf numFmtId="0" fontId="4" fillId="0" borderId="0" xfId="14" applyFont="1" applyFill="1" applyBorder="1" applyAlignment="1">
      <alignment horizontal="right" vertical="center"/>
    </xf>
    <xf numFmtId="0" fontId="4" fillId="0" borderId="0" xfId="14" applyFont="1" applyFill="1" applyBorder="1" applyAlignment="1">
      <alignment horizontal="right"/>
    </xf>
    <xf numFmtId="0" fontId="4" fillId="0" borderId="16" xfId="8" applyFont="1" applyFill="1" applyBorder="1" applyAlignment="1">
      <alignment horizontal="left" wrapText="1"/>
    </xf>
    <xf numFmtId="0" fontId="4" fillId="0" borderId="16" xfId="8" applyFont="1" applyFill="1" applyBorder="1" applyAlignment="1">
      <alignment horizontal="left"/>
    </xf>
    <xf numFmtId="0" fontId="7" fillId="0" borderId="0" xfId="7" applyFont="1" applyAlignment="1">
      <alignment wrapText="1"/>
    </xf>
    <xf numFmtId="0" fontId="5" fillId="0" borderId="0" xfId="8" applyFont="1" applyAlignment="1">
      <alignment wrapText="1"/>
    </xf>
    <xf numFmtId="0" fontId="10" fillId="0" borderId="0" xfId="7" applyFont="1" applyFill="1" applyBorder="1" applyAlignment="1">
      <alignment vertical="top" wrapText="1"/>
    </xf>
    <xf numFmtId="0" fontId="10" fillId="0" borderId="0" xfId="7" applyFont="1"/>
    <xf numFmtId="3" fontId="0" fillId="6" borderId="0" xfId="12" applyNumberFormat="1" applyFont="1" applyFill="1" applyBorder="1" applyAlignment="1">
      <alignment horizontal="right"/>
    </xf>
    <xf numFmtId="0" fontId="27" fillId="6" borderId="0" xfId="8" applyFont="1" applyFill="1" applyBorder="1"/>
    <xf numFmtId="0" fontId="5" fillId="6" borderId="0" xfId="8" applyFont="1" applyFill="1" applyBorder="1" applyAlignment="1">
      <alignment horizontal="right"/>
    </xf>
    <xf numFmtId="0" fontId="5" fillId="0" borderId="0" xfId="7" applyFont="1" applyFill="1" applyBorder="1" applyAlignment="1">
      <alignment horizontal="left" vertical="top" wrapText="1"/>
    </xf>
    <xf numFmtId="0" fontId="5" fillId="0" borderId="0" xfId="7" applyFont="1" applyAlignment="1">
      <alignment vertical="center"/>
    </xf>
    <xf numFmtId="0" fontId="27" fillId="0" borderId="0" xfId="7" applyFont="1" applyAlignment="1">
      <alignment vertical="center"/>
    </xf>
    <xf numFmtId="3" fontId="5" fillId="6" borderId="0" xfId="14" applyNumberFormat="1" applyFill="1" applyBorder="1" applyAlignment="1">
      <alignment horizontal="right"/>
    </xf>
    <xf numFmtId="3" fontId="27" fillId="6" borderId="0" xfId="8" applyNumberFormat="1" applyFont="1" applyFill="1" applyBorder="1" applyAlignment="1">
      <alignment horizontal="right"/>
    </xf>
    <xf numFmtId="3" fontId="27" fillId="6" borderId="0" xfId="1" applyNumberFormat="1" applyFont="1" applyFill="1" applyBorder="1" applyAlignment="1">
      <alignment horizontal="right"/>
    </xf>
    <xf numFmtId="3" fontId="28" fillId="6" borderId="0" xfId="1" applyNumberFormat="1" applyFont="1" applyFill="1" applyBorder="1" applyAlignment="1">
      <alignment horizontal="right"/>
    </xf>
    <xf numFmtId="3" fontId="5" fillId="6" borderId="0" xfId="1" applyNumberFormat="1" applyFill="1" applyBorder="1" applyAlignment="1">
      <alignment horizontal="right"/>
    </xf>
    <xf numFmtId="3" fontId="4" fillId="0" borderId="0" xfId="1" applyNumberFormat="1" applyFont="1" applyFill="1" applyBorder="1" applyAlignment="1">
      <alignment horizontal="right"/>
    </xf>
    <xf numFmtId="3" fontId="4" fillId="0" borderId="16" xfId="8" applyNumberFormat="1" applyFont="1" applyFill="1" applyBorder="1" applyAlignment="1">
      <alignment horizontal="right"/>
    </xf>
    <xf numFmtId="3" fontId="4" fillId="0" borderId="0" xfId="8" applyNumberFormat="1" applyFont="1" applyFill="1" applyBorder="1" applyAlignment="1">
      <alignment horizontal="right"/>
    </xf>
    <xf numFmtId="3" fontId="0" fillId="6" borderId="0" xfId="15" applyNumberFormat="1" applyFont="1" applyFill="1" applyBorder="1" applyAlignment="1">
      <alignment horizontal="right"/>
    </xf>
    <xf numFmtId="3" fontId="4" fillId="0" borderId="0" xfId="14" applyNumberFormat="1" applyFont="1" applyFill="1" applyBorder="1" applyAlignment="1">
      <alignment horizontal="right"/>
    </xf>
    <xf numFmtId="3" fontId="27" fillId="6" borderId="0" xfId="15" applyNumberFormat="1" applyFont="1" applyFill="1" applyBorder="1" applyAlignment="1">
      <alignment horizontal="right"/>
    </xf>
    <xf numFmtId="3" fontId="0" fillId="6" borderId="1" xfId="15" applyNumberFormat="1" applyFont="1" applyFill="1" applyBorder="1" applyAlignment="1">
      <alignment horizontal="right"/>
    </xf>
    <xf numFmtId="0" fontId="5" fillId="6" borderId="1" xfId="14" applyFill="1" applyBorder="1" applyAlignment="1">
      <alignment vertical="top"/>
    </xf>
    <xf numFmtId="0" fontId="0" fillId="6" borderId="0" xfId="14" applyFont="1" applyFill="1" applyBorder="1"/>
    <xf numFmtId="0" fontId="5" fillId="0" borderId="0" xfId="14" applyFill="1" applyBorder="1" applyAlignment="1">
      <alignment wrapText="1"/>
    </xf>
    <xf numFmtId="3" fontId="5" fillId="6" borderId="1" xfId="1" applyNumberFormat="1" applyFill="1" applyBorder="1" applyAlignment="1">
      <alignment horizontal="right"/>
    </xf>
    <xf numFmtId="3" fontId="4" fillId="0" borderId="16" xfId="1" applyNumberFormat="1" applyFont="1" applyFill="1" applyBorder="1" applyAlignment="1">
      <alignment horizontal="right"/>
    </xf>
    <xf numFmtId="0" fontId="5" fillId="0" borderId="0" xfId="8" applyFill="1" applyBorder="1" applyAlignment="1">
      <alignment horizontal="left"/>
    </xf>
    <xf numFmtId="0" fontId="5" fillId="0" borderId="0" xfId="8" applyFill="1" applyBorder="1" applyAlignment="1">
      <alignment horizontal="center" vertical="center"/>
    </xf>
    <xf numFmtId="0" fontId="5" fillId="0" borderId="1" xfId="8" applyFill="1" applyBorder="1" applyAlignment="1">
      <alignment horizontal="center" vertical="center"/>
    </xf>
    <xf numFmtId="2" fontId="5" fillId="0" borderId="0" xfId="8" applyNumberFormat="1" applyFill="1" applyBorder="1" applyAlignment="1">
      <alignment horizontal="center" vertical="center"/>
    </xf>
    <xf numFmtId="0" fontId="4" fillId="0" borderId="16" xfId="8" applyFont="1" applyFill="1" applyBorder="1" applyAlignment="1">
      <alignment horizontal="left" vertical="center" wrapText="1"/>
    </xf>
    <xf numFmtId="0" fontId="5" fillId="0" borderId="0" xfId="7" applyFont="1" applyFill="1" applyBorder="1" applyAlignment="1">
      <alignment vertical="top" wrapText="1"/>
    </xf>
    <xf numFmtId="0" fontId="4" fillId="0" borderId="16" xfId="14" applyFont="1" applyFill="1" applyBorder="1" applyAlignment="1">
      <alignment horizontal="left" vertical="center" wrapText="1"/>
    </xf>
    <xf numFmtId="0" fontId="0" fillId="0" borderId="0" xfId="14" applyFont="1" applyFill="1" applyBorder="1"/>
    <xf numFmtId="3" fontId="5" fillId="6" borderId="0" xfId="8" applyNumberFormat="1" applyFill="1" applyBorder="1"/>
    <xf numFmtId="4" fontId="5" fillId="0" borderId="0" xfId="8" applyNumberFormat="1" applyFill="1" applyBorder="1" applyAlignment="1">
      <alignment horizontal="right"/>
    </xf>
    <xf numFmtId="0" fontId="5" fillId="0" borderId="0" xfId="8" applyFill="1" applyBorder="1" applyAlignment="1">
      <alignment horizontal="right"/>
    </xf>
    <xf numFmtId="3" fontId="5" fillId="0" borderId="0" xfId="12" applyNumberFormat="1" applyFill="1" applyBorder="1"/>
    <xf numFmtId="3" fontId="9" fillId="0" borderId="0" xfId="8" applyNumberFormat="1" applyFont="1" applyFill="1" applyBorder="1"/>
    <xf numFmtId="3" fontId="27" fillId="6" borderId="0" xfId="12" applyNumberFormat="1" applyFont="1" applyFill="1" applyBorder="1" applyAlignment="1">
      <alignment horizontal="right"/>
    </xf>
    <xf numFmtId="3" fontId="27" fillId="6" borderId="0" xfId="8" applyNumberFormat="1" applyFont="1" applyFill="1" applyBorder="1"/>
    <xf numFmtId="3" fontId="5" fillId="6" borderId="0" xfId="8" applyNumberFormat="1" applyFill="1" applyBorder="1" applyAlignment="1">
      <alignment wrapText="1"/>
    </xf>
    <xf numFmtId="3" fontId="4" fillId="0" borderId="0" xfId="8" applyNumberFormat="1" applyFont="1" applyFill="1" applyBorder="1"/>
    <xf numFmtId="0" fontId="27" fillId="6" borderId="0" xfId="8" applyFont="1" applyFill="1" applyBorder="1" applyAlignment="1">
      <alignment wrapText="1"/>
    </xf>
    <xf numFmtId="3" fontId="27" fillId="6" borderId="0" xfId="8" applyNumberFormat="1" applyFont="1" applyFill="1" applyBorder="1" applyAlignment="1">
      <alignment wrapText="1"/>
    </xf>
    <xf numFmtId="0" fontId="5" fillId="0" borderId="0" xfId="8" applyAlignment="1">
      <alignment horizontal="center"/>
    </xf>
    <xf numFmtId="3" fontId="4" fillId="0" borderId="0" xfId="14" applyNumberFormat="1" applyFont="1" applyFill="1" applyBorder="1" applyAlignment="1">
      <alignment horizontal="left"/>
    </xf>
    <xf numFmtId="0" fontId="29" fillId="0" borderId="0" xfId="8" applyFont="1"/>
    <xf numFmtId="0" fontId="30" fillId="5" borderId="0" xfId="10" applyFont="1" applyFill="1" applyAlignment="1">
      <alignment horizontal="center" wrapText="1"/>
    </xf>
    <xf numFmtId="0" fontId="30" fillId="5" borderId="0" xfId="11" applyFont="1" applyFill="1" applyAlignment="1">
      <alignment horizontal="left" wrapText="1"/>
    </xf>
    <xf numFmtId="0" fontId="30" fillId="7" borderId="0" xfId="8" applyFont="1" applyFill="1" applyAlignment="1">
      <alignment horizontal="left"/>
    </xf>
    <xf numFmtId="0" fontId="30" fillId="7" borderId="0" xfId="8" applyFont="1" applyFill="1"/>
    <xf numFmtId="0" fontId="30" fillId="7" borderId="0" xfId="8" applyNumberFormat="1" applyFont="1" applyFill="1" applyBorder="1" applyAlignment="1">
      <alignment horizontal="right"/>
    </xf>
    <xf numFmtId="0" fontId="30" fillId="8" borderId="0" xfId="10" applyFont="1" applyFill="1" applyAlignment="1">
      <alignment horizontal="center" wrapText="1"/>
    </xf>
    <xf numFmtId="0" fontId="5" fillId="0" borderId="0" xfId="8" applyFill="1" applyBorder="1" applyAlignment="1">
      <alignment horizontal="left" vertical="center"/>
    </xf>
    <xf numFmtId="0" fontId="10" fillId="0" borderId="3" xfId="7" applyFont="1" applyFill="1" applyBorder="1" applyAlignment="1">
      <alignment vertical="top" wrapText="1"/>
    </xf>
    <xf numFmtId="0" fontId="10" fillId="0" borderId="4" xfId="7" applyFont="1" applyFill="1" applyBorder="1" applyAlignment="1">
      <alignment vertical="top" wrapText="1"/>
    </xf>
    <xf numFmtId="0" fontId="5" fillId="0" borderId="17" xfId="8" applyFill="1" applyBorder="1"/>
    <xf numFmtId="0" fontId="10" fillId="0" borderId="0" xfId="7" applyFont="1" applyAlignment="1">
      <alignment vertical="top" wrapText="1"/>
    </xf>
    <xf numFmtId="0" fontId="10" fillId="0" borderId="17" xfId="7" applyFont="1" applyFill="1" applyBorder="1" applyAlignment="1">
      <alignment vertical="top" wrapText="1"/>
    </xf>
    <xf numFmtId="0" fontId="5" fillId="0" borderId="4" xfId="7" applyFont="1" applyFill="1" applyBorder="1" applyAlignment="1">
      <alignment vertical="top" wrapText="1"/>
    </xf>
    <xf numFmtId="3" fontId="28" fillId="6" borderId="0" xfId="12" applyNumberFormat="1" applyFont="1" applyFill="1" applyBorder="1" applyAlignment="1">
      <alignment horizontal="right"/>
    </xf>
    <xf numFmtId="3" fontId="27" fillId="6" borderId="0" xfId="8" applyNumberFormat="1" applyFont="1" applyFill="1" applyBorder="1" applyAlignment="1">
      <alignment horizontal="right" wrapText="1"/>
    </xf>
    <xf numFmtId="0" fontId="27" fillId="6" borderId="0" xfId="8" applyFont="1" applyFill="1" applyBorder="1" applyAlignment="1"/>
    <xf numFmtId="0" fontId="0" fillId="6" borderId="0" xfId="8" applyFont="1" applyFill="1" applyBorder="1" applyAlignment="1"/>
    <xf numFmtId="0" fontId="4" fillId="0" borderId="0" xfId="8" applyFont="1" applyFill="1" applyBorder="1" applyAlignment="1"/>
    <xf numFmtId="0" fontId="5" fillId="0" borderId="0" xfId="8" applyFill="1" applyBorder="1" applyAlignment="1"/>
    <xf numFmtId="0" fontId="4" fillId="0" borderId="16" xfId="8" applyFont="1" applyFill="1" applyBorder="1" applyAlignment="1"/>
    <xf numFmtId="0" fontId="5" fillId="6" borderId="1" xfId="8" applyFill="1" applyBorder="1" applyAlignment="1"/>
    <xf numFmtId="0" fontId="5" fillId="0" borderId="16" xfId="8" applyFill="1" applyBorder="1" applyAlignment="1"/>
    <xf numFmtId="0" fontId="4" fillId="6" borderId="0" xfId="8" applyFont="1" applyFill="1" applyBorder="1" applyAlignment="1">
      <alignment horizontal="center"/>
    </xf>
    <xf numFmtId="0" fontId="4" fillId="0" borderId="16" xfId="8" applyFont="1" applyFill="1" applyBorder="1" applyAlignment="1">
      <alignment horizontal="right" wrapText="1"/>
    </xf>
    <xf numFmtId="0" fontId="0" fillId="0" borderId="0" xfId="8" applyFont="1" applyFill="1" applyBorder="1"/>
    <xf numFmtId="0" fontId="5" fillId="0" borderId="0" xfId="10" applyFont="1" applyFill="1" applyBorder="1" applyAlignment="1">
      <alignment horizontal="center" vertical="center" wrapText="1"/>
    </xf>
    <xf numFmtId="164" fontId="0" fillId="0" borderId="0" xfId="12" applyNumberFormat="1" applyFont="1" applyFill="1" applyBorder="1" applyAlignment="1">
      <alignment horizontal="right"/>
    </xf>
    <xf numFmtId="0" fontId="5" fillId="0" borderId="3" xfId="7" applyFont="1" applyBorder="1"/>
    <xf numFmtId="0" fontId="5" fillId="0" borderId="4" xfId="7" applyFont="1" applyBorder="1"/>
    <xf numFmtId="0" fontId="5" fillId="0" borderId="17" xfId="7" applyFont="1" applyFill="1" applyBorder="1" applyAlignment="1">
      <alignment vertical="top" wrapText="1"/>
    </xf>
    <xf numFmtId="0" fontId="4" fillId="6" borderId="1" xfId="8" applyFont="1" applyFill="1" applyBorder="1" applyAlignment="1">
      <alignment horizontal="center"/>
    </xf>
    <xf numFmtId="0" fontId="5" fillId="0" borderId="17" xfId="7" applyFont="1" applyBorder="1"/>
    <xf numFmtId="0" fontId="5" fillId="0" borderId="7" xfId="8" applyFill="1" applyBorder="1"/>
    <xf numFmtId="0" fontId="0" fillId="0" borderId="1" xfId="8" applyFont="1" applyFill="1" applyBorder="1"/>
    <xf numFmtId="0" fontId="0" fillId="0" borderId="17" xfId="7" applyFont="1" applyFill="1" applyBorder="1" applyAlignment="1">
      <alignment vertical="top" wrapText="1"/>
    </xf>
    <xf numFmtId="0" fontId="4" fillId="0" borderId="1" xfId="14" applyFont="1" applyFill="1" applyBorder="1"/>
    <xf numFmtId="0" fontId="29" fillId="0" borderId="0" xfId="14" applyFont="1"/>
    <xf numFmtId="164" fontId="5" fillId="0" borderId="0" xfId="15" applyNumberFormat="1" applyFill="1" applyBorder="1"/>
    <xf numFmtId="0" fontId="30" fillId="7" borderId="0" xfId="14" applyFont="1" applyFill="1"/>
    <xf numFmtId="0" fontId="30" fillId="7" borderId="0" xfId="14" applyFont="1" applyFill="1" applyAlignment="1">
      <alignment horizontal="right"/>
    </xf>
    <xf numFmtId="3" fontId="4" fillId="0" borderId="16" xfId="14" applyNumberFormat="1" applyFont="1" applyFill="1" applyBorder="1" applyAlignment="1">
      <alignment horizontal="right"/>
    </xf>
    <xf numFmtId="0" fontId="4" fillId="0" borderId="0" xfId="14" applyFont="1" applyFill="1" applyBorder="1" applyAlignment="1">
      <alignment horizontal="center"/>
    </xf>
    <xf numFmtId="0" fontId="5" fillId="0" borderId="16" xfId="8" applyFill="1" applyBorder="1" applyAlignment="1">
      <alignment horizontal="center"/>
    </xf>
    <xf numFmtId="0" fontId="4" fillId="0" borderId="0" xfId="8" applyFont="1" applyFill="1" applyBorder="1" applyAlignment="1">
      <alignment horizontal="center"/>
    </xf>
    <xf numFmtId="0" fontId="4" fillId="0" borderId="1" xfId="8" applyFont="1" applyFill="1" applyBorder="1" applyAlignment="1">
      <alignment horizontal="center"/>
    </xf>
    <xf numFmtId="3" fontId="27" fillId="6" borderId="0" xfId="14" applyNumberFormat="1" applyFont="1" applyFill="1" applyBorder="1"/>
    <xf numFmtId="3" fontId="5" fillId="6" borderId="0" xfId="14" applyNumberFormat="1" applyFill="1" applyBorder="1"/>
    <xf numFmtId="3" fontId="4" fillId="0" borderId="16" xfId="8" applyNumberFormat="1" applyFont="1" applyFill="1" applyBorder="1"/>
    <xf numFmtId="0" fontId="4" fillId="0" borderId="16" xfId="8" applyNumberFormat="1" applyFont="1" applyFill="1" applyBorder="1" applyAlignment="1">
      <alignment horizontal="right"/>
    </xf>
    <xf numFmtId="0" fontId="5" fillId="0" borderId="2" xfId="8" applyFill="1" applyBorder="1" applyAlignment="1">
      <alignment horizontal="left" wrapText="1"/>
    </xf>
    <xf numFmtId="0" fontId="5" fillId="0" borderId="16" xfId="8" applyFont="1" applyFill="1" applyBorder="1"/>
    <xf numFmtId="164" fontId="5" fillId="0" borderId="0" xfId="12" applyNumberFormat="1" applyFont="1" applyFill="1" applyBorder="1" applyAlignment="1">
      <alignment horizontal="left"/>
    </xf>
    <xf numFmtId="164" fontId="5" fillId="0" borderId="1" xfId="12" applyNumberFormat="1" applyFont="1" applyFill="1" applyBorder="1" applyAlignment="1">
      <alignment horizontal="left"/>
    </xf>
    <xf numFmtId="164" fontId="5" fillId="0" borderId="0" xfId="8" applyNumberFormat="1" applyFont="1" applyFill="1"/>
    <xf numFmtId="0" fontId="27" fillId="6" borderId="0" xfId="14" applyFont="1" applyFill="1" applyBorder="1" applyAlignment="1">
      <alignment wrapText="1"/>
    </xf>
    <xf numFmtId="0" fontId="27" fillId="6" borderId="0" xfId="14" applyFont="1" applyFill="1" applyBorder="1" applyAlignment="1">
      <alignment horizontal="left" vertical="top" wrapText="1"/>
    </xf>
    <xf numFmtId="0" fontId="0" fillId="6" borderId="1" xfId="14" applyFont="1" applyFill="1" applyBorder="1"/>
    <xf numFmtId="0" fontId="0" fillId="6" borderId="0" xfId="14" applyFont="1" applyFill="1" applyBorder="1" applyAlignment="1">
      <alignment horizontal="left"/>
    </xf>
    <xf numFmtId="3" fontId="27" fillId="6" borderId="0" xfId="14" applyNumberFormat="1" applyFont="1" applyFill="1" applyBorder="1" applyAlignment="1"/>
    <xf numFmtId="0" fontId="5" fillId="0" borderId="17" xfId="14" applyFill="1" applyBorder="1"/>
    <xf numFmtId="0" fontId="5" fillId="0" borderId="4" xfId="14" applyFill="1" applyBorder="1"/>
    <xf numFmtId="0" fontId="10" fillId="0" borderId="9" xfId="6" applyFont="1" applyFill="1" applyBorder="1" applyAlignment="1">
      <alignment horizontal="right" vertical="top" wrapText="1"/>
    </xf>
    <xf numFmtId="0" fontId="0" fillId="6" borderId="1" xfId="8" applyFont="1" applyFill="1" applyBorder="1"/>
    <xf numFmtId="0" fontId="5" fillId="0" borderId="17" xfId="7" applyFont="1" applyFill="1" applyBorder="1" applyAlignment="1">
      <alignment wrapText="1"/>
    </xf>
    <xf numFmtId="0" fontId="5" fillId="0" borderId="0" xfId="7" applyFont="1" applyFill="1" applyBorder="1" applyAlignment="1">
      <alignment wrapText="1"/>
    </xf>
    <xf numFmtId="0" fontId="5" fillId="0" borderId="17" xfId="7" applyFont="1" applyFill="1" applyBorder="1" applyAlignment="1">
      <alignment horizontal="center" wrapText="1"/>
    </xf>
    <xf numFmtId="0" fontId="0" fillId="0" borderId="4" xfId="7" applyFont="1" applyFill="1" applyBorder="1" applyAlignment="1">
      <alignment wrapText="1"/>
    </xf>
    <xf numFmtId="3" fontId="0" fillId="6" borderId="1" xfId="8" applyNumberFormat="1" applyFont="1" applyFill="1" applyBorder="1"/>
    <xf numFmtId="0" fontId="5" fillId="0" borderId="3" xfId="7" applyFont="1" applyFill="1" applyBorder="1" applyAlignment="1">
      <alignment vertical="top" wrapText="1"/>
    </xf>
    <xf numFmtId="3" fontId="5" fillId="6" borderId="1" xfId="8" applyNumberFormat="1" applyFill="1" applyBorder="1"/>
    <xf numFmtId="0" fontId="0" fillId="0" borderId="3" xfId="7" applyFont="1" applyFill="1" applyBorder="1" applyAlignment="1">
      <alignment vertical="top" wrapText="1"/>
    </xf>
    <xf numFmtId="0" fontId="0" fillId="6" borderId="0" xfId="14" applyFont="1" applyFill="1" applyBorder="1" applyAlignment="1">
      <alignment wrapText="1"/>
    </xf>
    <xf numFmtId="0" fontId="0" fillId="6" borderId="1" xfId="14" applyFont="1" applyFill="1" applyBorder="1" applyAlignment="1">
      <alignment wrapText="1"/>
    </xf>
    <xf numFmtId="0" fontId="27" fillId="6" borderId="0" xfId="14" applyFont="1" applyFill="1" applyBorder="1"/>
    <xf numFmtId="164" fontId="0" fillId="0" borderId="1" xfId="15" applyNumberFormat="1" applyFont="1" applyFill="1" applyBorder="1"/>
    <xf numFmtId="3" fontId="0" fillId="6" borderId="0" xfId="8" applyNumberFormat="1" applyFont="1" applyFill="1" applyBorder="1" applyAlignment="1"/>
    <xf numFmtId="3" fontId="0" fillId="6" borderId="1" xfId="8" applyNumberFormat="1" applyFont="1" applyFill="1" applyBorder="1" applyAlignment="1"/>
    <xf numFmtId="0" fontId="4" fillId="6" borderId="0" xfId="14" applyFont="1" applyFill="1" applyBorder="1" applyAlignment="1">
      <alignment horizontal="center"/>
    </xf>
    <xf numFmtId="0" fontId="4" fillId="6" borderId="1" xfId="14" applyFont="1" applyFill="1" applyBorder="1" applyAlignment="1">
      <alignment horizontal="center"/>
    </xf>
    <xf numFmtId="3" fontId="27" fillId="6" borderId="0" xfId="8" applyNumberFormat="1" applyFont="1" applyFill="1" applyBorder="1" applyAlignment="1">
      <alignment horizontal="left"/>
    </xf>
    <xf numFmtId="10" fontId="4" fillId="0" borderId="0" xfId="14" applyNumberFormat="1" applyFont="1" applyFill="1" applyBorder="1" applyAlignment="1">
      <alignment horizontal="right"/>
    </xf>
    <xf numFmtId="0" fontId="4" fillId="0" borderId="0" xfId="14" applyFont="1" applyFill="1" applyAlignment="1">
      <alignment horizontal="right"/>
    </xf>
    <xf numFmtId="0" fontId="5" fillId="0" borderId="0" xfId="14" applyFill="1" applyBorder="1" applyAlignment="1">
      <alignment horizontal="right" vertical="center"/>
    </xf>
    <xf numFmtId="0" fontId="5" fillId="0" borderId="0" xfId="14" applyFill="1" applyAlignment="1">
      <alignment horizontal="right" vertical="center"/>
    </xf>
    <xf numFmtId="0" fontId="5" fillId="0" borderId="16" xfId="14" applyFill="1" applyBorder="1" applyAlignment="1">
      <alignment horizontal="right" vertical="center"/>
    </xf>
    <xf numFmtId="0" fontId="0" fillId="0" borderId="0" xfId="0" applyFont="1" applyFill="1" applyAlignment="1">
      <alignment vertical="top" wrapText="1"/>
    </xf>
    <xf numFmtId="0" fontId="0" fillId="0" borderId="0" xfId="7" applyFont="1"/>
    <xf numFmtId="164" fontId="10" fillId="0" borderId="5" xfId="6" applyNumberFormat="1" applyFont="1" applyFill="1" applyBorder="1" applyAlignment="1">
      <alignment horizontal="right" vertical="top" wrapText="1"/>
    </xf>
    <xf numFmtId="164" fontId="4" fillId="0" borderId="16" xfId="8" applyNumberFormat="1" applyFont="1" applyFill="1" applyBorder="1" applyAlignment="1">
      <alignment horizontal="right"/>
    </xf>
    <xf numFmtId="0" fontId="0" fillId="3" borderId="8" xfId="0" applyFill="1" applyBorder="1" applyAlignment="1">
      <alignment vertical="top"/>
    </xf>
    <xf numFmtId="164" fontId="0" fillId="0" borderId="0" xfId="12" applyNumberFormat="1" applyFont="1" applyFill="1" applyBorder="1" applyAlignment="1">
      <alignment horizontal="left"/>
    </xf>
    <xf numFmtId="37" fontId="5" fillId="0" borderId="1" xfId="8" applyNumberFormat="1" applyFill="1" applyBorder="1"/>
    <xf numFmtId="37" fontId="28" fillId="6" borderId="0" xfId="12" applyNumberFormat="1" applyFont="1" applyFill="1" applyBorder="1" applyAlignment="1">
      <alignment horizontal="right"/>
    </xf>
    <xf numFmtId="164" fontId="0" fillId="6" borderId="0" xfId="12" applyNumberFormat="1" applyFont="1" applyFill="1" applyBorder="1" applyAlignment="1">
      <alignment horizontal="right"/>
    </xf>
    <xf numFmtId="3" fontId="27" fillId="6" borderId="0" xfId="12" applyNumberFormat="1" applyFont="1" applyFill="1" applyBorder="1" applyAlignment="1">
      <alignment horizontal="right" wrapText="1"/>
    </xf>
    <xf numFmtId="37" fontId="28" fillId="6" borderId="0" xfId="12" applyNumberFormat="1" applyFont="1" applyFill="1" applyBorder="1" applyAlignment="1">
      <alignment horizontal="right" wrapText="1"/>
    </xf>
    <xf numFmtId="164" fontId="0" fillId="6" borderId="1" xfId="12" applyNumberFormat="1" applyFont="1" applyFill="1" applyBorder="1" applyAlignment="1">
      <alignment horizontal="right"/>
    </xf>
    <xf numFmtId="0" fontId="0" fillId="0" borderId="0" xfId="0" applyBorder="1"/>
    <xf numFmtId="0" fontId="0" fillId="0" borderId="1" xfId="0" applyBorder="1"/>
    <xf numFmtId="37" fontId="10" fillId="0" borderId="4" xfId="7" applyNumberFormat="1" applyFont="1" applyFill="1" applyBorder="1" applyAlignment="1">
      <alignment vertical="top" wrapText="1"/>
    </xf>
    <xf numFmtId="37" fontId="0" fillId="0" borderId="1" xfId="0" applyNumberFormat="1" applyBorder="1"/>
    <xf numFmtId="37" fontId="10" fillId="0" borderId="3" xfId="7" applyNumberFormat="1" applyFont="1" applyFill="1" applyBorder="1" applyAlignment="1">
      <alignment vertical="top" wrapText="1"/>
    </xf>
    <xf numFmtId="0" fontId="5" fillId="0" borderId="0" xfId="14" applyFill="1" applyBorder="1" applyAlignment="1">
      <alignment horizontal="left"/>
    </xf>
    <xf numFmtId="10" fontId="0" fillId="0" borderId="0" xfId="15" applyNumberFormat="1" applyFont="1" applyFill="1" applyBorder="1" applyAlignment="1">
      <alignment horizontal="center" vertical="center"/>
    </xf>
    <xf numFmtId="0" fontId="5" fillId="0" borderId="0" xfId="14" applyFill="1" applyBorder="1" applyAlignment="1">
      <alignment horizontal="left" vertical="center" wrapText="1"/>
    </xf>
    <xf numFmtId="0" fontId="4" fillId="6" borderId="1" xfId="8" applyFont="1" applyFill="1" applyBorder="1" applyAlignment="1">
      <alignment horizontal="center" vertical="top"/>
    </xf>
    <xf numFmtId="3" fontId="0" fillId="6" borderId="1" xfId="14" applyNumberFormat="1" applyFont="1" applyFill="1" applyBorder="1" applyAlignment="1">
      <alignment vertical="top"/>
    </xf>
    <xf numFmtId="3" fontId="5" fillId="6" borderId="1" xfId="1" applyNumberFormat="1" applyFill="1" applyBorder="1" applyAlignment="1">
      <alignment horizontal="right" vertical="top"/>
    </xf>
    <xf numFmtId="0" fontId="0" fillId="3" borderId="0" xfId="0" applyFont="1" applyFill="1"/>
    <xf numFmtId="0" fontId="13" fillId="0" borderId="16" xfId="0" applyFont="1" applyFill="1" applyBorder="1" applyAlignment="1">
      <alignment vertical="top" wrapText="1"/>
    </xf>
    <xf numFmtId="0" fontId="0" fillId="6" borderId="0" xfId="14" applyFont="1" applyFill="1" applyBorder="1" applyAlignment="1"/>
    <xf numFmtId="0" fontId="0" fillId="6" borderId="1" xfId="14" applyFont="1" applyFill="1" applyBorder="1" applyAlignment="1"/>
    <xf numFmtId="0" fontId="30" fillId="5" borderId="0" xfId="11" applyFont="1" applyFill="1" applyAlignment="1">
      <alignment horizontal="center" wrapText="1"/>
    </xf>
    <xf numFmtId="0" fontId="19" fillId="3" borderId="0" xfId="0" applyFont="1" applyFill="1" applyAlignment="1">
      <alignment horizontal="center" wrapText="1"/>
    </xf>
    <xf numFmtId="0" fontId="13" fillId="0" borderId="0" xfId="0" applyFont="1" applyAlignment="1">
      <alignment horizontal="center" wrapText="1"/>
    </xf>
    <xf numFmtId="3" fontId="10" fillId="0" borderId="5" xfId="6" applyNumberFormat="1" applyFont="1" applyFill="1" applyBorder="1" applyAlignment="1">
      <alignment horizontal="right" vertical="top" wrapText="1"/>
    </xf>
    <xf numFmtId="164" fontId="39" fillId="12" borderId="25" xfId="1" applyNumberFormat="1" applyFont="1" applyFill="1" applyBorder="1" applyAlignment="1">
      <alignment vertical="center"/>
    </xf>
    <xf numFmtId="0" fontId="0" fillId="0" borderId="0" xfId="0"/>
    <xf numFmtId="0" fontId="0" fillId="0" borderId="0" xfId="0" applyAlignment="1">
      <alignment horizontal="center" vertical="center"/>
    </xf>
    <xf numFmtId="0" fontId="35" fillId="11" borderId="21" xfId="7" applyFont="1" applyFill="1" applyBorder="1" applyAlignment="1">
      <alignment horizontal="center" vertical="center" wrapText="1"/>
    </xf>
    <xf numFmtId="0" fontId="35" fillId="11" borderId="22" xfId="7" applyFont="1" applyFill="1" applyBorder="1" applyAlignment="1">
      <alignment horizontal="center" vertical="center" wrapText="1"/>
    </xf>
    <xf numFmtId="0" fontId="37" fillId="7" borderId="21" xfId="18" applyFont="1" applyFill="1" applyBorder="1" applyAlignment="1">
      <alignment horizontal="center" vertical="center" wrapText="1"/>
    </xf>
    <xf numFmtId="0" fontId="35" fillId="11" borderId="24" xfId="7" applyFont="1" applyFill="1" applyBorder="1" applyAlignment="1">
      <alignment horizontal="center" vertical="center" wrapText="1"/>
    </xf>
    <xf numFmtId="0" fontId="35" fillId="11" borderId="23" xfId="7" applyFont="1" applyFill="1" applyBorder="1" applyAlignment="1">
      <alignment horizontal="center" vertical="center" wrapText="1"/>
    </xf>
    <xf numFmtId="0" fontId="38" fillId="0" borderId="0" xfId="0" applyFont="1" applyAlignment="1">
      <alignment horizontal="center" wrapText="1"/>
    </xf>
    <xf numFmtId="0" fontId="38" fillId="0" borderId="0" xfId="0" applyFont="1" applyAlignment="1">
      <alignment wrapText="1"/>
    </xf>
    <xf numFmtId="0" fontId="39" fillId="0" borderId="20" xfId="0" applyFont="1" applyBorder="1" applyAlignment="1">
      <alignment horizontal="center" vertical="center"/>
    </xf>
    <xf numFmtId="0" fontId="34" fillId="0" borderId="20" xfId="0" applyFont="1" applyBorder="1" applyAlignment="1">
      <alignment vertical="center" wrapText="1"/>
    </xf>
    <xf numFmtId="0" fontId="39" fillId="0" borderId="20" xfId="0" applyFont="1" applyBorder="1" applyAlignment="1">
      <alignment vertical="center"/>
    </xf>
    <xf numFmtId="0" fontId="34" fillId="0" borderId="4" xfId="0" applyFont="1" applyBorder="1" applyAlignment="1">
      <alignment vertical="center" wrapText="1"/>
    </xf>
    <xf numFmtId="0" fontId="40" fillId="0" borderId="20" xfId="0" applyFont="1" applyBorder="1" applyAlignment="1">
      <alignment vertical="center" wrapText="1"/>
    </xf>
    <xf numFmtId="43" fontId="39" fillId="0" borderId="0" xfId="1" applyFont="1" applyAlignment="1">
      <alignment horizontal="center" vertical="center"/>
    </xf>
    <xf numFmtId="43" fontId="38" fillId="0" borderId="0" xfId="1" applyFont="1" applyAlignment="1">
      <alignment horizontal="center" vertical="center"/>
    </xf>
    <xf numFmtId="0" fontId="39" fillId="0" borderId="0" xfId="0" applyFont="1" applyAlignment="1">
      <alignment vertical="center"/>
    </xf>
    <xf numFmtId="0" fontId="39" fillId="0" borderId="19" xfId="0" applyFont="1" applyBorder="1" applyAlignment="1">
      <alignment horizontal="center" vertical="center"/>
    </xf>
    <xf numFmtId="0" fontId="34" fillId="0" borderId="19" xfId="0" applyFont="1" applyBorder="1" applyAlignment="1">
      <alignment vertical="center" wrapText="1"/>
    </xf>
    <xf numFmtId="0" fontId="39" fillId="0" borderId="19" xfId="0" applyFont="1" applyBorder="1" applyAlignment="1">
      <alignment vertical="center"/>
    </xf>
    <xf numFmtId="0" fontId="34" fillId="0" borderId="27" xfId="0" applyFont="1" applyBorder="1" applyAlignment="1">
      <alignment vertical="center" wrapText="1"/>
    </xf>
    <xf numFmtId="0" fontId="40" fillId="0" borderId="19" xfId="0" applyFont="1" applyBorder="1" applyAlignment="1">
      <alignment vertical="center" wrapText="1"/>
    </xf>
    <xf numFmtId="0" fontId="34" fillId="0" borderId="27" xfId="0" applyFont="1" applyBorder="1" applyAlignment="1">
      <alignment horizontal="left" wrapText="1"/>
    </xf>
    <xf numFmtId="164" fontId="39" fillId="9" borderId="25" xfId="1" applyNumberFormat="1" applyFont="1" applyFill="1" applyBorder="1" applyAlignment="1">
      <alignment vertical="center"/>
    </xf>
    <xf numFmtId="164" fontId="39" fillId="12" borderId="26" xfId="1" applyNumberFormat="1" applyFont="1" applyFill="1" applyBorder="1" applyAlignment="1">
      <alignment vertical="center"/>
    </xf>
    <xf numFmtId="164" fontId="39" fillId="9" borderId="26" xfId="1" applyNumberFormat="1" applyFont="1" applyFill="1" applyBorder="1" applyAlignment="1">
      <alignment vertical="center"/>
    </xf>
    <xf numFmtId="9" fontId="39" fillId="12" borderId="26" xfId="5" applyFont="1" applyFill="1" applyBorder="1" applyAlignment="1">
      <alignment vertical="center"/>
    </xf>
    <xf numFmtId="164" fontId="39" fillId="9" borderId="26" xfId="1" applyNumberFormat="1" applyFont="1" applyFill="1" applyBorder="1" applyAlignment="1">
      <alignment horizontal="center" vertical="center"/>
    </xf>
    <xf numFmtId="9" fontId="39" fillId="9" borderId="26" xfId="5" applyFont="1" applyFill="1" applyBorder="1" applyAlignment="1">
      <alignment vertical="center"/>
    </xf>
    <xf numFmtId="164" fontId="39" fillId="13" borderId="20" xfId="1" applyNumberFormat="1" applyFont="1" applyFill="1" applyBorder="1" applyAlignment="1">
      <alignment vertical="center"/>
    </xf>
    <xf numFmtId="164" fontId="39" fillId="13" borderId="19" xfId="1" applyNumberFormat="1" applyFont="1" applyFill="1" applyBorder="1" applyAlignment="1">
      <alignment vertical="center"/>
    </xf>
    <xf numFmtId="9" fontId="39" fillId="13" borderId="19" xfId="5" applyFont="1" applyFill="1" applyBorder="1" applyAlignment="1">
      <alignment vertical="center"/>
    </xf>
    <xf numFmtId="0" fontId="39" fillId="13" borderId="19" xfId="0" applyFont="1" applyFill="1" applyBorder="1" applyAlignment="1">
      <alignment vertical="center"/>
    </xf>
    <xf numFmtId="0" fontId="19" fillId="3" borderId="1" xfId="0" applyFont="1" applyFill="1" applyBorder="1" applyAlignment="1">
      <alignment horizontal="center" wrapText="1"/>
    </xf>
    <xf numFmtId="0" fontId="22" fillId="0" borderId="2" xfId="6" applyFont="1" applyFill="1" applyBorder="1" applyAlignment="1">
      <alignment horizontal="center" vertical="center" wrapText="1"/>
    </xf>
    <xf numFmtId="0" fontId="22" fillId="0" borderId="1" xfId="6" applyFont="1" applyFill="1" applyBorder="1" applyAlignment="1">
      <alignment horizontal="center" vertical="center" wrapText="1"/>
    </xf>
    <xf numFmtId="0" fontId="22" fillId="0" borderId="4" xfId="6" applyFont="1" applyFill="1" applyBorder="1" applyAlignment="1">
      <alignment horizontal="center" vertical="center" wrapText="1"/>
    </xf>
    <xf numFmtId="3" fontId="27" fillId="6" borderId="0" xfId="14" applyNumberFormat="1" applyFont="1" applyFill="1" applyBorder="1" applyAlignment="1">
      <alignment horizontal="right"/>
    </xf>
    <xf numFmtId="0" fontId="27" fillId="6" borderId="0" xfId="14" applyFont="1" applyFill="1" applyBorder="1" applyAlignment="1"/>
    <xf numFmtId="3" fontId="5" fillId="6" borderId="1" xfId="14" applyNumberFormat="1" applyFill="1" applyBorder="1" applyAlignment="1">
      <alignment horizontal="right"/>
    </xf>
    <xf numFmtId="3" fontId="31" fillId="0" borderId="0" xfId="8" applyNumberFormat="1" applyFont="1" applyFill="1" applyBorder="1" applyAlignment="1">
      <alignment horizontal="right"/>
    </xf>
    <xf numFmtId="0" fontId="31" fillId="0" borderId="16" xfId="8" applyFont="1" applyFill="1" applyBorder="1" applyAlignment="1">
      <alignment horizontal="right"/>
    </xf>
    <xf numFmtId="0" fontId="31" fillId="0" borderId="0" xfId="8" applyFont="1" applyFill="1" applyBorder="1" applyAlignment="1">
      <alignment horizontal="right"/>
    </xf>
    <xf numFmtId="4" fontId="31" fillId="0" borderId="0" xfId="8" applyNumberFormat="1" applyFont="1" applyFill="1" applyBorder="1" applyAlignment="1">
      <alignment horizontal="right"/>
    </xf>
    <xf numFmtId="2" fontId="31" fillId="0" borderId="16" xfId="8" applyNumberFormat="1" applyFont="1" applyFill="1" applyBorder="1" applyAlignment="1">
      <alignment horizontal="right"/>
    </xf>
    <xf numFmtId="166" fontId="4" fillId="0" borderId="0" xfId="8" applyNumberFormat="1" applyFont="1" applyFill="1" applyBorder="1" applyAlignment="1">
      <alignment horizontal="right"/>
    </xf>
    <xf numFmtId="165" fontId="4" fillId="0" borderId="0" xfId="8" applyNumberFormat="1" applyFont="1" applyFill="1" applyBorder="1" applyAlignment="1">
      <alignment horizontal="right"/>
    </xf>
    <xf numFmtId="164" fontId="5" fillId="6" borderId="1" xfId="12" applyNumberFormat="1" applyFont="1" applyFill="1" applyBorder="1" applyAlignment="1">
      <alignment horizontal="right"/>
    </xf>
    <xf numFmtId="0" fontId="0" fillId="10" borderId="0" xfId="8" applyFont="1" applyFill="1" applyBorder="1"/>
    <xf numFmtId="0" fontId="5" fillId="10" borderId="0" xfId="10" applyFont="1" applyFill="1" applyBorder="1" applyAlignment="1">
      <alignment horizontal="center" vertical="center" wrapText="1"/>
    </xf>
    <xf numFmtId="164" fontId="5" fillId="10" borderId="0" xfId="12" applyNumberFormat="1" applyFont="1" applyFill="1" applyBorder="1"/>
    <xf numFmtId="0" fontId="4" fillId="10" borderId="0" xfId="8" applyFont="1" applyFill="1" applyBorder="1"/>
    <xf numFmtId="0" fontId="4" fillId="10" borderId="0" xfId="8" applyFont="1" applyFill="1" applyBorder="1" applyAlignment="1">
      <alignment horizontal="right"/>
    </xf>
    <xf numFmtId="0" fontId="30" fillId="5" borderId="18" xfId="10" applyFont="1" applyFill="1" applyBorder="1" applyAlignment="1">
      <alignment horizontal="center" wrapText="1"/>
    </xf>
    <xf numFmtId="0" fontId="23" fillId="5" borderId="16" xfId="11" applyFont="1" applyFill="1" applyBorder="1" applyAlignment="1">
      <alignment horizontal="left" wrapText="1"/>
    </xf>
    <xf numFmtId="0" fontId="23" fillId="5" borderId="16" xfId="10" applyFont="1" applyFill="1" applyBorder="1" applyAlignment="1">
      <alignment horizontal="center" wrapText="1"/>
    </xf>
    <xf numFmtId="0" fontId="30" fillId="7" borderId="16" xfId="8" applyFont="1" applyFill="1" applyBorder="1" applyAlignment="1">
      <alignment horizontal="left"/>
    </xf>
    <xf numFmtId="0" fontId="30" fillId="7" borderId="16" xfId="8" applyFont="1" applyFill="1" applyBorder="1"/>
    <xf numFmtId="0" fontId="30" fillId="7" borderId="16" xfId="8" applyNumberFormat="1" applyFont="1" applyFill="1" applyBorder="1" applyAlignment="1">
      <alignment horizontal="right"/>
    </xf>
    <xf numFmtId="0" fontId="30" fillId="8" borderId="17" xfId="10" applyFont="1" applyFill="1" applyBorder="1" applyAlignment="1">
      <alignment horizontal="center" wrapText="1"/>
    </xf>
    <xf numFmtId="167" fontId="5" fillId="0" borderId="0" xfId="8" applyNumberFormat="1" applyFill="1" applyBorder="1" applyAlignment="1"/>
    <xf numFmtId="0" fontId="27" fillId="6" borderId="0" xfId="8" applyFont="1" applyFill="1" applyBorder="1" applyAlignment="1">
      <alignment vertical="top" wrapText="1"/>
    </xf>
    <xf numFmtId="0" fontId="27" fillId="6" borderId="0" xfId="8" applyFont="1" applyFill="1" applyBorder="1" applyAlignment="1">
      <alignment horizontal="left" vertical="top" wrapText="1"/>
    </xf>
    <xf numFmtId="43" fontId="5" fillId="0" borderId="0" xfId="15" applyNumberFormat="1" applyFill="1" applyBorder="1"/>
    <xf numFmtId="164" fontId="10" fillId="0" borderId="0" xfId="6" applyNumberFormat="1" applyFont="1" applyFill="1" applyAlignment="1">
      <alignment horizontal="center" vertical="top" wrapText="1"/>
    </xf>
    <xf numFmtId="3" fontId="0" fillId="6" borderId="1" xfId="12" applyNumberFormat="1" applyFont="1" applyFill="1" applyBorder="1" applyAlignment="1">
      <alignment horizontal="right" vertical="top"/>
    </xf>
    <xf numFmtId="3" fontId="41" fillId="6" borderId="0" xfId="1" applyNumberFormat="1" applyFont="1" applyFill="1" applyBorder="1" applyAlignment="1">
      <alignment horizontal="right" wrapText="1"/>
    </xf>
    <xf numFmtId="3" fontId="0" fillId="0" borderId="0" xfId="0" applyNumberFormat="1"/>
    <xf numFmtId="0" fontId="5" fillId="0" borderId="0" xfId="8" applyFill="1"/>
    <xf numFmtId="0" fontId="0" fillId="0" borderId="4" xfId="7" applyFont="1" applyFill="1" applyBorder="1" applyAlignment="1">
      <alignment vertical="top" wrapText="1"/>
    </xf>
    <xf numFmtId="0" fontId="0" fillId="6" borderId="0" xfId="8" applyFont="1" applyFill="1" applyBorder="1"/>
    <xf numFmtId="0" fontId="5" fillId="6" borderId="1" xfId="8" applyFill="1" applyBorder="1" applyAlignment="1">
      <alignment vertical="top"/>
    </xf>
    <xf numFmtId="3" fontId="0" fillId="6" borderId="0" xfId="1" quotePrefix="1" applyNumberFormat="1" applyFont="1" applyFill="1" applyBorder="1" applyAlignment="1">
      <alignment horizontal="right"/>
    </xf>
    <xf numFmtId="3" fontId="41" fillId="6" borderId="0" xfId="1" applyNumberFormat="1" applyFont="1" applyFill="1" applyBorder="1" applyAlignment="1">
      <alignment horizontal="right"/>
    </xf>
    <xf numFmtId="0" fontId="10" fillId="0" borderId="8" xfId="0" applyFont="1" applyFill="1" applyBorder="1" applyAlignment="1">
      <alignment horizontal="left" vertical="top" wrapText="1"/>
    </xf>
    <xf numFmtId="0" fontId="19" fillId="0" borderId="4" xfId="0" applyFont="1" applyFill="1" applyBorder="1" applyAlignment="1">
      <alignment horizontal="center" wrapText="1"/>
    </xf>
    <xf numFmtId="0" fontId="19" fillId="0" borderId="0" xfId="0" applyFont="1" applyFill="1" applyAlignment="1">
      <alignment horizontal="center" wrapText="1"/>
    </xf>
    <xf numFmtId="3" fontId="10" fillId="0" borderId="8" xfId="0" applyNumberFormat="1" applyFont="1" applyBorder="1" applyAlignment="1">
      <alignment horizontal="right" vertical="top" wrapText="1"/>
    </xf>
    <xf numFmtId="0" fontId="4" fillId="0" borderId="0" xfId="8" applyFont="1" applyFill="1" applyBorder="1" applyAlignment="1">
      <alignment horizontal="center" vertical="center" wrapText="1"/>
    </xf>
    <xf numFmtId="0" fontId="5" fillId="6" borderId="0" xfId="7" applyFont="1" applyFill="1" applyBorder="1" applyAlignment="1">
      <alignment horizontal="left" vertical="top" wrapText="1"/>
    </xf>
    <xf numFmtId="0" fontId="13" fillId="0" borderId="0" xfId="8" applyFont="1" applyFill="1" applyBorder="1" applyAlignment="1">
      <alignment horizontal="center" vertical="center" wrapText="1"/>
    </xf>
    <xf numFmtId="0" fontId="10" fillId="0" borderId="0" xfId="8" applyFont="1" applyFill="1" applyBorder="1" applyAlignment="1">
      <alignment horizontal="left" vertical="center"/>
    </xf>
    <xf numFmtId="4" fontId="10" fillId="0" borderId="0" xfId="8" applyNumberFormat="1" applyFont="1" applyFill="1" applyBorder="1" applyAlignment="1">
      <alignment horizontal="right" vertical="center"/>
    </xf>
    <xf numFmtId="0" fontId="13" fillId="0" borderId="0" xfId="8" applyFont="1" applyFill="1" applyBorder="1" applyAlignment="1">
      <alignment horizontal="center"/>
    </xf>
    <xf numFmtId="3" fontId="10" fillId="0" borderId="0" xfId="8" applyNumberFormat="1" applyFont="1" applyFill="1" applyBorder="1" applyAlignment="1"/>
    <xf numFmtId="3" fontId="10" fillId="0" borderId="0" xfId="8" applyNumberFormat="1" applyFont="1" applyFill="1" applyBorder="1"/>
    <xf numFmtId="0" fontId="10" fillId="0" borderId="0" xfId="7" applyFont="1" applyFill="1" applyBorder="1" applyAlignment="1">
      <alignment horizontal="left" vertical="top" wrapText="1"/>
    </xf>
    <xf numFmtId="0" fontId="42" fillId="0" borderId="0" xfId="7" applyFont="1" applyFill="1" applyBorder="1" applyAlignment="1">
      <alignment vertical="top"/>
    </xf>
    <xf numFmtId="0" fontId="31" fillId="0" borderId="1" xfId="8" applyFont="1" applyFill="1" applyBorder="1" applyAlignment="1">
      <alignment horizontal="right"/>
    </xf>
    <xf numFmtId="0" fontId="10" fillId="0" borderId="5" xfId="0" applyFont="1" applyBorder="1" applyAlignment="1">
      <alignment horizontal="right" vertical="top" wrapText="1"/>
    </xf>
    <xf numFmtId="0" fontId="10" fillId="0" borderId="0" xfId="0" applyFont="1" applyAlignment="1">
      <alignment horizontal="right" vertical="top" wrapText="1"/>
    </xf>
    <xf numFmtId="0" fontId="10" fillId="0" borderId="0" xfId="6" applyFont="1" applyFill="1" applyAlignment="1">
      <alignment horizontal="right" vertical="top" wrapText="1"/>
    </xf>
    <xf numFmtId="0" fontId="10" fillId="0" borderId="8" xfId="0" applyFont="1" applyBorder="1" applyAlignment="1">
      <alignment horizontal="center" vertical="top" wrapText="1"/>
    </xf>
    <xf numFmtId="0" fontId="10" fillId="0" borderId="8" xfId="0" applyFont="1" applyFill="1" applyBorder="1" applyAlignment="1">
      <alignment horizontal="right" vertical="top" wrapText="1"/>
    </xf>
    <xf numFmtId="0" fontId="4" fillId="0" borderId="0" xfId="8" applyFont="1" applyFill="1" applyBorder="1" applyAlignment="1">
      <alignment wrapText="1"/>
    </xf>
    <xf numFmtId="164" fontId="5" fillId="0" borderId="0" xfId="12" applyNumberFormat="1" applyFont="1" applyFill="1" applyBorder="1"/>
    <xf numFmtId="0" fontId="4" fillId="0" borderId="0" xfId="14" applyFont="1" applyFill="1" applyBorder="1" applyAlignment="1">
      <alignment wrapText="1"/>
    </xf>
    <xf numFmtId="3" fontId="5" fillId="0" borderId="0" xfId="14" applyNumberFormat="1" applyFont="1" applyFill="1" applyBorder="1"/>
    <xf numFmtId="3" fontId="5" fillId="0" borderId="0" xfId="15" applyNumberFormat="1" applyFont="1" applyFill="1" applyBorder="1"/>
    <xf numFmtId="3" fontId="5" fillId="0" borderId="0" xfId="8" applyNumberFormat="1" applyFont="1" applyFill="1" applyBorder="1"/>
    <xf numFmtId="0" fontId="23" fillId="5" borderId="16" xfId="11" applyFont="1" applyFill="1" applyBorder="1" applyAlignment="1">
      <alignment horizontal="center" wrapText="1"/>
    </xf>
    <xf numFmtId="0" fontId="34" fillId="0" borderId="19" xfId="0" applyFont="1" applyFill="1" applyBorder="1" applyAlignment="1">
      <alignment vertical="top" wrapText="1"/>
    </xf>
    <xf numFmtId="0" fontId="18" fillId="0" borderId="19" xfId="0" applyFont="1" applyFill="1" applyBorder="1" applyAlignment="1">
      <alignment vertical="top" wrapText="1"/>
    </xf>
    <xf numFmtId="0" fontId="0" fillId="12" borderId="19" xfId="0" applyFill="1" applyBorder="1" applyAlignment="1">
      <alignment vertical="top" wrapText="1"/>
    </xf>
    <xf numFmtId="0" fontId="0" fillId="9" borderId="19" xfId="0" applyFill="1" applyBorder="1" applyAlignment="1">
      <alignment vertical="top" wrapText="1"/>
    </xf>
    <xf numFmtId="10" fontId="39" fillId="12" borderId="26" xfId="1" applyNumberFormat="1" applyFont="1" applyFill="1" applyBorder="1" applyAlignment="1">
      <alignment vertical="center"/>
    </xf>
    <xf numFmtId="10" fontId="39" fillId="9" borderId="26" xfId="1" applyNumberFormat="1" applyFont="1" applyFill="1" applyBorder="1" applyAlignment="1">
      <alignment vertical="center"/>
    </xf>
    <xf numFmtId="3" fontId="10" fillId="0" borderId="0" xfId="1" applyNumberFormat="1" applyFont="1" applyBorder="1"/>
    <xf numFmtId="3" fontId="0" fillId="0" borderId="0" xfId="12" applyNumberFormat="1" applyFont="1" applyFill="1" applyBorder="1"/>
    <xf numFmtId="3" fontId="0" fillId="0" borderId="1" xfId="12" applyNumberFormat="1" applyFont="1" applyFill="1" applyBorder="1"/>
    <xf numFmtId="0" fontId="0" fillId="0" borderId="0" xfId="0" applyFill="1" applyBorder="1"/>
    <xf numFmtId="41" fontId="9" fillId="0" borderId="0" xfId="8" applyNumberFormat="1" applyFont="1" applyFill="1" applyBorder="1"/>
    <xf numFmtId="0" fontId="0" fillId="0" borderId="16" xfId="8" applyFont="1" applyFill="1" applyBorder="1"/>
    <xf numFmtId="0" fontId="0" fillId="0" borderId="2" xfId="8" applyFont="1" applyFill="1" applyBorder="1"/>
    <xf numFmtId="168" fontId="5" fillId="0" borderId="0" xfId="8" applyNumberFormat="1"/>
    <xf numFmtId="168" fontId="5" fillId="0" borderId="0" xfId="8" applyNumberFormat="1" applyFill="1"/>
    <xf numFmtId="168" fontId="10" fillId="0" borderId="0" xfId="8" applyNumberFormat="1" applyFont="1" applyFill="1"/>
    <xf numFmtId="168" fontId="10" fillId="0" borderId="8" xfId="0" applyNumberFormat="1" applyFont="1" applyBorder="1" applyAlignment="1">
      <alignment vertical="top" wrapText="1"/>
    </xf>
    <xf numFmtId="0" fontId="5" fillId="0" borderId="29" xfId="8" applyFill="1" applyBorder="1" applyAlignment="1"/>
    <xf numFmtId="0" fontId="0" fillId="0" borderId="0" xfId="8" applyFont="1"/>
    <xf numFmtId="0" fontId="0" fillId="6" borderId="1" xfId="8" applyFont="1" applyFill="1" applyBorder="1" applyAlignment="1">
      <alignment vertical="top"/>
    </xf>
    <xf numFmtId="3" fontId="10" fillId="6" borderId="0" xfId="8" applyNumberFormat="1" applyFont="1" applyFill="1" applyAlignment="1">
      <alignment horizontal="right"/>
    </xf>
    <xf numFmtId="3" fontId="13" fillId="0" borderId="0" xfId="8" applyNumberFormat="1" applyFont="1" applyFill="1" applyBorder="1" applyAlignment="1">
      <alignment horizontal="right"/>
    </xf>
    <xf numFmtId="3" fontId="45" fillId="6" borderId="0" xfId="12" applyNumberFormat="1" applyFont="1" applyFill="1" applyBorder="1" applyAlignment="1">
      <alignment horizontal="right"/>
    </xf>
    <xf numFmtId="0" fontId="5" fillId="6" borderId="0" xfId="8" applyFill="1" applyBorder="1" applyAlignment="1">
      <alignment vertical="top"/>
    </xf>
    <xf numFmtId="0" fontId="5" fillId="0" borderId="0" xfId="8" applyFill="1" applyBorder="1" applyAlignment="1">
      <alignment vertical="top"/>
    </xf>
    <xf numFmtId="3" fontId="0" fillId="0" borderId="0" xfId="12" applyNumberFormat="1" applyFont="1" applyFill="1" applyBorder="1" applyAlignment="1">
      <alignment horizontal="right" vertical="top"/>
    </xf>
    <xf numFmtId="0" fontId="0" fillId="0" borderId="0" xfId="7" applyFont="1" applyAlignment="1">
      <alignment vertical="center"/>
    </xf>
    <xf numFmtId="3" fontId="10" fillId="6" borderId="1" xfId="8" applyNumberFormat="1" applyFont="1" applyFill="1" applyBorder="1" applyAlignment="1">
      <alignment horizontal="right"/>
    </xf>
    <xf numFmtId="3" fontId="5" fillId="0" borderId="0" xfId="12" applyNumberFormat="1" applyFont="1" applyFill="1" applyBorder="1"/>
    <xf numFmtId="0" fontId="4" fillId="0" borderId="0" xfId="14" applyFont="1" applyFill="1" applyBorder="1" applyAlignment="1">
      <alignment horizontal="center" vertical="top" wrapText="1"/>
    </xf>
    <xf numFmtId="0" fontId="26" fillId="0" borderId="4" xfId="7" applyFont="1" applyBorder="1" applyAlignment="1">
      <alignment wrapText="1"/>
    </xf>
    <xf numFmtId="0" fontId="4" fillId="10" borderId="3" xfId="8" applyFont="1" applyFill="1" applyBorder="1"/>
    <xf numFmtId="0" fontId="0" fillId="0" borderId="0" xfId="8" applyFont="1" applyFill="1"/>
    <xf numFmtId="0" fontId="9" fillId="0" borderId="3" xfId="7" applyFont="1" applyFill="1" applyBorder="1" applyAlignment="1">
      <alignment wrapText="1"/>
    </xf>
    <xf numFmtId="0" fontId="9" fillId="0" borderId="3" xfId="7" applyFont="1" applyBorder="1"/>
    <xf numFmtId="0" fontId="0" fillId="0" borderId="0" xfId="14" applyFont="1" applyFill="1"/>
    <xf numFmtId="0" fontId="31" fillId="0" borderId="16" xfId="8" applyFont="1" applyFill="1" applyBorder="1"/>
    <xf numFmtId="0" fontId="0" fillId="0" borderId="4" xfId="7" applyFont="1" applyFill="1" applyBorder="1" applyAlignment="1">
      <alignment horizontal="left" vertical="top" wrapText="1"/>
    </xf>
    <xf numFmtId="10" fontId="5" fillId="0" borderId="0" xfId="8" applyNumberFormat="1" applyFill="1" applyBorder="1" applyAlignment="1">
      <alignment vertical="center"/>
    </xf>
    <xf numFmtId="10" fontId="4" fillId="0" borderId="16" xfId="14" applyNumberFormat="1" applyFont="1" applyFill="1" applyBorder="1"/>
    <xf numFmtId="3" fontId="0" fillId="6" borderId="1" xfId="8" applyNumberFormat="1" applyFont="1" applyFill="1" applyBorder="1" applyAlignment="1">
      <alignment wrapText="1"/>
    </xf>
    <xf numFmtId="3" fontId="0" fillId="6" borderId="1" xfId="12" applyNumberFormat="1" applyFont="1" applyFill="1" applyBorder="1" applyAlignment="1">
      <alignment horizontal="right"/>
    </xf>
    <xf numFmtId="0" fontId="45" fillId="6" borderId="0" xfId="14" applyFont="1" applyFill="1" applyBorder="1" applyAlignment="1">
      <alignment wrapText="1"/>
    </xf>
    <xf numFmtId="0" fontId="27" fillId="6" borderId="0" xfId="14" applyFont="1" applyFill="1" applyBorder="1" applyAlignment="1">
      <alignment horizontal="left" wrapText="1"/>
    </xf>
    <xf numFmtId="41" fontId="10" fillId="0" borderId="0" xfId="8" applyNumberFormat="1" applyFont="1" applyFill="1" applyBorder="1"/>
    <xf numFmtId="37" fontId="0" fillId="6" borderId="3" xfId="12" applyNumberFormat="1" applyFont="1" applyFill="1" applyBorder="1" applyAlignment="1">
      <alignment horizontal="left"/>
    </xf>
    <xf numFmtId="0" fontId="4" fillId="6" borderId="16" xfId="8" applyFont="1" applyFill="1" applyBorder="1" applyAlignment="1">
      <alignment horizontal="center"/>
    </xf>
    <xf numFmtId="0" fontId="27" fillId="6" borderId="16" xfId="8" applyFont="1" applyFill="1" applyBorder="1"/>
    <xf numFmtId="3" fontId="27" fillId="6" borderId="16" xfId="8" applyNumberFormat="1" applyFont="1" applyFill="1" applyBorder="1" applyAlignment="1">
      <alignment horizontal="right"/>
    </xf>
    <xf numFmtId="0" fontId="5" fillId="0" borderId="16" xfId="7" applyFont="1" applyFill="1" applyBorder="1" applyAlignment="1">
      <alignment horizontal="left" vertical="top" wrapText="1"/>
    </xf>
    <xf numFmtId="0" fontId="10" fillId="0" borderId="0" xfId="0" applyFont="1" applyAlignment="1">
      <alignment horizontal="right" vertical="top"/>
    </xf>
    <xf numFmtId="0" fontId="13" fillId="0" borderId="0" xfId="0" applyFont="1" applyAlignment="1">
      <alignment horizontal="right" vertical="center" wrapText="1"/>
    </xf>
    <xf numFmtId="4" fontId="13" fillId="0" borderId="0" xfId="0" applyNumberFormat="1" applyFont="1" applyAlignment="1">
      <alignment horizontal="center" vertical="center" wrapText="1"/>
    </xf>
    <xf numFmtId="37" fontId="44" fillId="0" borderId="28" xfId="19" applyNumberFormat="1" applyFont="1" applyFill="1" applyBorder="1" applyAlignment="1">
      <alignment horizontal="right" wrapText="1"/>
    </xf>
    <xf numFmtId="37" fontId="0" fillId="0" borderId="0" xfId="0" applyNumberFormat="1"/>
    <xf numFmtId="3" fontId="10" fillId="6" borderId="0" xfId="12" applyNumberFormat="1" applyFont="1" applyFill="1" applyBorder="1" applyAlignment="1">
      <alignment horizontal="right"/>
    </xf>
    <xf numFmtId="3" fontId="5" fillId="0" borderId="0" xfId="8" applyNumberFormat="1" applyFill="1" applyBorder="1" applyAlignment="1">
      <alignment horizontal="center"/>
    </xf>
    <xf numFmtId="3" fontId="10" fillId="6" borderId="0" xfId="1" applyNumberFormat="1" applyFont="1" applyFill="1" applyBorder="1" applyAlignment="1">
      <alignment horizontal="right"/>
    </xf>
    <xf numFmtId="3" fontId="5" fillId="6" borderId="0" xfId="1" applyNumberFormat="1" applyFont="1" applyFill="1" applyBorder="1" applyAlignment="1">
      <alignment horizontal="right"/>
    </xf>
    <xf numFmtId="0" fontId="9" fillId="0" borderId="3" xfId="7" applyFont="1" applyFill="1" applyBorder="1" applyAlignment="1">
      <alignment horizontal="left" wrapText="1"/>
    </xf>
    <xf numFmtId="10" fontId="5" fillId="0" borderId="0" xfId="8" applyNumberFormat="1" applyFill="1" applyAlignment="1">
      <alignment horizontal="center" vertical="center"/>
    </xf>
    <xf numFmtId="10" fontId="4" fillId="0" borderId="16" xfId="8" applyNumberFormat="1" applyFont="1" applyFill="1" applyBorder="1"/>
    <xf numFmtId="3" fontId="27" fillId="6" borderId="0" xfId="15" applyNumberFormat="1" applyFont="1" applyFill="1" applyBorder="1" applyAlignment="1">
      <alignment horizontal="center"/>
    </xf>
    <xf numFmtId="3" fontId="5" fillId="6" borderId="0" xfId="15" applyNumberFormat="1" applyFont="1" applyFill="1" applyBorder="1" applyAlignment="1">
      <alignment horizontal="center"/>
    </xf>
    <xf numFmtId="3" fontId="45" fillId="6" borderId="0" xfId="8" applyNumberFormat="1" applyFont="1" applyFill="1" applyBorder="1" applyAlignment="1">
      <alignment horizontal="right"/>
    </xf>
    <xf numFmtId="0" fontId="4" fillId="0" borderId="17" xfId="14" applyFont="1" applyFill="1" applyBorder="1" applyAlignment="1">
      <alignment horizontal="right"/>
    </xf>
    <xf numFmtId="3" fontId="27" fillId="6" borderId="3" xfId="1" applyNumberFormat="1" applyFont="1" applyFill="1" applyBorder="1" applyAlignment="1">
      <alignment horizontal="right"/>
    </xf>
    <xf numFmtId="3" fontId="5" fillId="6" borderId="3" xfId="1" applyNumberFormat="1" applyFill="1" applyBorder="1" applyAlignment="1">
      <alignment horizontal="right"/>
    </xf>
    <xf numFmtId="3" fontId="4" fillId="0" borderId="3" xfId="1" applyNumberFormat="1" applyFont="1" applyFill="1" applyBorder="1" applyAlignment="1">
      <alignment horizontal="right"/>
    </xf>
    <xf numFmtId="3" fontId="5" fillId="6" borderId="4" xfId="1" applyNumberFormat="1" applyFill="1" applyBorder="1" applyAlignment="1">
      <alignment horizontal="right"/>
    </xf>
    <xf numFmtId="0" fontId="5" fillId="0" borderId="34" xfId="7" applyFont="1" applyFill="1" applyBorder="1" applyAlignment="1">
      <alignment vertical="top" wrapText="1"/>
    </xf>
    <xf numFmtId="169" fontId="10" fillId="0" borderId="0" xfId="8" applyNumberFormat="1" applyFont="1" applyFill="1" applyBorder="1" applyAlignment="1">
      <alignment horizontal="right" vertical="center"/>
    </xf>
    <xf numFmtId="169" fontId="31" fillId="0" borderId="0" xfId="8" applyNumberFormat="1" applyFont="1" applyFill="1" applyBorder="1" applyAlignment="1">
      <alignment horizontal="right"/>
    </xf>
    <xf numFmtId="3" fontId="27" fillId="6" borderId="0" xfId="12" applyNumberFormat="1" applyFont="1" applyFill="1" applyBorder="1" applyAlignment="1">
      <alignment horizontal="center" vertical="center"/>
    </xf>
    <xf numFmtId="3" fontId="27" fillId="6" borderId="16" xfId="12" applyNumberFormat="1" applyFont="1" applyFill="1" applyBorder="1" applyAlignment="1">
      <alignment horizontal="center" vertical="center"/>
    </xf>
    <xf numFmtId="0" fontId="0" fillId="0" borderId="1" xfId="14" applyFont="1" applyFill="1" applyBorder="1"/>
    <xf numFmtId="37" fontId="5" fillId="0" borderId="0" xfId="14" applyNumberFormat="1" applyFill="1"/>
    <xf numFmtId="3" fontId="10" fillId="6" borderId="1" xfId="14" applyNumberFormat="1" applyFont="1" applyFill="1" applyBorder="1" applyAlignment="1">
      <alignment vertical="top"/>
    </xf>
    <xf numFmtId="0" fontId="10" fillId="6" borderId="0" xfId="0" applyFont="1" applyFill="1" applyAlignment="1">
      <alignment vertical="top" wrapText="1"/>
    </xf>
    <xf numFmtId="0" fontId="19" fillId="6" borderId="0" xfId="0" applyFont="1" applyFill="1" applyAlignment="1">
      <alignment horizontal="center" wrapText="1"/>
    </xf>
    <xf numFmtId="0" fontId="10" fillId="6" borderId="5" xfId="0" applyFont="1" applyFill="1" applyBorder="1" applyAlignment="1">
      <alignment vertical="top" wrapText="1"/>
    </xf>
    <xf numFmtId="0" fontId="10" fillId="6" borderId="8" xfId="0" applyFont="1" applyFill="1" applyBorder="1" applyAlignment="1">
      <alignment vertical="top" wrapText="1"/>
    </xf>
    <xf numFmtId="0" fontId="10" fillId="6" borderId="0" xfId="0" applyFont="1" applyFill="1" applyAlignment="1">
      <alignment horizontal="center" vertical="top" wrapText="1"/>
    </xf>
    <xf numFmtId="0" fontId="10" fillId="6" borderId="5"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6" borderId="9" xfId="0" applyFont="1" applyFill="1" applyBorder="1" applyAlignment="1">
      <alignment horizontal="center" vertical="top" wrapText="1"/>
    </xf>
    <xf numFmtId="3" fontId="19" fillId="3" borderId="1" xfId="0" applyNumberFormat="1" applyFont="1" applyFill="1" applyBorder="1" applyAlignment="1">
      <alignment horizontal="center" wrapText="1"/>
    </xf>
    <xf numFmtId="3" fontId="19" fillId="3" borderId="4" xfId="0" applyNumberFormat="1" applyFont="1" applyFill="1" applyBorder="1" applyAlignment="1">
      <alignment horizontal="center" wrapText="1"/>
    </xf>
    <xf numFmtId="3" fontId="10" fillId="0" borderId="9" xfId="6" applyNumberFormat="1" applyFont="1" applyFill="1" applyBorder="1" applyAlignment="1">
      <alignment horizontal="right" vertical="top" wrapText="1"/>
    </xf>
    <xf numFmtId="3" fontId="10" fillId="0" borderId="0" xfId="6" applyNumberFormat="1" applyFont="1" applyFill="1" applyAlignment="1">
      <alignment horizontal="right" vertical="top" wrapText="1"/>
    </xf>
    <xf numFmtId="3" fontId="10" fillId="0" borderId="0" xfId="0" applyNumberFormat="1" applyFont="1" applyAlignment="1">
      <alignment horizontal="right" vertical="top" wrapText="1"/>
    </xf>
    <xf numFmtId="3" fontId="10" fillId="9" borderId="8" xfId="0" applyNumberFormat="1" applyFont="1" applyFill="1" applyBorder="1" applyAlignment="1">
      <alignment horizontal="right" vertical="top" wrapText="1"/>
    </xf>
    <xf numFmtId="3" fontId="10" fillId="9" borderId="6" xfId="0" applyNumberFormat="1" applyFont="1" applyFill="1" applyBorder="1" applyAlignment="1">
      <alignment horizontal="right" vertical="top" wrapText="1"/>
    </xf>
    <xf numFmtId="3" fontId="10" fillId="0" borderId="0" xfId="6" applyNumberFormat="1" applyFont="1" applyFill="1" applyAlignment="1">
      <alignment horizontal="center" vertical="top" wrapText="1"/>
    </xf>
    <xf numFmtId="3" fontId="0" fillId="6" borderId="1" xfId="12" applyNumberFormat="1" applyFont="1" applyFill="1" applyBorder="1" applyAlignment="1">
      <alignment horizontal="center" vertical="top"/>
    </xf>
    <xf numFmtId="10" fontId="10" fillId="0" borderId="8" xfId="0" applyNumberFormat="1" applyFont="1" applyBorder="1" applyAlignment="1">
      <alignment horizontal="right" vertical="top" wrapText="1"/>
    </xf>
    <xf numFmtId="10" fontId="10" fillId="9" borderId="6" xfId="0" applyNumberFormat="1" applyFont="1" applyFill="1" applyBorder="1" applyAlignment="1">
      <alignment horizontal="right" vertical="top" wrapText="1"/>
    </xf>
    <xf numFmtId="3" fontId="10" fillId="9" borderId="5" xfId="0" applyNumberFormat="1" applyFont="1" applyFill="1" applyBorder="1" applyAlignment="1">
      <alignment horizontal="right" vertical="top" wrapText="1"/>
    </xf>
    <xf numFmtId="3" fontId="10" fillId="9" borderId="9" xfId="0" applyNumberFormat="1" applyFont="1" applyFill="1" applyBorder="1" applyAlignment="1">
      <alignment horizontal="right" vertical="top" wrapText="1"/>
    </xf>
    <xf numFmtId="164" fontId="10" fillId="9" borderId="5" xfId="1" applyNumberFormat="1" applyFont="1" applyFill="1" applyBorder="1" applyAlignment="1">
      <alignment horizontal="right" vertical="top" wrapText="1"/>
    </xf>
    <xf numFmtId="164" fontId="10" fillId="9" borderId="9" xfId="1" applyNumberFormat="1" applyFont="1" applyFill="1" applyBorder="1" applyAlignment="1">
      <alignment horizontal="right" vertical="top" wrapText="1"/>
    </xf>
    <xf numFmtId="3" fontId="10" fillId="6" borderId="1" xfId="1" applyNumberFormat="1" applyFont="1" applyFill="1" applyBorder="1" applyAlignment="1">
      <alignment horizontal="right" vertical="top"/>
    </xf>
    <xf numFmtId="3" fontId="45" fillId="6" borderId="0" xfId="14" applyNumberFormat="1" applyFont="1" applyFill="1" applyBorder="1" applyAlignment="1">
      <alignment horizontal="right"/>
    </xf>
    <xf numFmtId="0" fontId="10" fillId="0" borderId="15" xfId="0" applyFont="1" applyBorder="1" applyAlignment="1">
      <alignment horizontal="center" vertical="top" wrapText="1"/>
    </xf>
    <xf numFmtId="0" fontId="10" fillId="0" borderId="11" xfId="0" applyFont="1" applyBorder="1" applyAlignment="1">
      <alignment horizontal="center" vertical="top" wrapText="1"/>
    </xf>
    <xf numFmtId="0" fontId="10" fillId="3" borderId="8"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13" xfId="0" applyFont="1" applyBorder="1" applyAlignment="1">
      <alignment horizontal="center" vertical="top" wrapText="1"/>
    </xf>
    <xf numFmtId="3" fontId="4" fillId="14" borderId="19" xfId="0" applyNumberFormat="1" applyFont="1" applyFill="1" applyBorder="1" applyAlignment="1">
      <alignment vertical="top" wrapText="1"/>
    </xf>
    <xf numFmtId="4" fontId="4" fillId="3" borderId="19" xfId="0" applyNumberFormat="1" applyFont="1" applyFill="1" applyBorder="1" applyAlignment="1">
      <alignment vertical="top" wrapText="1"/>
    </xf>
    <xf numFmtId="3" fontId="0" fillId="3" borderId="19" xfId="0" applyNumberFormat="1" applyFont="1" applyFill="1" applyBorder="1" applyAlignment="1">
      <alignment vertical="top" wrapText="1"/>
    </xf>
    <xf numFmtId="4" fontId="0" fillId="3" borderId="19" xfId="0" applyNumberFormat="1" applyFont="1" applyFill="1" applyBorder="1" applyAlignment="1">
      <alignment vertical="top" wrapText="1"/>
    </xf>
    <xf numFmtId="4" fontId="4" fillId="3" borderId="31" xfId="0" applyNumberFormat="1" applyFont="1" applyFill="1" applyBorder="1" applyAlignment="1">
      <alignment vertical="top" wrapText="1"/>
    </xf>
    <xf numFmtId="4" fontId="0" fillId="3" borderId="31" xfId="0" applyNumberFormat="1" applyFont="1" applyFill="1" applyBorder="1" applyAlignment="1">
      <alignment vertical="top" wrapText="1"/>
    </xf>
    <xf numFmtId="0" fontId="11" fillId="3" borderId="0" xfId="0" applyFont="1" applyFill="1" applyAlignment="1">
      <alignment horizontal="center"/>
    </xf>
    <xf numFmtId="0" fontId="17" fillId="3" borderId="0" xfId="0" applyFont="1" applyFill="1" applyAlignment="1">
      <alignment horizontal="center"/>
    </xf>
    <xf numFmtId="0" fontId="19" fillId="0" borderId="0" xfId="6" applyFont="1" applyFill="1" applyAlignment="1">
      <alignment horizontal="center" wrapText="1"/>
    </xf>
    <xf numFmtId="0" fontId="19" fillId="3" borderId="2" xfId="0" applyFont="1" applyFill="1" applyBorder="1" applyAlignment="1">
      <alignment horizontal="center" wrapText="1"/>
    </xf>
    <xf numFmtId="0" fontId="19" fillId="3" borderId="4" xfId="0" applyFont="1" applyFill="1" applyBorder="1" applyAlignment="1">
      <alignment horizontal="center" wrapText="1"/>
    </xf>
    <xf numFmtId="0" fontId="5" fillId="0" borderId="0" xfId="7" applyFont="1" applyAlignment="1">
      <alignment horizontal="left" wrapText="1"/>
    </xf>
    <xf numFmtId="0" fontId="5" fillId="0" borderId="0" xfId="7" applyFont="1" applyAlignment="1">
      <alignment horizontal="left" vertical="top" wrapText="1"/>
    </xf>
    <xf numFmtId="0" fontId="10" fillId="0" borderId="3" xfId="7" applyFont="1" applyFill="1" applyBorder="1" applyAlignment="1">
      <alignment horizontal="left" vertical="top" wrapText="1"/>
    </xf>
    <xf numFmtId="0" fontId="5" fillId="6" borderId="3" xfId="7" applyFont="1" applyFill="1" applyBorder="1" applyAlignment="1">
      <alignment horizontal="left" vertical="top" wrapText="1"/>
    </xf>
    <xf numFmtId="0" fontId="5" fillId="6" borderId="4" xfId="7" applyFont="1" applyFill="1" applyBorder="1" applyAlignment="1">
      <alignment horizontal="left" vertical="top" wrapText="1"/>
    </xf>
    <xf numFmtId="0" fontId="4" fillId="0" borderId="16" xfId="14" applyFont="1" applyFill="1" applyBorder="1" applyAlignment="1">
      <alignment horizontal="left"/>
    </xf>
    <xf numFmtId="0" fontId="0" fillId="6" borderId="0" xfId="8" applyFont="1" applyFill="1" applyBorder="1" applyAlignment="1">
      <alignment horizontal="left" vertical="center" wrapText="1"/>
    </xf>
    <xf numFmtId="0" fontId="5" fillId="6" borderId="0" xfId="8" applyFill="1" applyBorder="1" applyAlignment="1">
      <alignment horizontal="left" vertical="center" wrapText="1"/>
    </xf>
    <xf numFmtId="0" fontId="0" fillId="0" borderId="17" xfId="7" applyFont="1" applyFill="1" applyBorder="1" applyAlignment="1">
      <alignment horizontal="left" vertical="top" wrapText="1"/>
    </xf>
    <xf numFmtId="0" fontId="5" fillId="0" borderId="4" xfId="7" applyFont="1" applyFill="1" applyBorder="1" applyAlignment="1">
      <alignment horizontal="left" vertical="top" wrapText="1"/>
    </xf>
    <xf numFmtId="0" fontId="0" fillId="0" borderId="3" xfId="7" applyFont="1" applyFill="1" applyBorder="1" applyAlignment="1">
      <alignment horizontal="left" vertical="top" wrapText="1"/>
    </xf>
    <xf numFmtId="0" fontId="5" fillId="0" borderId="3" xfId="7" applyFont="1" applyFill="1" applyBorder="1" applyAlignment="1">
      <alignment horizontal="left" vertical="top" wrapText="1"/>
    </xf>
    <xf numFmtId="0" fontId="4" fillId="0" borderId="18"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5" fillId="0" borderId="17" xfId="7" applyFont="1" applyFill="1" applyBorder="1" applyAlignment="1">
      <alignment horizontal="left" vertical="top" wrapText="1"/>
    </xf>
    <xf numFmtId="0" fontId="5" fillId="0" borderId="0" xfId="7" applyFont="1" applyAlignment="1">
      <alignment horizontal="left" vertical="center" wrapText="1"/>
    </xf>
    <xf numFmtId="0" fontId="10" fillId="0" borderId="0" xfId="10" applyFont="1" applyFill="1" applyBorder="1" applyAlignment="1">
      <alignment horizontal="center" vertical="center" wrapText="1"/>
    </xf>
    <xf numFmtId="0" fontId="5" fillId="0" borderId="0" xfId="14" applyFill="1" applyBorder="1" applyAlignment="1">
      <alignment horizontal="left" vertical="center"/>
    </xf>
    <xf numFmtId="0" fontId="10" fillId="0" borderId="1" xfId="10" applyFont="1" applyFill="1" applyBorder="1" applyAlignment="1">
      <alignment horizontal="center" vertical="center" wrapText="1"/>
    </xf>
    <xf numFmtId="0" fontId="4" fillId="0" borderId="16" xfId="14" applyFont="1" applyFill="1" applyBorder="1" applyAlignment="1">
      <alignment horizontal="left" wrapText="1"/>
    </xf>
    <xf numFmtId="0" fontId="4" fillId="0" borderId="16" xfId="14" applyFont="1" applyFill="1" applyBorder="1" applyAlignment="1">
      <alignment vertical="center" wrapText="1"/>
    </xf>
    <xf numFmtId="0" fontId="4" fillId="0" borderId="35" xfId="8" applyFont="1" applyFill="1" applyBorder="1" applyAlignment="1">
      <alignment horizontal="left" wrapText="1"/>
    </xf>
    <xf numFmtId="0" fontId="4" fillId="0" borderId="35" xfId="8" applyFont="1" applyFill="1" applyBorder="1" applyAlignment="1">
      <alignment wrapText="1"/>
    </xf>
    <xf numFmtId="3" fontId="4" fillId="0" borderId="35" xfId="8" applyNumberFormat="1" applyFont="1" applyFill="1" applyBorder="1" applyAlignment="1">
      <alignment horizontal="left" wrapText="1"/>
    </xf>
    <xf numFmtId="0" fontId="19" fillId="14" borderId="0" xfId="0" applyFont="1" applyFill="1" applyAlignment="1">
      <alignment horizontal="center" wrapText="1"/>
    </xf>
    <xf numFmtId="0" fontId="5" fillId="0" borderId="0" xfId="7" applyFont="1" applyAlignment="1">
      <alignment horizontal="left" wrapText="1"/>
    </xf>
    <xf numFmtId="0" fontId="5" fillId="0" borderId="0" xfId="7" applyFont="1" applyAlignment="1">
      <alignment horizontal="left" vertical="center" wrapText="1"/>
    </xf>
    <xf numFmtId="0" fontId="5" fillId="0" borderId="0" xfId="7" applyFont="1" applyAlignment="1">
      <alignment horizontal="left" wrapText="1"/>
    </xf>
    <xf numFmtId="0" fontId="5" fillId="0" borderId="0" xfId="7" applyFont="1" applyAlignment="1">
      <alignment horizontal="left" vertical="top" wrapText="1"/>
    </xf>
    <xf numFmtId="164" fontId="5" fillId="6" borderId="0" xfId="1" applyNumberFormat="1" applyFont="1" applyFill="1" applyBorder="1" applyAlignment="1">
      <alignment horizontal="center" vertical="center"/>
    </xf>
    <xf numFmtId="164" fontId="5" fillId="6" borderId="1" xfId="1" applyNumberFormat="1" applyFont="1" applyFill="1" applyBorder="1" applyAlignment="1">
      <alignment horizontal="center" vertical="center"/>
    </xf>
    <xf numFmtId="0" fontId="5" fillId="0" borderId="0" xfId="7" applyFont="1" applyAlignment="1">
      <alignment horizontal="left" vertical="center" wrapText="1"/>
    </xf>
    <xf numFmtId="0" fontId="4" fillId="0" borderId="35" xfId="14" applyFont="1" applyFill="1" applyBorder="1"/>
    <xf numFmtId="0" fontId="5" fillId="0" borderId="35" xfId="14" applyFill="1" applyBorder="1"/>
    <xf numFmtId="0" fontId="4" fillId="0" borderId="35" xfId="14" applyFont="1" applyFill="1" applyBorder="1" applyAlignment="1">
      <alignment horizontal="right"/>
    </xf>
    <xf numFmtId="0" fontId="5" fillId="0" borderId="35" xfId="14" applyFill="1" applyBorder="1" applyAlignment="1">
      <alignment horizontal="center" vertical="center"/>
    </xf>
    <xf numFmtId="0" fontId="5" fillId="0" borderId="35" xfId="14" applyFill="1" applyBorder="1" applyAlignment="1">
      <alignment horizontal="right" vertical="center"/>
    </xf>
    <xf numFmtId="2" fontId="31" fillId="0" borderId="35" xfId="8" applyNumberFormat="1" applyFont="1" applyFill="1" applyBorder="1" applyAlignment="1">
      <alignment horizontal="right"/>
    </xf>
    <xf numFmtId="0" fontId="4" fillId="0" borderId="35" xfId="14" applyFont="1" applyFill="1" applyBorder="1" applyAlignment="1">
      <alignment wrapText="1"/>
    </xf>
    <xf numFmtId="0" fontId="31" fillId="0" borderId="35" xfId="8" applyFont="1" applyFill="1" applyBorder="1" applyAlignment="1">
      <alignment horizontal="right"/>
    </xf>
    <xf numFmtId="0" fontId="19" fillId="0" borderId="0" xfId="6" applyFont="1" applyFill="1" applyAlignment="1">
      <alignment horizontal="center" wrapText="1"/>
    </xf>
    <xf numFmtId="0" fontId="19" fillId="3" borderId="2" xfId="0" applyFont="1" applyFill="1" applyBorder="1" applyAlignment="1">
      <alignment horizontal="center" wrapText="1"/>
    </xf>
    <xf numFmtId="0" fontId="19" fillId="3" borderId="4" xfId="0" applyFont="1" applyFill="1" applyBorder="1" applyAlignment="1">
      <alignment horizontal="center" wrapText="1"/>
    </xf>
    <xf numFmtId="0" fontId="5" fillId="0" borderId="0" xfId="7" applyFont="1" applyAlignment="1">
      <alignment horizontal="left" wrapText="1"/>
    </xf>
    <xf numFmtId="0" fontId="5" fillId="0" borderId="0" xfId="7" applyFont="1" applyAlignment="1">
      <alignment horizontal="left" vertical="top" wrapText="1"/>
    </xf>
    <xf numFmtId="0" fontId="4" fillId="0" borderId="35" xfId="8" applyFont="1" applyFill="1" applyBorder="1"/>
    <xf numFmtId="164" fontId="5" fillId="0" borderId="35" xfId="1" applyNumberFormat="1" applyFont="1" applyFill="1" applyBorder="1"/>
    <xf numFmtId="164" fontId="4" fillId="0" borderId="35" xfId="8" applyNumberFormat="1" applyFont="1" applyFill="1" applyBorder="1" applyAlignment="1">
      <alignment horizontal="right"/>
    </xf>
    <xf numFmtId="0" fontId="4" fillId="0" borderId="35" xfId="8" applyFont="1" applyFill="1" applyBorder="1" applyAlignment="1">
      <alignment horizontal="right"/>
    </xf>
    <xf numFmtId="0" fontId="23" fillId="5" borderId="35" xfId="11" applyFont="1" applyFill="1" applyBorder="1" applyAlignment="1">
      <alignment horizontal="center" wrapText="1"/>
    </xf>
    <xf numFmtId="0" fontId="30" fillId="7" borderId="35" xfId="8" applyNumberFormat="1" applyFont="1" applyFill="1" applyBorder="1" applyAlignment="1">
      <alignment horizontal="right"/>
    </xf>
    <xf numFmtId="3" fontId="4" fillId="0" borderId="35" xfId="8" applyNumberFormat="1" applyFont="1" applyFill="1" applyBorder="1" applyAlignment="1">
      <alignment horizontal="right"/>
    </xf>
    <xf numFmtId="0" fontId="4" fillId="0" borderId="35" xfId="8" applyNumberFormat="1" applyFont="1" applyFill="1" applyBorder="1" applyAlignment="1">
      <alignment horizontal="right"/>
    </xf>
    <xf numFmtId="3" fontId="27" fillId="6" borderId="35" xfId="8" applyNumberFormat="1" applyFont="1" applyFill="1" applyBorder="1" applyAlignment="1">
      <alignment horizontal="right"/>
    </xf>
    <xf numFmtId="0" fontId="4" fillId="0" borderId="35" xfId="14" applyFont="1" applyFill="1" applyBorder="1" applyAlignment="1">
      <alignment horizontal="left" wrapText="1"/>
    </xf>
    <xf numFmtId="0" fontId="4" fillId="0" borderId="35" xfId="14" applyFont="1" applyFill="1" applyBorder="1" applyAlignment="1">
      <alignment horizontal="left"/>
    </xf>
    <xf numFmtId="0" fontId="4" fillId="0" borderId="35" xfId="14" applyFont="1" applyFill="1" applyBorder="1" applyAlignment="1">
      <alignment horizontal="left" vertical="center" wrapText="1"/>
    </xf>
    <xf numFmtId="0" fontId="13" fillId="0" borderId="35" xfId="11" applyFont="1" applyFill="1" applyBorder="1" applyAlignment="1">
      <alignment horizontal="left" vertical="top" wrapText="1"/>
    </xf>
    <xf numFmtId="3" fontId="4" fillId="0" borderId="35" xfId="14" applyNumberFormat="1" applyFont="1" applyFill="1" applyBorder="1" applyAlignment="1">
      <alignment horizontal="right"/>
    </xf>
    <xf numFmtId="0" fontId="10" fillId="0" borderId="3" xfId="7" applyFont="1" applyFill="1" applyBorder="1" applyAlignment="1">
      <alignment horizontal="left" vertical="top" wrapText="1"/>
    </xf>
    <xf numFmtId="0" fontId="5" fillId="6" borderId="3" xfId="7" applyFont="1" applyFill="1" applyBorder="1" applyAlignment="1">
      <alignment horizontal="left" vertical="top" wrapText="1"/>
    </xf>
    <xf numFmtId="0" fontId="5" fillId="6" borderId="4" xfId="7" applyFont="1" applyFill="1" applyBorder="1" applyAlignment="1">
      <alignment horizontal="left" vertical="top" wrapText="1"/>
    </xf>
    <xf numFmtId="0" fontId="5" fillId="0" borderId="3" xfId="7" applyFont="1" applyFill="1" applyBorder="1" applyAlignment="1">
      <alignment horizontal="left" vertical="top" wrapText="1"/>
    </xf>
    <xf numFmtId="0" fontId="5" fillId="0" borderId="17" xfId="7" applyFont="1" applyFill="1" applyBorder="1" applyAlignment="1">
      <alignment horizontal="left" vertical="top" wrapText="1"/>
    </xf>
    <xf numFmtId="0" fontId="37" fillId="7" borderId="24" xfId="18" applyFont="1" applyFill="1" applyBorder="1" applyAlignment="1">
      <alignment horizontal="center" vertical="center" wrapText="1"/>
    </xf>
    <xf numFmtId="164" fontId="39" fillId="9" borderId="4" xfId="1" applyNumberFormat="1" applyFont="1" applyFill="1" applyBorder="1" applyAlignment="1">
      <alignment vertical="center"/>
    </xf>
    <xf numFmtId="164" fontId="39" fillId="9" borderId="27" xfId="1" applyNumberFormat="1" applyFont="1" applyFill="1" applyBorder="1" applyAlignment="1">
      <alignment vertical="center"/>
    </xf>
    <xf numFmtId="164" fontId="39" fillId="9" borderId="27" xfId="1" applyNumberFormat="1" applyFont="1" applyFill="1" applyBorder="1" applyAlignment="1">
      <alignment horizontal="center" vertical="center"/>
    </xf>
    <xf numFmtId="9" fontId="39" fillId="9" borderId="27" xfId="5" applyFont="1" applyFill="1" applyBorder="1" applyAlignment="1">
      <alignment vertical="center"/>
    </xf>
    <xf numFmtId="0" fontId="5" fillId="0" borderId="35" xfId="8" applyFill="1" applyBorder="1"/>
    <xf numFmtId="0" fontId="19" fillId="0" borderId="1" xfId="0" applyFont="1" applyFill="1" applyBorder="1" applyAlignment="1">
      <alignment horizontal="center" wrapText="1"/>
    </xf>
    <xf numFmtId="0" fontId="4" fillId="0" borderId="35" xfId="14" applyFont="1" applyFill="1" applyBorder="1" applyAlignment="1">
      <alignment vertical="center" wrapText="1"/>
    </xf>
    <xf numFmtId="3" fontId="0" fillId="0" borderId="0" xfId="8" applyNumberFormat="1" applyFont="1" applyFill="1" applyBorder="1" applyAlignment="1"/>
    <xf numFmtId="37" fontId="41" fillId="6" borderId="0" xfId="12" applyNumberFormat="1" applyFont="1" applyFill="1" applyBorder="1" applyAlignment="1">
      <alignment horizontal="right"/>
    </xf>
    <xf numFmtId="164" fontId="10" fillId="6" borderId="0" xfId="12" applyNumberFormat="1" applyFont="1" applyFill="1" applyBorder="1" applyAlignment="1">
      <alignment horizontal="right"/>
    </xf>
    <xf numFmtId="0" fontId="13" fillId="0" borderId="0" xfId="8" applyFont="1" applyFill="1" applyBorder="1" applyAlignment="1">
      <alignment horizontal="right"/>
    </xf>
    <xf numFmtId="3" fontId="45" fillId="6" borderId="0" xfId="12" applyNumberFormat="1" applyFont="1" applyFill="1" applyBorder="1" applyAlignment="1">
      <alignment horizontal="right" wrapText="1"/>
    </xf>
    <xf numFmtId="3" fontId="45" fillId="6" borderId="0" xfId="8" applyNumberFormat="1" applyFont="1" applyFill="1" applyBorder="1"/>
    <xf numFmtId="3" fontId="10" fillId="6" borderId="0" xfId="8" applyNumberFormat="1" applyFont="1" applyFill="1" applyBorder="1"/>
    <xf numFmtId="0" fontId="13" fillId="0" borderId="16" xfId="8" applyFont="1" applyFill="1" applyBorder="1" applyAlignment="1">
      <alignment horizontal="right"/>
    </xf>
    <xf numFmtId="0" fontId="13" fillId="0" borderId="35" xfId="8" applyFont="1" applyFill="1" applyBorder="1" applyAlignment="1">
      <alignment horizontal="right"/>
    </xf>
    <xf numFmtId="3" fontId="10" fillId="6" borderId="1" xfId="8" applyNumberFormat="1" applyFont="1" applyFill="1" applyBorder="1"/>
    <xf numFmtId="0" fontId="10" fillId="0" borderId="3" xfId="7" applyFont="1" applyFill="1" applyBorder="1"/>
    <xf numFmtId="0" fontId="5" fillId="6" borderId="3" xfId="7" applyFont="1" applyFill="1" applyBorder="1" applyAlignment="1">
      <alignment horizontal="left" vertical="top" wrapText="1"/>
    </xf>
    <xf numFmtId="0" fontId="4" fillId="0" borderId="7" xfId="8" applyFont="1" applyFill="1" applyBorder="1" applyAlignment="1">
      <alignment horizontal="center" vertical="center" wrapText="1"/>
    </xf>
    <xf numFmtId="0" fontId="10" fillId="0" borderId="3" xfId="7" applyFont="1" applyFill="1" applyBorder="1" applyAlignment="1">
      <alignment horizontal="left" vertical="top" wrapText="1"/>
    </xf>
    <xf numFmtId="0" fontId="5" fillId="0" borderId="3" xfId="7" applyFont="1" applyFill="1" applyBorder="1" applyAlignment="1">
      <alignment horizontal="left" vertical="top" wrapText="1"/>
    </xf>
    <xf numFmtId="0" fontId="10" fillId="0" borderId="0" xfId="10" applyFont="1" applyFill="1" applyBorder="1" applyAlignment="1">
      <alignment horizontal="center" vertical="center" wrapText="1"/>
    </xf>
    <xf numFmtId="3" fontId="27" fillId="0" borderId="0" xfId="8" applyNumberFormat="1" applyFont="1" applyFill="1" applyBorder="1" applyAlignment="1">
      <alignment horizontal="right"/>
    </xf>
    <xf numFmtId="3" fontId="5" fillId="0" borderId="1" xfId="8" applyNumberFormat="1" applyFill="1" applyBorder="1" applyAlignment="1">
      <alignment horizontal="right"/>
    </xf>
    <xf numFmtId="0" fontId="10" fillId="0" borderId="3" xfId="7" applyFont="1" applyFill="1" applyBorder="1" applyAlignment="1">
      <alignment wrapText="1"/>
    </xf>
    <xf numFmtId="3" fontId="10" fillId="0" borderId="0" xfId="8" applyNumberFormat="1" applyFont="1" applyFill="1"/>
    <xf numFmtId="0" fontId="10" fillId="0" borderId="0" xfId="8" applyFont="1" applyFill="1" applyBorder="1" applyAlignment="1">
      <alignment horizontal="right"/>
    </xf>
    <xf numFmtId="0" fontId="4" fillId="0" borderId="35" xfId="8" applyFont="1" applyFill="1" applyBorder="1" applyAlignment="1">
      <alignment horizontal="left"/>
    </xf>
    <xf numFmtId="0" fontId="13" fillId="0" borderId="7" xfId="8" applyFont="1" applyFill="1" applyBorder="1" applyAlignment="1">
      <alignment horizontal="center" vertical="center" wrapText="1"/>
    </xf>
    <xf numFmtId="0" fontId="5" fillId="0" borderId="2" xfId="8" applyFill="1" applyBorder="1" applyAlignment="1">
      <alignment horizontal="left"/>
    </xf>
    <xf numFmtId="0" fontId="10" fillId="0" borderId="1" xfId="8" applyFont="1" applyFill="1" applyBorder="1"/>
    <xf numFmtId="0" fontId="13" fillId="0" borderId="16" xfId="14" applyFont="1" applyFill="1" applyBorder="1" applyAlignment="1">
      <alignment horizontal="right"/>
    </xf>
    <xf numFmtId="0" fontId="13" fillId="0" borderId="35" xfId="14" applyFont="1" applyFill="1" applyBorder="1" applyAlignment="1">
      <alignment horizontal="right"/>
    </xf>
    <xf numFmtId="3" fontId="45" fillId="6" borderId="0" xfId="15" applyNumberFormat="1" applyFont="1" applyFill="1" applyBorder="1"/>
    <xf numFmtId="37" fontId="10" fillId="6" borderId="0" xfId="1" applyNumberFormat="1" applyFont="1" applyFill="1" applyBorder="1"/>
    <xf numFmtId="37" fontId="10" fillId="6" borderId="0" xfId="1" applyNumberFormat="1" applyFont="1" applyFill="1" applyBorder="1" applyAlignment="1">
      <alignment horizontal="right"/>
    </xf>
    <xf numFmtId="37" fontId="13" fillId="0" borderId="0" xfId="1" applyNumberFormat="1" applyFont="1" applyFill="1" applyBorder="1" applyAlignment="1">
      <alignment horizontal="left"/>
    </xf>
    <xf numFmtId="37" fontId="13" fillId="0" borderId="0" xfId="1" applyNumberFormat="1" applyFont="1" applyFill="1" applyBorder="1" applyAlignment="1">
      <alignment horizontal="right"/>
    </xf>
    <xf numFmtId="37" fontId="10" fillId="6" borderId="1" xfId="1" applyNumberFormat="1" applyFont="1" applyFill="1" applyBorder="1" applyAlignment="1"/>
    <xf numFmtId="37" fontId="10" fillId="6" borderId="1" xfId="1" applyNumberFormat="1" applyFont="1" applyFill="1" applyBorder="1"/>
    <xf numFmtId="37" fontId="10" fillId="6" borderId="1" xfId="1" applyNumberFormat="1" applyFont="1" applyFill="1" applyBorder="1" applyAlignment="1">
      <alignment horizontal="right"/>
    </xf>
    <xf numFmtId="164" fontId="10" fillId="0" borderId="0" xfId="1" applyNumberFormat="1" applyFont="1" applyFill="1"/>
    <xf numFmtId="3" fontId="10" fillId="6" borderId="1" xfId="1" applyNumberFormat="1" applyFont="1" applyFill="1" applyBorder="1"/>
    <xf numFmtId="11" fontId="10" fillId="6" borderId="1" xfId="1" applyNumberFormat="1" applyFont="1" applyFill="1" applyBorder="1"/>
    <xf numFmtId="164" fontId="13" fillId="0" borderId="0" xfId="1" applyNumberFormat="1" applyFont="1" applyFill="1" applyAlignment="1">
      <alignment horizontal="left"/>
    </xf>
    <xf numFmtId="164" fontId="10" fillId="6" borderId="1" xfId="1" applyNumberFormat="1" applyFont="1" applyFill="1" applyBorder="1" applyAlignment="1">
      <alignment vertical="top"/>
    </xf>
    <xf numFmtId="3" fontId="10" fillId="0" borderId="0" xfId="1" applyNumberFormat="1" applyFont="1" applyFill="1" applyBorder="1" applyAlignment="1">
      <alignment horizontal="right"/>
    </xf>
    <xf numFmtId="3" fontId="13" fillId="0" borderId="16" xfId="1" applyNumberFormat="1" applyFont="1" applyFill="1" applyBorder="1" applyAlignment="1">
      <alignment horizontal="right"/>
    </xf>
    <xf numFmtId="164" fontId="10" fillId="0" borderId="0" xfId="14" applyNumberFormat="1" applyFont="1" applyFill="1"/>
    <xf numFmtId="0" fontId="10" fillId="0" borderId="0" xfId="14" applyFont="1" applyFill="1" applyAlignment="1">
      <alignment horizontal="center"/>
    </xf>
    <xf numFmtId="3" fontId="13" fillId="0" borderId="0" xfId="1" applyNumberFormat="1" applyFont="1" applyFill="1" applyBorder="1" applyAlignment="1">
      <alignment horizontal="right"/>
    </xf>
    <xf numFmtId="3" fontId="10" fillId="6" borderId="1" xfId="1" applyNumberFormat="1" applyFont="1" applyFill="1" applyBorder="1" applyAlignment="1">
      <alignment horizontal="right"/>
    </xf>
    <xf numFmtId="3" fontId="13" fillId="0" borderId="35" xfId="1" applyNumberFormat="1" applyFont="1" applyFill="1" applyBorder="1" applyAlignment="1">
      <alignment horizontal="right"/>
    </xf>
    <xf numFmtId="3" fontId="45" fillId="0" borderId="0" xfId="15" applyNumberFormat="1" applyFont="1" applyFill="1" applyBorder="1"/>
    <xf numFmtId="3" fontId="10" fillId="0" borderId="1" xfId="1" applyNumberFormat="1" applyFont="1" applyFill="1" applyBorder="1" applyAlignment="1">
      <alignment horizontal="right" vertical="top"/>
    </xf>
    <xf numFmtId="3" fontId="10" fillId="0" borderId="1" xfId="1" applyNumberFormat="1" applyFont="1" applyFill="1" applyBorder="1" applyAlignment="1">
      <alignment horizontal="right"/>
    </xf>
    <xf numFmtId="3" fontId="4" fillId="0" borderId="35" xfId="1" applyNumberFormat="1" applyFont="1" applyFill="1" applyBorder="1" applyAlignment="1">
      <alignment horizontal="right"/>
    </xf>
    <xf numFmtId="3" fontId="27" fillId="0" borderId="0" xfId="1" applyNumberFormat="1" applyFont="1" applyFill="1" applyBorder="1" applyAlignment="1">
      <alignment horizontal="right"/>
    </xf>
    <xf numFmtId="3" fontId="5" fillId="0" borderId="1" xfId="1" applyNumberFormat="1" applyFill="1" applyBorder="1" applyAlignment="1">
      <alignment horizontal="right" vertical="top"/>
    </xf>
    <xf numFmtId="3" fontId="10" fillId="0" borderId="1" xfId="8" applyNumberFormat="1" applyFont="1" applyFill="1" applyBorder="1" applyAlignment="1">
      <alignment horizontal="right"/>
    </xf>
    <xf numFmtId="3" fontId="0" fillId="0" borderId="1" xfId="12" applyNumberFormat="1" applyFont="1" applyFill="1" applyBorder="1" applyAlignment="1">
      <alignment horizontal="right"/>
    </xf>
    <xf numFmtId="0" fontId="10" fillId="0" borderId="3" xfId="7" applyFont="1" applyFill="1" applyBorder="1" applyAlignment="1">
      <alignment horizontal="left" vertical="top" wrapText="1"/>
    </xf>
    <xf numFmtId="0" fontId="0" fillId="0" borderId="0" xfId="8" applyFont="1" applyFill="1" applyBorder="1" applyAlignment="1">
      <alignment horizontal="left" wrapText="1"/>
    </xf>
    <xf numFmtId="0" fontId="5" fillId="0" borderId="1" xfId="8" applyFill="1" applyBorder="1" applyAlignment="1">
      <alignment horizontal="left" wrapText="1"/>
    </xf>
    <xf numFmtId="0" fontId="19" fillId="0" borderId="0" xfId="6" applyFont="1" applyFill="1" applyAlignment="1">
      <alignment horizontal="center" wrapText="1"/>
    </xf>
    <xf numFmtId="0" fontId="19" fillId="3" borderId="2" xfId="0" applyFont="1" applyFill="1" applyBorder="1" applyAlignment="1">
      <alignment horizontal="center" wrapText="1"/>
    </xf>
    <xf numFmtId="0" fontId="19" fillId="3" borderId="4" xfId="0" applyFont="1" applyFill="1" applyBorder="1" applyAlignment="1">
      <alignment horizontal="center" wrapText="1"/>
    </xf>
    <xf numFmtId="0" fontId="5" fillId="0" borderId="0" xfId="7" applyFont="1" applyAlignment="1">
      <alignment horizontal="left" wrapText="1"/>
    </xf>
    <xf numFmtId="0" fontId="5" fillId="0" borderId="0" xfId="7" applyFont="1" applyAlignment="1">
      <alignment horizontal="left" vertical="top" wrapText="1"/>
    </xf>
    <xf numFmtId="164" fontId="5" fillId="6" borderId="0" xfId="1" applyNumberFormat="1" applyFont="1" applyFill="1" applyBorder="1" applyAlignment="1">
      <alignment horizontal="center" vertical="center"/>
    </xf>
    <xf numFmtId="164" fontId="5" fillId="6" borderId="1" xfId="1" applyNumberFormat="1" applyFont="1" applyFill="1" applyBorder="1" applyAlignment="1">
      <alignment horizontal="center" vertical="center"/>
    </xf>
    <xf numFmtId="0" fontId="5" fillId="0" borderId="0" xfId="7" applyFont="1" applyAlignment="1">
      <alignment horizontal="left" vertical="center" wrapText="1"/>
    </xf>
    <xf numFmtId="3" fontId="13" fillId="0" borderId="16" xfId="8" applyNumberFormat="1" applyFont="1" applyFill="1" applyBorder="1" applyAlignment="1">
      <alignment horizontal="right"/>
    </xf>
    <xf numFmtId="3" fontId="13" fillId="0" borderId="35" xfId="8" applyNumberFormat="1" applyFont="1" applyFill="1" applyBorder="1" applyAlignment="1">
      <alignment horizontal="right"/>
    </xf>
    <xf numFmtId="0" fontId="27" fillId="0" borderId="0" xfId="8" applyFont="1" applyFill="1" applyBorder="1"/>
    <xf numFmtId="3" fontId="45" fillId="0" borderId="0" xfId="8" applyNumberFormat="1" applyFont="1" applyFill="1" applyBorder="1" applyAlignment="1">
      <alignment horizontal="right"/>
    </xf>
    <xf numFmtId="3" fontId="10" fillId="0" borderId="0" xfId="8" applyNumberFormat="1" applyFont="1" applyFill="1" applyBorder="1" applyAlignment="1">
      <alignment horizontal="right"/>
    </xf>
    <xf numFmtId="1" fontId="5" fillId="0" borderId="0" xfId="8" applyNumberFormat="1" applyFill="1" applyBorder="1"/>
    <xf numFmtId="0" fontId="0" fillId="0" borderId="3" xfId="7" applyFont="1" applyFill="1" applyBorder="1" applyAlignment="1">
      <alignment wrapText="1"/>
    </xf>
    <xf numFmtId="0" fontId="27" fillId="0" borderId="0" xfId="8" applyFont="1" applyFill="1" applyBorder="1" applyAlignment="1"/>
    <xf numFmtId="11" fontId="27" fillId="0" borderId="0" xfId="8" applyNumberFormat="1" applyFont="1" applyFill="1" applyBorder="1"/>
    <xf numFmtId="3" fontId="27" fillId="0" borderId="0" xfId="8" applyNumberFormat="1" applyFont="1" applyFill="1" applyBorder="1"/>
    <xf numFmtId="0" fontId="0" fillId="0" borderId="1" xfId="8" applyFont="1" applyFill="1" applyBorder="1" applyAlignment="1"/>
    <xf numFmtId="11" fontId="0" fillId="0" borderId="1" xfId="8" applyNumberFormat="1" applyFont="1" applyFill="1" applyBorder="1"/>
    <xf numFmtId="3" fontId="10" fillId="0" borderId="1" xfId="8" applyNumberFormat="1" applyFont="1" applyFill="1" applyBorder="1"/>
    <xf numFmtId="0" fontId="46" fillId="0" borderId="4" xfId="20" applyFill="1" applyBorder="1" applyAlignment="1">
      <alignment vertical="top" wrapText="1"/>
    </xf>
    <xf numFmtId="0" fontId="13" fillId="0" borderId="16" xfId="8" applyFont="1" applyFill="1" applyBorder="1" applyAlignment="1">
      <alignment horizontal="left" vertical="top" wrapText="1"/>
    </xf>
    <xf numFmtId="0" fontId="48" fillId="0" borderId="0" xfId="8" applyFont="1"/>
    <xf numFmtId="0" fontId="51" fillId="0" borderId="0" xfId="7" applyFont="1" applyAlignment="1">
      <alignment wrapText="1"/>
    </xf>
    <xf numFmtId="0" fontId="5" fillId="0" borderId="0" xfId="7" applyFont="1" applyAlignment="1">
      <alignment vertical="center" wrapText="1"/>
    </xf>
    <xf numFmtId="3" fontId="45" fillId="6" borderId="0" xfId="1" applyNumberFormat="1" applyFont="1" applyFill="1" applyBorder="1" applyAlignment="1">
      <alignment horizontal="right"/>
    </xf>
    <xf numFmtId="170" fontId="10" fillId="0" borderId="5" xfId="6" applyNumberFormat="1" applyFont="1" applyFill="1" applyBorder="1" applyAlignment="1">
      <alignment horizontal="right" vertical="top" wrapText="1"/>
    </xf>
    <xf numFmtId="10" fontId="10" fillId="0" borderId="5" xfId="5" applyNumberFormat="1" applyFont="1" applyFill="1" applyBorder="1" applyAlignment="1">
      <alignment horizontal="right" vertical="top" wrapText="1"/>
    </xf>
    <xf numFmtId="10" fontId="10" fillId="0" borderId="8" xfId="5" applyNumberFormat="1" applyFont="1" applyFill="1" applyBorder="1" applyAlignment="1">
      <alignment horizontal="right" vertical="top" wrapText="1"/>
    </xf>
    <xf numFmtId="3" fontId="5" fillId="6" borderId="1" xfId="8" applyNumberFormat="1" applyFill="1" applyBorder="1" applyAlignment="1">
      <alignment horizontal="center"/>
    </xf>
    <xf numFmtId="171" fontId="10" fillId="0" borderId="8" xfId="0" applyNumberFormat="1" applyFont="1" applyBorder="1" applyAlignment="1">
      <alignment horizontal="right" vertical="top" wrapText="1"/>
    </xf>
    <xf numFmtId="4" fontId="10" fillId="0" borderId="8" xfId="0" applyNumberFormat="1" applyFont="1" applyBorder="1" applyAlignment="1">
      <alignment horizontal="right" vertical="top" wrapText="1"/>
    </xf>
    <xf numFmtId="172" fontId="10" fillId="0" borderId="8" xfId="0" applyNumberFormat="1" applyFont="1" applyBorder="1" applyAlignment="1">
      <alignment horizontal="right" vertical="top" wrapText="1"/>
    </xf>
    <xf numFmtId="43" fontId="10" fillId="0" borderId="5" xfId="1" applyNumberFormat="1" applyFont="1" applyFill="1" applyBorder="1" applyAlignment="1">
      <alignment horizontal="right" vertical="top" wrapText="1"/>
    </xf>
    <xf numFmtId="43" fontId="10" fillId="0" borderId="5" xfId="5" applyNumberFormat="1" applyFont="1" applyFill="1" applyBorder="1" applyAlignment="1">
      <alignment horizontal="right" vertical="top" wrapText="1"/>
    </xf>
    <xf numFmtId="43" fontId="10" fillId="0" borderId="8" xfId="6" applyNumberFormat="1" applyFont="1" applyFill="1" applyBorder="1" applyAlignment="1">
      <alignment horizontal="right" vertical="top" wrapText="1"/>
    </xf>
    <xf numFmtId="43" fontId="10" fillId="0" borderId="5" xfId="6" applyNumberFormat="1" applyFont="1" applyFill="1" applyBorder="1" applyAlignment="1">
      <alignment horizontal="right" vertical="top" wrapText="1"/>
    </xf>
    <xf numFmtId="43" fontId="10" fillId="0" borderId="8" xfId="5" applyNumberFormat="1" applyFont="1" applyFill="1" applyBorder="1" applyAlignment="1">
      <alignment horizontal="right" vertical="top" wrapText="1"/>
    </xf>
    <xf numFmtId="43" fontId="10" fillId="0" borderId="9" xfId="1" applyNumberFormat="1" applyFont="1" applyFill="1" applyBorder="1" applyAlignment="1">
      <alignment horizontal="right" vertical="top" wrapText="1"/>
    </xf>
    <xf numFmtId="43" fontId="10" fillId="0" borderId="9" xfId="6" applyNumberFormat="1" applyFont="1" applyFill="1" applyBorder="1" applyAlignment="1">
      <alignment horizontal="right" vertical="top" wrapText="1"/>
    </xf>
    <xf numFmtId="10" fontId="39" fillId="9" borderId="27" xfId="1" applyNumberFormat="1" applyFont="1" applyFill="1" applyBorder="1" applyAlignment="1">
      <alignment vertical="center"/>
    </xf>
    <xf numFmtId="9" fontId="10" fillId="0" borderId="8" xfId="5" applyFont="1" applyBorder="1" applyAlignment="1">
      <alignment horizontal="right" vertical="top" wrapText="1"/>
    </xf>
    <xf numFmtId="173" fontId="4" fillId="0" borderId="1" xfId="14" applyNumberFormat="1" applyFont="1" applyFill="1" applyBorder="1"/>
    <xf numFmtId="0" fontId="19" fillId="0" borderId="0" xfId="6" applyFont="1" applyFill="1" applyAlignment="1">
      <alignment horizontal="center" wrapText="1"/>
    </xf>
    <xf numFmtId="0" fontId="19" fillId="3" borderId="2" xfId="0" applyFont="1" applyFill="1" applyBorder="1" applyAlignment="1">
      <alignment horizontal="center" wrapText="1"/>
    </xf>
    <xf numFmtId="0" fontId="19" fillId="3" borderId="4" xfId="0" applyFont="1" applyFill="1" applyBorder="1" applyAlignment="1">
      <alignment horizontal="center" wrapText="1"/>
    </xf>
    <xf numFmtId="49" fontId="39" fillId="9" borderId="4" xfId="1" applyNumberFormat="1" applyFont="1" applyFill="1" applyBorder="1" applyAlignment="1">
      <alignment horizontal="left" vertical="center"/>
    </xf>
    <xf numFmtId="49" fontId="39" fillId="9" borderId="25" xfId="1" applyNumberFormat="1" applyFont="1" applyFill="1" applyBorder="1" applyAlignment="1">
      <alignment horizontal="left" vertical="center"/>
    </xf>
    <xf numFmtId="0" fontId="5" fillId="0" borderId="0" xfId="7" applyFont="1" applyAlignment="1">
      <alignment horizontal="left" wrapText="1"/>
    </xf>
    <xf numFmtId="0" fontId="5" fillId="0" borderId="0" xfId="7" applyFont="1" applyAlignment="1">
      <alignment horizontal="left" vertical="top" wrapText="1"/>
    </xf>
    <xf numFmtId="164" fontId="5" fillId="6" borderId="0" xfId="1" applyNumberFormat="1" applyFont="1" applyFill="1" applyBorder="1" applyAlignment="1">
      <alignment horizontal="center" vertical="center"/>
    </xf>
    <xf numFmtId="164" fontId="5" fillId="6" borderId="1" xfId="1" applyNumberFormat="1" applyFont="1" applyFill="1" applyBorder="1" applyAlignment="1">
      <alignment horizontal="center" vertical="center"/>
    </xf>
    <xf numFmtId="0" fontId="5" fillId="0" borderId="0" xfId="7" applyFont="1" applyAlignment="1">
      <alignment horizontal="left" vertical="center" wrapText="1"/>
    </xf>
    <xf numFmtId="164" fontId="53" fillId="3" borderId="19" xfId="22" applyNumberFormat="1" applyFont="1" applyFill="1" applyBorder="1" applyAlignment="1">
      <alignment horizontal="right" vertical="top"/>
    </xf>
    <xf numFmtId="0" fontId="54" fillId="0" borderId="0" xfId="24" applyAlignment="1">
      <alignment horizontal="center" wrapText="1"/>
    </xf>
    <xf numFmtId="0" fontId="54" fillId="0" borderId="0" xfId="24" applyAlignment="1">
      <alignment horizontal="center"/>
    </xf>
    <xf numFmtId="0" fontId="54" fillId="0" borderId="0" xfId="24" applyAlignment="1">
      <alignment horizontal="left" wrapText="1"/>
    </xf>
    <xf numFmtId="175" fontId="54" fillId="0" borderId="0" xfId="25" applyNumberFormat="1" applyFont="1" applyFill="1" applyAlignment="1">
      <alignment horizontal="center" wrapText="1"/>
    </xf>
    <xf numFmtId="0" fontId="54" fillId="0" borderId="0" xfId="24"/>
    <xf numFmtId="0" fontId="54" fillId="0" borderId="0" xfId="24" applyAlignment="1">
      <alignment horizontal="left"/>
    </xf>
    <xf numFmtId="0" fontId="54" fillId="3" borderId="0" xfId="24" applyFill="1"/>
    <xf numFmtId="0" fontId="19" fillId="0" borderId="0" xfId="6" applyFont="1" applyFill="1" applyAlignment="1">
      <alignment horizontal="center" wrapText="1"/>
    </xf>
    <xf numFmtId="0" fontId="10" fillId="16" borderId="0" xfId="0" applyFont="1" applyFill="1" applyAlignment="1">
      <alignment vertical="top" wrapText="1"/>
    </xf>
    <xf numFmtId="0" fontId="19" fillId="16" borderId="0" xfId="0" applyFont="1" applyFill="1" applyAlignment="1">
      <alignment horizontal="center" wrapText="1"/>
    </xf>
    <xf numFmtId="0" fontId="19" fillId="0" borderId="0" xfId="0" applyFont="1" applyAlignment="1">
      <alignment horizontal="center" wrapText="1"/>
    </xf>
    <xf numFmtId="0" fontId="19" fillId="3" borderId="2" xfId="0" applyFont="1" applyFill="1" applyBorder="1" applyAlignment="1">
      <alignment horizontal="center" vertical="top" wrapText="1"/>
    </xf>
    <xf numFmtId="4" fontId="19" fillId="3" borderId="1" xfId="0" applyNumberFormat="1" applyFont="1" applyFill="1" applyBorder="1" applyAlignment="1">
      <alignment horizontal="center" wrapText="1"/>
    </xf>
    <xf numFmtId="0" fontId="10" fillId="16" borderId="5" xfId="0" applyFont="1" applyFill="1" applyBorder="1" applyAlignment="1">
      <alignment vertical="top" wrapText="1"/>
    </xf>
    <xf numFmtId="0" fontId="10" fillId="0" borderId="5" xfId="6" applyFont="1" applyFill="1" applyBorder="1" applyAlignment="1">
      <alignment horizontal="right" vertical="top" wrapText="1"/>
    </xf>
    <xf numFmtId="0" fontId="10" fillId="16" borderId="8" xfId="0" applyFont="1" applyFill="1" applyBorder="1" applyAlignment="1">
      <alignment vertical="top" wrapText="1"/>
    </xf>
    <xf numFmtId="0" fontId="0" fillId="0" borderId="0" xfId="0" applyAlignment="1">
      <alignment vertical="top" wrapText="1"/>
    </xf>
    <xf numFmtId="3" fontId="59" fillId="0" borderId="8" xfId="6" applyNumberFormat="1" applyFont="1" applyFill="1" applyBorder="1" applyAlignment="1">
      <alignment horizontal="right" vertical="top" wrapText="1"/>
    </xf>
    <xf numFmtId="0" fontId="10" fillId="0" borderId="6" xfId="0" applyFont="1" applyBorder="1" applyAlignment="1">
      <alignment horizontal="center" vertical="top" wrapText="1"/>
    </xf>
    <xf numFmtId="0" fontId="10" fillId="0" borderId="35" xfId="0" applyFont="1" applyBorder="1" applyAlignment="1">
      <alignment horizontal="center" vertical="top" wrapText="1"/>
    </xf>
    <xf numFmtId="4" fontId="10" fillId="0" borderId="0" xfId="0" applyNumberFormat="1" applyFont="1" applyAlignment="1">
      <alignment horizontal="right" vertical="top" wrapText="1"/>
    </xf>
    <xf numFmtId="0" fontId="19" fillId="0" borderId="0" xfId="6" applyFont="1" applyFill="1" applyAlignment="1">
      <alignment wrapText="1"/>
    </xf>
    <xf numFmtId="0" fontId="13" fillId="0" borderId="18" xfId="0" applyFont="1" applyBorder="1" applyAlignment="1">
      <alignment vertical="top" wrapText="1"/>
    </xf>
    <xf numFmtId="4" fontId="13" fillId="0" borderId="35" xfId="0" applyNumberFormat="1" applyFont="1" applyBorder="1" applyAlignment="1">
      <alignment vertical="top" wrapText="1"/>
    </xf>
    <xf numFmtId="0" fontId="13" fillId="0" borderId="35" xfId="0" applyFont="1" applyBorder="1" applyAlignment="1">
      <alignment vertical="top" wrapText="1"/>
    </xf>
    <xf numFmtId="171" fontId="13" fillId="0" borderId="17" xfId="0" applyNumberFormat="1" applyFont="1" applyBorder="1" applyAlignment="1">
      <alignment vertical="top" wrapText="1"/>
    </xf>
    <xf numFmtId="3" fontId="5" fillId="0" borderId="1" xfId="8" applyNumberFormat="1" applyFont="1" applyFill="1" applyBorder="1"/>
    <xf numFmtId="0" fontId="55" fillId="0" borderId="19" xfId="7" applyFont="1" applyBorder="1" applyAlignment="1">
      <alignment horizontal="center" wrapText="1"/>
    </xf>
    <xf numFmtId="175" fontId="55" fillId="0" borderId="19" xfId="4" applyNumberFormat="1" applyFont="1" applyFill="1" applyBorder="1" applyAlignment="1">
      <alignment horizontal="center" wrapText="1"/>
    </xf>
    <xf numFmtId="0" fontId="55" fillId="0" borderId="0" xfId="7" applyFont="1" applyAlignment="1">
      <alignment horizontal="center" wrapText="1"/>
    </xf>
    <xf numFmtId="0" fontId="54" fillId="0" borderId="19" xfId="7" applyFont="1" applyBorder="1" applyAlignment="1">
      <alignment horizontal="center"/>
    </xf>
    <xf numFmtId="0" fontId="54" fillId="0" borderId="19" xfId="7" applyFont="1" applyBorder="1" applyAlignment="1">
      <alignment horizontal="center" wrapText="1"/>
    </xf>
    <xf numFmtId="0" fontId="54" fillId="0" borderId="19" xfId="7" applyFont="1" applyBorder="1" applyAlignment="1">
      <alignment horizontal="left" wrapText="1"/>
    </xf>
    <xf numFmtId="0" fontId="1" fillId="0" borderId="19" xfId="7" applyFont="1" applyBorder="1" applyAlignment="1">
      <alignment wrapText="1"/>
    </xf>
    <xf numFmtId="0" fontId="54" fillId="0" borderId="0" xfId="7" applyFont="1"/>
    <xf numFmtId="0" fontId="1" fillId="0" borderId="20" xfId="7" applyFont="1" applyBorder="1" applyAlignment="1">
      <alignment wrapText="1"/>
    </xf>
    <xf numFmtId="0" fontId="60" fillId="14" borderId="0" xfId="7" applyFont="1" applyFill="1" applyAlignment="1">
      <alignment horizontal="center" wrapText="1"/>
    </xf>
    <xf numFmtId="0" fontId="60" fillId="14" borderId="0" xfId="7" applyFont="1" applyFill="1" applyAlignment="1">
      <alignment horizontal="center" vertical="center" wrapText="1"/>
    </xf>
    <xf numFmtId="169" fontId="10" fillId="0" borderId="5" xfId="0" applyNumberFormat="1" applyFont="1" applyBorder="1" applyAlignment="1">
      <alignment horizontal="right" vertical="top" wrapText="1"/>
    </xf>
    <xf numFmtId="4" fontId="10" fillId="0" borderId="0" xfId="0" applyNumberFormat="1" applyFont="1" applyBorder="1" applyAlignment="1">
      <alignment horizontal="right" vertical="top" wrapText="1"/>
    </xf>
    <xf numFmtId="3" fontId="5" fillId="0" borderId="1" xfId="12" applyNumberFormat="1" applyFont="1" applyFill="1" applyBorder="1"/>
    <xf numFmtId="164" fontId="55" fillId="0" borderId="0" xfId="22" applyNumberFormat="1" applyFont="1"/>
    <xf numFmtId="0" fontId="10" fillId="0" borderId="36" xfId="28" applyFont="1" applyBorder="1" applyAlignment="1">
      <alignment vertical="center"/>
    </xf>
    <xf numFmtId="0" fontId="10" fillId="0" borderId="29" xfId="28" applyFont="1" applyBorder="1" applyAlignment="1">
      <alignment vertical="center"/>
    </xf>
    <xf numFmtId="164" fontId="54" fillId="0" borderId="0" xfId="22" applyNumberFormat="1" applyFont="1"/>
    <xf numFmtId="0" fontId="10" fillId="0" borderId="27" xfId="28" applyFont="1" applyBorder="1" applyAlignment="1">
      <alignment vertical="center"/>
    </xf>
    <xf numFmtId="0" fontId="35" fillId="0" borderId="19" xfId="29" applyFont="1" applyFill="1" applyBorder="1" applyAlignment="1">
      <alignment horizontal="center" vertical="center" wrapText="1"/>
    </xf>
    <xf numFmtId="0" fontId="55" fillId="0" borderId="0" xfId="24" applyFont="1" applyAlignment="1">
      <alignment horizontal="center" wrapText="1"/>
    </xf>
    <xf numFmtId="0" fontId="53" fillId="0" borderId="19" xfId="28" applyFont="1" applyBorder="1" applyAlignment="1">
      <alignment horizontal="center" vertical="center"/>
    </xf>
    <xf numFmtId="0" fontId="53" fillId="0" borderId="19" xfId="28" applyFont="1" applyBorder="1" applyAlignment="1">
      <alignment horizontal="center" vertical="center" wrapText="1"/>
    </xf>
    <xf numFmtId="0" fontId="18" fillId="0" borderId="19" xfId="28" applyFont="1" applyBorder="1" applyAlignment="1">
      <alignment vertical="center" wrapText="1"/>
    </xf>
    <xf numFmtId="0" fontId="53" fillId="0" borderId="19" xfId="28" applyFont="1" applyBorder="1" applyAlignment="1">
      <alignment vertical="center" wrapText="1"/>
    </xf>
    <xf numFmtId="175" fontId="53" fillId="0" borderId="19" xfId="25" applyNumberFormat="1" applyFont="1" applyBorder="1" applyAlignment="1">
      <alignment horizontal="right" vertical="top"/>
    </xf>
    <xf numFmtId="164" fontId="53" fillId="0" borderId="19" xfId="22" applyNumberFormat="1" applyFont="1" applyFill="1" applyBorder="1" applyAlignment="1">
      <alignment horizontal="right" vertical="center"/>
    </xf>
    <xf numFmtId="175" fontId="53" fillId="0" borderId="19" xfId="25" applyNumberFormat="1" applyFont="1" applyFill="1" applyBorder="1" applyAlignment="1">
      <alignment horizontal="right" vertical="top"/>
    </xf>
    <xf numFmtId="164" fontId="53" fillId="0" borderId="19" xfId="22" applyNumberFormat="1" applyFont="1" applyFill="1" applyBorder="1" applyAlignment="1">
      <alignment horizontal="right" vertical="top"/>
    </xf>
    <xf numFmtId="0" fontId="52" fillId="0" borderId="19" xfId="28" applyFont="1" applyBorder="1" applyAlignment="1">
      <alignment vertical="center" wrapText="1"/>
    </xf>
    <xf numFmtId="174" fontId="53" fillId="0" borderId="19" xfId="25" applyFont="1" applyBorder="1" applyAlignment="1">
      <alignment horizontal="right" vertical="top"/>
    </xf>
    <xf numFmtId="174" fontId="53" fillId="0" borderId="19" xfId="25" applyFont="1" applyFill="1" applyBorder="1" applyAlignment="1">
      <alignment horizontal="right" vertical="top"/>
    </xf>
    <xf numFmtId="0" fontId="53" fillId="0" borderId="19" xfId="29" applyFont="1" applyFill="1" applyBorder="1" applyAlignment="1">
      <alignment horizontal="center" vertical="center"/>
    </xf>
    <xf numFmtId="10" fontId="53" fillId="0" borderId="19" xfId="31" applyNumberFormat="1" applyFont="1" applyFill="1" applyBorder="1" applyAlignment="1">
      <alignment horizontal="right" vertical="top"/>
    </xf>
    <xf numFmtId="0" fontId="57" fillId="0" borderId="19" xfId="28" applyFont="1" applyBorder="1" applyAlignment="1">
      <alignment vertical="center" wrapText="1"/>
    </xf>
    <xf numFmtId="10" fontId="53" fillId="0" borderId="19" xfId="31" applyNumberFormat="1" applyFont="1" applyBorder="1" applyAlignment="1">
      <alignment horizontal="right" vertical="top"/>
    </xf>
    <xf numFmtId="0" fontId="18" fillId="0" borderId="19" xfId="28" applyFont="1" applyBorder="1" applyAlignment="1">
      <alignment vertical="center"/>
    </xf>
    <xf numFmtId="0" fontId="52" fillId="0" borderId="19" xfId="28" applyFont="1" applyBorder="1" applyAlignment="1">
      <alignment vertical="top" wrapText="1"/>
    </xf>
    <xf numFmtId="9" fontId="53" fillId="0" borderId="19" xfId="31" applyFont="1" applyFill="1" applyBorder="1" applyAlignment="1">
      <alignment horizontal="right" vertical="center"/>
    </xf>
    <xf numFmtId="0" fontId="53" fillId="0" borderId="19" xfId="28" applyFont="1" applyBorder="1" applyAlignment="1">
      <alignment horizontal="right" vertical="center"/>
    </xf>
    <xf numFmtId="0" fontId="34" fillId="0" borderId="4" xfId="33" applyFont="1" applyBorder="1" applyAlignment="1">
      <alignment vertical="center" wrapText="1"/>
    </xf>
    <xf numFmtId="0" fontId="34" fillId="0" borderId="20" xfId="33" applyFont="1" applyBorder="1" applyAlignment="1">
      <alignment vertical="center" wrapText="1"/>
    </xf>
    <xf numFmtId="0" fontId="34" fillId="0" borderId="27" xfId="33" applyFont="1" applyBorder="1" applyAlignment="1">
      <alignment vertical="center" wrapText="1"/>
    </xf>
    <xf numFmtId="0" fontId="34" fillId="0" borderId="19" xfId="33" applyFont="1" applyBorder="1" applyAlignment="1">
      <alignment vertical="center" wrapText="1"/>
    </xf>
    <xf numFmtId="0" fontId="18" fillId="0" borderId="19" xfId="28" applyFont="1" applyBorder="1" applyAlignment="1">
      <alignment horizontal="left" vertical="center" wrapText="1"/>
    </xf>
    <xf numFmtId="9" fontId="53" fillId="0" borderId="19" xfId="31" applyFont="1" applyBorder="1" applyAlignment="1">
      <alignment horizontal="right" vertical="top"/>
    </xf>
    <xf numFmtId="9" fontId="53" fillId="0" borderId="19" xfId="31" applyFont="1" applyFill="1" applyBorder="1" applyAlignment="1">
      <alignment horizontal="right" vertical="top"/>
    </xf>
    <xf numFmtId="0" fontId="18" fillId="0" borderId="19" xfId="34" applyFont="1" applyFill="1" applyBorder="1" applyAlignment="1">
      <alignment horizontal="left" vertical="center" wrapText="1"/>
    </xf>
    <xf numFmtId="0" fontId="39" fillId="0" borderId="27" xfId="33" applyFont="1" applyBorder="1" applyAlignment="1">
      <alignment vertical="center" wrapText="1"/>
    </xf>
    <xf numFmtId="0" fontId="39" fillId="0" borderId="19" xfId="33" applyFont="1" applyBorder="1" applyAlignment="1">
      <alignment vertical="center" wrapText="1"/>
    </xf>
    <xf numFmtId="0" fontId="54" fillId="0" borderId="19" xfId="28" applyFont="1" applyBorder="1" applyAlignment="1">
      <alignment horizontal="center" vertical="center" wrapText="1"/>
    </xf>
    <xf numFmtId="175" fontId="53" fillId="0" borderId="19" xfId="25" applyNumberFormat="1" applyFont="1" applyBorder="1" applyAlignment="1">
      <alignment horizontal="right" vertical="top" wrapText="1"/>
    </xf>
    <xf numFmtId="0" fontId="53" fillId="0" borderId="19" xfId="25" applyNumberFormat="1" applyFont="1" applyFill="1" applyBorder="1" applyAlignment="1">
      <alignment horizontal="right" vertical="top" wrapText="1"/>
    </xf>
    <xf numFmtId="0" fontId="53" fillId="0" borderId="19" xfId="25" applyNumberFormat="1" applyFont="1" applyFill="1" applyBorder="1" applyAlignment="1">
      <alignment horizontal="right" vertical="top"/>
    </xf>
    <xf numFmtId="10" fontId="53" fillId="0" borderId="19" xfId="31" applyNumberFormat="1" applyFont="1" applyBorder="1" applyAlignment="1">
      <alignment horizontal="right" vertical="top" wrapText="1"/>
    </xf>
    <xf numFmtId="0" fontId="58" fillId="0" borderId="19" xfId="28" applyFont="1" applyBorder="1" applyAlignment="1">
      <alignment horizontal="left" vertical="center" wrapText="1"/>
    </xf>
    <xf numFmtId="175" fontId="53" fillId="0" borderId="19" xfId="25" applyNumberFormat="1" applyFont="1" applyFill="1" applyBorder="1" applyAlignment="1">
      <alignment horizontal="right" vertical="top" wrapText="1"/>
    </xf>
    <xf numFmtId="0" fontId="54" fillId="0" borderId="19" xfId="24" applyBorder="1" applyAlignment="1">
      <alignment horizontal="center"/>
    </xf>
    <xf numFmtId="0" fontId="54" fillId="0" borderId="19" xfId="24" applyBorder="1" applyAlignment="1">
      <alignment horizontal="center" wrapText="1"/>
    </xf>
    <xf numFmtId="0" fontId="54" fillId="0" borderId="19" xfId="24" applyBorder="1" applyAlignment="1">
      <alignment horizontal="left" wrapText="1"/>
    </xf>
    <xf numFmtId="175" fontId="54" fillId="0" borderId="19" xfId="25" applyNumberFormat="1" applyFont="1" applyFill="1" applyBorder="1" applyAlignment="1">
      <alignment horizontal="center" wrapText="1"/>
    </xf>
    <xf numFmtId="3" fontId="10" fillId="0" borderId="8" xfId="0" applyNumberFormat="1" applyFont="1" applyFill="1" applyBorder="1" applyAlignment="1">
      <alignment horizontal="right" vertical="top" wrapText="1"/>
    </xf>
    <xf numFmtId="0" fontId="17" fillId="3" borderId="0" xfId="0" applyFont="1" applyFill="1" applyAlignment="1">
      <alignment horizontal="center" wrapText="1"/>
    </xf>
    <xf numFmtId="0" fontId="11" fillId="3" borderId="0" xfId="0" applyFont="1" applyFill="1" applyAlignment="1">
      <alignment horizontal="center"/>
    </xf>
    <xf numFmtId="0" fontId="17" fillId="3" borderId="0" xfId="0" applyFont="1" applyFill="1" applyAlignment="1">
      <alignment horizontal="center"/>
    </xf>
    <xf numFmtId="0" fontId="19" fillId="0" borderId="0" xfId="6" applyFont="1" applyFill="1" applyAlignment="1">
      <alignment horizontal="center" wrapText="1"/>
    </xf>
    <xf numFmtId="0" fontId="13" fillId="0" borderId="18" xfId="6" applyFont="1" applyFill="1" applyBorder="1" applyAlignment="1">
      <alignment horizontal="center" vertical="top" wrapText="1"/>
    </xf>
    <xf numFmtId="0" fontId="13" fillId="0" borderId="35" xfId="6" applyFont="1" applyFill="1" applyBorder="1" applyAlignment="1">
      <alignment horizontal="center" vertical="top" wrapText="1"/>
    </xf>
    <xf numFmtId="0" fontId="13" fillId="0" borderId="17" xfId="6" applyFont="1" applyFill="1" applyBorder="1" applyAlignment="1">
      <alignment horizontal="center" vertical="top" wrapText="1"/>
    </xf>
    <xf numFmtId="0" fontId="19" fillId="3" borderId="18" xfId="0" applyFont="1" applyFill="1" applyBorder="1" applyAlignment="1">
      <alignment horizontal="center" wrapText="1"/>
    </xf>
    <xf numFmtId="0" fontId="19" fillId="3" borderId="2" xfId="0" applyFont="1" applyFill="1" applyBorder="1" applyAlignment="1">
      <alignment horizontal="center" wrapText="1"/>
    </xf>
    <xf numFmtId="0" fontId="19" fillId="3" borderId="17" xfId="0" applyFont="1" applyFill="1" applyBorder="1" applyAlignment="1">
      <alignment horizontal="center" wrapText="1"/>
    </xf>
    <xf numFmtId="0" fontId="19" fillId="3" borderId="4" xfId="0" applyFont="1" applyFill="1" applyBorder="1" applyAlignment="1">
      <alignment horizontal="center" wrapText="1"/>
    </xf>
    <xf numFmtId="0" fontId="13" fillId="0" borderId="18" xfId="0" applyFont="1" applyBorder="1" applyAlignment="1">
      <alignment horizontal="center" vertical="top" wrapText="1"/>
    </xf>
    <xf numFmtId="0" fontId="13" fillId="0" borderId="35" xfId="0" applyFont="1" applyBorder="1" applyAlignment="1">
      <alignment horizontal="center" vertical="top" wrapText="1"/>
    </xf>
    <xf numFmtId="0" fontId="13" fillId="0" borderId="17" xfId="0" applyFont="1" applyBorder="1" applyAlignment="1">
      <alignment horizontal="center" vertical="top" wrapText="1"/>
    </xf>
    <xf numFmtId="0" fontId="13" fillId="0" borderId="18" xfId="0" applyFont="1" applyBorder="1" applyAlignment="1">
      <alignment horizontal="right" vertical="top" wrapText="1"/>
    </xf>
    <xf numFmtId="4" fontId="13" fillId="0" borderId="35" xfId="0" applyNumberFormat="1" applyFont="1" applyBorder="1" applyAlignment="1">
      <alignment horizontal="right" vertical="top" wrapText="1"/>
    </xf>
    <xf numFmtId="0" fontId="13" fillId="0" borderId="35" xfId="0" applyFont="1" applyBorder="1" applyAlignment="1">
      <alignment horizontal="right" vertical="top" wrapText="1"/>
    </xf>
    <xf numFmtId="0" fontId="13" fillId="0" borderId="17" xfId="0" applyFont="1" applyBorder="1" applyAlignment="1">
      <alignment horizontal="right" vertical="top" wrapText="1"/>
    </xf>
    <xf numFmtId="4" fontId="5" fillId="6" borderId="0" xfId="8" applyNumberFormat="1" applyFill="1" applyBorder="1" applyAlignment="1">
      <alignment horizontal="right" vertical="center"/>
    </xf>
    <xf numFmtId="0" fontId="0" fillId="6" borderId="0" xfId="8" applyFont="1" applyFill="1" applyBorder="1" applyAlignment="1">
      <alignment horizontal="left" vertical="center"/>
    </xf>
    <xf numFmtId="0" fontId="5" fillId="6" borderId="0" xfId="8" applyFill="1" applyBorder="1" applyAlignment="1">
      <alignment horizontal="left" vertical="center"/>
    </xf>
    <xf numFmtId="0" fontId="10" fillId="6" borderId="0" xfId="10" applyFont="1" applyFill="1" applyBorder="1" applyAlignment="1">
      <alignment horizontal="center" vertical="center" wrapText="1"/>
    </xf>
    <xf numFmtId="0" fontId="5" fillId="6" borderId="3" xfId="7" applyFont="1" applyFill="1" applyBorder="1" applyAlignment="1">
      <alignment horizontal="left" vertical="top" wrapText="1"/>
    </xf>
    <xf numFmtId="4" fontId="5" fillId="6" borderId="1" xfId="8" applyNumberFormat="1" applyFill="1" applyBorder="1" applyAlignment="1">
      <alignment horizontal="right" vertical="center"/>
    </xf>
    <xf numFmtId="0" fontId="5" fillId="6" borderId="4" xfId="7" applyFont="1" applyFill="1" applyBorder="1" applyAlignment="1">
      <alignment horizontal="left" vertical="top" wrapText="1"/>
    </xf>
    <xf numFmtId="0" fontId="4" fillId="0" borderId="18" xfId="8" applyFont="1" applyFill="1" applyBorder="1" applyAlignment="1">
      <alignment horizontal="center" vertical="center" wrapText="1"/>
    </xf>
    <xf numFmtId="0" fontId="4" fillId="0" borderId="7" xfId="8" applyFont="1" applyFill="1" applyBorder="1" applyAlignment="1">
      <alignment horizontal="center" vertical="center" wrapText="1"/>
    </xf>
    <xf numFmtId="0" fontId="10" fillId="0" borderId="3" xfId="7" applyFont="1" applyFill="1" applyBorder="1" applyAlignment="1">
      <alignment horizontal="left" vertical="top" wrapText="1"/>
    </xf>
    <xf numFmtId="0" fontId="4" fillId="0" borderId="2" xfId="8" applyFont="1" applyFill="1" applyBorder="1" applyAlignment="1">
      <alignment horizontal="center" vertical="center" wrapText="1"/>
    </xf>
    <xf numFmtId="0" fontId="5" fillId="0" borderId="0" xfId="7" applyFont="1" applyAlignment="1">
      <alignment horizontal="left" wrapText="1"/>
    </xf>
    <xf numFmtId="0" fontId="10" fillId="0" borderId="17" xfId="7" applyFont="1" applyFill="1" applyBorder="1" applyAlignment="1">
      <alignment horizontal="left" vertical="top" wrapText="1"/>
    </xf>
    <xf numFmtId="0" fontId="10" fillId="0" borderId="4" xfId="7" applyFont="1" applyFill="1" applyBorder="1" applyAlignment="1">
      <alignment horizontal="left" vertical="top" wrapText="1"/>
    </xf>
    <xf numFmtId="0" fontId="0" fillId="0" borderId="0" xfId="7" applyFont="1" applyAlignment="1">
      <alignment horizontal="left" vertical="top" wrapText="1"/>
    </xf>
    <xf numFmtId="0" fontId="5" fillId="0" borderId="0" xfId="7" applyFont="1" applyAlignment="1">
      <alignment horizontal="left" vertical="top" wrapText="1"/>
    </xf>
    <xf numFmtId="0" fontId="5" fillId="6" borderId="1" xfId="8" applyFill="1" applyBorder="1" applyAlignment="1">
      <alignment horizontal="left" vertical="center"/>
    </xf>
    <xf numFmtId="0" fontId="10" fillId="6" borderId="1" xfId="10" applyFont="1" applyFill="1" applyBorder="1" applyAlignment="1">
      <alignment horizontal="center" vertical="center" wrapText="1"/>
    </xf>
    <xf numFmtId="3" fontId="5" fillId="0" borderId="0" xfId="8" applyNumberFormat="1" applyFill="1" applyBorder="1" applyAlignment="1">
      <alignment horizontal="right" vertical="center"/>
    </xf>
    <xf numFmtId="3" fontId="5" fillId="0" borderId="1" xfId="8" applyNumberFormat="1" applyFill="1" applyBorder="1" applyAlignment="1">
      <alignment horizontal="right" vertical="center"/>
    </xf>
    <xf numFmtId="39" fontId="5" fillId="6" borderId="0" xfId="1" applyNumberFormat="1" applyFont="1" applyFill="1" applyBorder="1" applyAlignment="1">
      <alignment horizontal="right" vertical="center"/>
    </xf>
    <xf numFmtId="164" fontId="0" fillId="6" borderId="0" xfId="1" applyNumberFormat="1" applyFont="1" applyFill="1" applyBorder="1" applyAlignment="1">
      <alignment horizontal="center" vertical="center"/>
    </xf>
    <xf numFmtId="164" fontId="5" fillId="6" borderId="0" xfId="1" applyNumberFormat="1" applyFont="1" applyFill="1" applyBorder="1" applyAlignment="1">
      <alignment horizontal="center" vertical="center"/>
    </xf>
    <xf numFmtId="165" fontId="5" fillId="6" borderId="0" xfId="8" applyNumberFormat="1" applyFill="1" applyBorder="1" applyAlignment="1">
      <alignment horizontal="right" vertical="center"/>
    </xf>
    <xf numFmtId="165" fontId="5" fillId="6" borderId="1" xfId="8" applyNumberFormat="1" applyFill="1" applyBorder="1" applyAlignment="1">
      <alignment horizontal="right" vertical="center"/>
    </xf>
    <xf numFmtId="0" fontId="4" fillId="0" borderId="30" xfId="8" applyFont="1" applyFill="1" applyBorder="1" applyAlignment="1">
      <alignment horizontal="center" vertical="center" wrapText="1"/>
    </xf>
    <xf numFmtId="0" fontId="4" fillId="0" borderId="31" xfId="8" applyFont="1" applyFill="1" applyBorder="1" applyAlignment="1">
      <alignment horizontal="center" vertical="center" wrapText="1"/>
    </xf>
    <xf numFmtId="0" fontId="4" fillId="0" borderId="20" xfId="8" applyFont="1" applyFill="1" applyBorder="1" applyAlignment="1">
      <alignment horizontal="center" vertical="center" wrapText="1"/>
    </xf>
    <xf numFmtId="164" fontId="4" fillId="0" borderId="18" xfId="1" applyNumberFormat="1" applyFont="1" applyFill="1" applyBorder="1" applyAlignment="1">
      <alignment horizontal="center" vertical="center" wrapText="1"/>
    </xf>
    <xf numFmtId="164" fontId="4" fillId="0" borderId="7" xfId="1" applyNumberFormat="1" applyFont="1" applyFill="1" applyBorder="1" applyAlignment="1">
      <alignment horizontal="center" vertical="center" wrapText="1"/>
    </xf>
    <xf numFmtId="164" fontId="4" fillId="0" borderId="2" xfId="1" applyNumberFormat="1" applyFont="1" applyFill="1" applyBorder="1" applyAlignment="1">
      <alignment horizontal="center" vertical="center" wrapText="1"/>
    </xf>
    <xf numFmtId="0" fontId="10" fillId="6" borderId="0" xfId="1" applyNumberFormat="1" applyFont="1" applyFill="1" applyBorder="1" applyAlignment="1">
      <alignment horizontal="center" vertical="center" wrapText="1"/>
    </xf>
    <xf numFmtId="0" fontId="10" fillId="6" borderId="1" xfId="1" applyNumberFormat="1" applyFont="1" applyFill="1" applyBorder="1" applyAlignment="1">
      <alignment horizontal="center" vertical="center" wrapText="1"/>
    </xf>
    <xf numFmtId="0" fontId="5" fillId="6" borderId="0" xfId="8" applyFill="1" applyBorder="1" applyAlignment="1">
      <alignment horizontal="center" vertical="center"/>
    </xf>
    <xf numFmtId="164" fontId="5" fillId="6" borderId="1" xfId="1" applyNumberFormat="1" applyFont="1" applyFill="1" applyBorder="1" applyAlignment="1">
      <alignment horizontal="center" vertical="center"/>
    </xf>
    <xf numFmtId="0" fontId="0" fillId="6" borderId="3" xfId="7" applyFont="1" applyFill="1" applyBorder="1" applyAlignment="1">
      <alignment horizontal="left" vertical="top" wrapText="1"/>
    </xf>
    <xf numFmtId="0" fontId="5" fillId="6" borderId="1" xfId="8" applyFill="1" applyBorder="1" applyAlignment="1">
      <alignment horizontal="center" vertical="center"/>
    </xf>
    <xf numFmtId="0" fontId="0" fillId="0" borderId="0" xfId="8" applyFont="1" applyFill="1" applyBorder="1" applyAlignment="1">
      <alignment horizontal="left" wrapText="1"/>
    </xf>
    <xf numFmtId="0" fontId="5" fillId="0" borderId="1" xfId="8" applyFill="1" applyBorder="1" applyAlignment="1">
      <alignment horizontal="left" wrapText="1"/>
    </xf>
    <xf numFmtId="0" fontId="0" fillId="0" borderId="0" xfId="8" applyFont="1" applyFill="1" applyBorder="1" applyAlignment="1">
      <alignment horizontal="center" vertical="center"/>
    </xf>
    <xf numFmtId="0" fontId="5" fillId="0" borderId="1" xfId="8" applyFill="1" applyBorder="1" applyAlignment="1">
      <alignment horizontal="center" vertical="center"/>
    </xf>
    <xf numFmtId="1" fontId="0" fillId="0" borderId="0" xfId="8" applyNumberFormat="1" applyFont="1" applyFill="1" applyBorder="1" applyAlignment="1">
      <alignment horizontal="center" vertical="center"/>
    </xf>
    <xf numFmtId="1" fontId="5" fillId="0" borderId="1" xfId="8" applyNumberFormat="1" applyFill="1" applyBorder="1" applyAlignment="1">
      <alignment horizontal="center" vertical="center"/>
    </xf>
    <xf numFmtId="0" fontId="10" fillId="6" borderId="0" xfId="1" applyNumberFormat="1" applyFont="1" applyFill="1" applyBorder="1" applyAlignment="1">
      <alignment horizontal="center" vertical="top" wrapText="1"/>
    </xf>
    <xf numFmtId="0" fontId="4" fillId="0" borderId="16" xfId="14" applyFont="1" applyFill="1" applyBorder="1" applyAlignment="1">
      <alignment horizontal="left"/>
    </xf>
    <xf numFmtId="3" fontId="5" fillId="0" borderId="0" xfId="8" applyNumberFormat="1" applyFill="1" applyBorder="1" applyAlignment="1">
      <alignment horizontal="center" vertical="center"/>
    </xf>
    <xf numFmtId="3" fontId="5" fillId="0" borderId="1" xfId="8" applyNumberFormat="1" applyFill="1" applyBorder="1" applyAlignment="1">
      <alignment horizontal="center" vertical="center"/>
    </xf>
    <xf numFmtId="10" fontId="0" fillId="6" borderId="0" xfId="13" applyNumberFormat="1" applyFont="1" applyFill="1" applyBorder="1" applyAlignment="1">
      <alignment horizontal="center" vertical="center"/>
    </xf>
    <xf numFmtId="10" fontId="0" fillId="6" borderId="1" xfId="13" applyNumberFormat="1" applyFont="1" applyFill="1" applyBorder="1" applyAlignment="1">
      <alignment horizontal="center" vertical="center"/>
    </xf>
    <xf numFmtId="10" fontId="0" fillId="6" borderId="0" xfId="5" applyNumberFormat="1" applyFont="1" applyFill="1" applyBorder="1" applyAlignment="1">
      <alignment horizontal="center" vertical="center"/>
    </xf>
    <xf numFmtId="10" fontId="0" fillId="6" borderId="1" xfId="5" applyNumberFormat="1" applyFont="1" applyFill="1" applyBorder="1" applyAlignment="1">
      <alignment horizontal="center" vertical="center"/>
    </xf>
    <xf numFmtId="3" fontId="5" fillId="6" borderId="0" xfId="8" applyNumberFormat="1" applyFont="1" applyFill="1" applyBorder="1" applyAlignment="1">
      <alignment horizontal="center" vertical="center"/>
    </xf>
    <xf numFmtId="3" fontId="5" fillId="6" borderId="0" xfId="8" applyNumberFormat="1" applyFill="1" applyBorder="1" applyAlignment="1">
      <alignment horizontal="center" vertical="center"/>
    </xf>
    <xf numFmtId="3" fontId="5" fillId="6" borderId="1" xfId="8" applyNumberFormat="1" applyFill="1" applyBorder="1" applyAlignment="1">
      <alignment horizontal="center" vertical="center"/>
    </xf>
    <xf numFmtId="2" fontId="5" fillId="6" borderId="0" xfId="8" applyNumberFormat="1" applyFont="1" applyFill="1" applyBorder="1" applyAlignment="1">
      <alignment horizontal="center" vertical="center"/>
    </xf>
    <xf numFmtId="2" fontId="5" fillId="6" borderId="0" xfId="8" applyNumberFormat="1" applyFill="1" applyBorder="1" applyAlignment="1">
      <alignment horizontal="center" vertical="center"/>
    </xf>
    <xf numFmtId="2" fontId="5" fillId="6" borderId="1" xfId="8" applyNumberFormat="1" applyFill="1" applyBorder="1" applyAlignment="1">
      <alignment horizontal="center" vertical="center"/>
    </xf>
    <xf numFmtId="4" fontId="5" fillId="6" borderId="0" xfId="8" applyNumberFormat="1" applyFill="1" applyBorder="1" applyAlignment="1">
      <alignment horizontal="center" vertical="center"/>
    </xf>
    <xf numFmtId="0" fontId="0" fillId="0" borderId="0" xfId="7" applyFont="1" applyAlignment="1">
      <alignment horizontal="left" wrapText="1"/>
    </xf>
    <xf numFmtId="0" fontId="5" fillId="6" borderId="0" xfId="8" applyFill="1" applyBorder="1" applyAlignment="1">
      <alignment horizontal="left" wrapText="1"/>
    </xf>
    <xf numFmtId="0" fontId="5" fillId="6" borderId="1" xfId="8" applyFill="1" applyBorder="1" applyAlignment="1">
      <alignment horizontal="left" wrapText="1"/>
    </xf>
    <xf numFmtId="0" fontId="0" fillId="0" borderId="3" xfId="7" applyFont="1" applyFill="1" applyBorder="1" applyAlignment="1">
      <alignment horizontal="left" vertical="top" wrapText="1"/>
    </xf>
    <xf numFmtId="0" fontId="5" fillId="0" borderId="3" xfId="7" applyFont="1" applyFill="1" applyBorder="1" applyAlignment="1">
      <alignment horizontal="left" vertical="top" wrapText="1"/>
    </xf>
    <xf numFmtId="0" fontId="0" fillId="6" borderId="0" xfId="8" applyFont="1" applyFill="1" applyBorder="1" applyAlignment="1">
      <alignment horizontal="left" vertical="center" wrapText="1"/>
    </xf>
    <xf numFmtId="0" fontId="5" fillId="6" borderId="0" xfId="8" applyFill="1" applyBorder="1" applyAlignment="1">
      <alignment horizontal="left" vertical="center" wrapText="1"/>
    </xf>
    <xf numFmtId="0" fontId="13" fillId="0" borderId="18" xfId="8" applyFont="1" applyFill="1" applyBorder="1" applyAlignment="1">
      <alignment horizontal="left" vertical="center" wrapText="1"/>
    </xf>
    <xf numFmtId="0" fontId="13" fillId="0" borderId="7" xfId="8" applyFont="1" applyFill="1" applyBorder="1" applyAlignment="1">
      <alignment horizontal="left" vertical="center" wrapText="1"/>
    </xf>
    <xf numFmtId="0" fontId="13" fillId="0" borderId="2" xfId="8" applyFont="1" applyFill="1" applyBorder="1" applyAlignment="1">
      <alignment horizontal="left" vertical="center" wrapText="1"/>
    </xf>
    <xf numFmtId="0" fontId="5" fillId="0" borderId="0" xfId="8" applyFill="1" applyBorder="1" applyAlignment="1">
      <alignment horizontal="center" vertical="center"/>
    </xf>
    <xf numFmtId="0" fontId="0" fillId="0" borderId="17" xfId="7" applyFont="1" applyFill="1" applyBorder="1" applyAlignment="1">
      <alignment horizontal="left" vertical="top" wrapText="1"/>
    </xf>
    <xf numFmtId="0" fontId="5" fillId="0" borderId="4" xfId="7" applyFont="1" applyFill="1" applyBorder="1" applyAlignment="1">
      <alignment horizontal="left" vertical="top" wrapText="1"/>
    </xf>
    <xf numFmtId="1" fontId="5" fillId="0" borderId="0" xfId="8" applyNumberFormat="1" applyFill="1" applyBorder="1" applyAlignment="1">
      <alignment horizontal="center" vertical="center"/>
    </xf>
    <xf numFmtId="0" fontId="0" fillId="0" borderId="17" xfId="7" applyFont="1" applyFill="1" applyBorder="1" applyAlignment="1">
      <alignment horizontal="left" wrapText="1"/>
    </xf>
    <xf numFmtId="0" fontId="5" fillId="0" borderId="3" xfId="7" applyFont="1" applyFill="1" applyBorder="1" applyAlignment="1">
      <alignment horizontal="left" wrapText="1"/>
    </xf>
    <xf numFmtId="10" fontId="0" fillId="6" borderId="0" xfId="16" applyNumberFormat="1" applyFont="1" applyFill="1" applyBorder="1" applyAlignment="1">
      <alignment horizontal="right" vertical="center"/>
    </xf>
    <xf numFmtId="10" fontId="0" fillId="6" borderId="1" xfId="16" applyNumberFormat="1" applyFont="1" applyFill="1" applyBorder="1" applyAlignment="1">
      <alignment horizontal="right" vertical="center"/>
    </xf>
    <xf numFmtId="165" fontId="5" fillId="6" borderId="0" xfId="14" applyNumberFormat="1" applyFill="1" applyBorder="1" applyAlignment="1">
      <alignment horizontal="right" vertical="center"/>
    </xf>
    <xf numFmtId="165" fontId="5" fillId="6" borderId="1" xfId="14" applyNumberFormat="1" applyFill="1" applyBorder="1" applyAlignment="1">
      <alignment horizontal="right" vertical="center"/>
    </xf>
    <xf numFmtId="172" fontId="5" fillId="6" borderId="0" xfId="8" applyNumberFormat="1" applyFill="1" applyBorder="1" applyAlignment="1">
      <alignment horizontal="right" vertical="center"/>
    </xf>
    <xf numFmtId="10" fontId="5" fillId="6" borderId="0" xfId="14" applyNumberFormat="1" applyFill="1" applyBorder="1" applyAlignment="1">
      <alignment horizontal="right"/>
    </xf>
    <xf numFmtId="10" fontId="5" fillId="6" borderId="1" xfId="14" applyNumberFormat="1" applyFill="1" applyBorder="1" applyAlignment="1">
      <alignment horizontal="right"/>
    </xf>
    <xf numFmtId="10" fontId="5" fillId="6" borderId="0" xfId="14" applyNumberFormat="1" applyFill="1" applyBorder="1" applyAlignment="1">
      <alignment horizontal="right" vertical="center"/>
    </xf>
    <xf numFmtId="10" fontId="5" fillId="6" borderId="1" xfId="14" applyNumberFormat="1" applyFill="1" applyBorder="1" applyAlignment="1">
      <alignment horizontal="right" vertical="center"/>
    </xf>
    <xf numFmtId="10" fontId="0" fillId="6" borderId="0" xfId="14" applyNumberFormat="1" applyFont="1" applyFill="1" applyBorder="1" applyAlignment="1">
      <alignment horizontal="right" vertical="center"/>
    </xf>
    <xf numFmtId="43" fontId="5" fillId="6" borderId="0" xfId="1" applyFill="1" applyBorder="1" applyAlignment="1">
      <alignment horizontal="right"/>
    </xf>
    <xf numFmtId="0" fontId="10" fillId="6" borderId="0" xfId="10" applyFont="1" applyFill="1" applyBorder="1" applyAlignment="1">
      <alignment horizontal="center" wrapText="1"/>
    </xf>
    <xf numFmtId="0" fontId="0" fillId="6" borderId="0" xfId="14" applyFont="1" applyFill="1" applyBorder="1" applyAlignment="1">
      <alignment horizontal="left" vertical="center"/>
    </xf>
    <xf numFmtId="0" fontId="5" fillId="6" borderId="1" xfId="14" applyFill="1" applyBorder="1" applyAlignment="1">
      <alignment horizontal="left" vertical="center"/>
    </xf>
    <xf numFmtId="0" fontId="10" fillId="6" borderId="1" xfId="10" applyFont="1" applyFill="1" applyBorder="1" applyAlignment="1">
      <alignment horizontal="center" wrapText="1"/>
    </xf>
    <xf numFmtId="0" fontId="5" fillId="6" borderId="0" xfId="14" applyFill="1" applyBorder="1" applyAlignment="1">
      <alignment horizontal="left" vertical="center"/>
    </xf>
    <xf numFmtId="0" fontId="5" fillId="0" borderId="0" xfId="7" applyFont="1" applyAlignment="1">
      <alignment horizontal="left" vertical="center" wrapText="1"/>
    </xf>
    <xf numFmtId="0" fontId="4" fillId="0" borderId="18"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 fillId="0" borderId="2" xfId="14" applyFont="1" applyFill="1"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5" fillId="0" borderId="17" xfId="7" applyFont="1" applyFill="1" applyBorder="1" applyAlignment="1">
      <alignment horizontal="left" vertical="top" wrapText="1"/>
    </xf>
    <xf numFmtId="0" fontId="0" fillId="6" borderId="0" xfId="14" applyFont="1" applyFill="1" applyBorder="1" applyAlignment="1">
      <alignment horizontal="left" vertical="center" wrapText="1"/>
    </xf>
    <xf numFmtId="0" fontId="5" fillId="6" borderId="1" xfId="14" applyFill="1" applyBorder="1" applyAlignment="1">
      <alignment horizontal="left" vertical="center" wrapText="1"/>
    </xf>
    <xf numFmtId="0" fontId="0" fillId="6" borderId="0" xfId="14" applyFont="1" applyFill="1" applyBorder="1" applyAlignment="1">
      <alignment horizontal="left" wrapText="1"/>
    </xf>
    <xf numFmtId="0" fontId="5" fillId="6" borderId="1" xfId="14" applyFill="1" applyBorder="1" applyAlignment="1">
      <alignment horizontal="left" wrapText="1"/>
    </xf>
    <xf numFmtId="0" fontId="5" fillId="6" borderId="0" xfId="14" applyFill="1" applyBorder="1" applyAlignment="1">
      <alignment horizontal="left" wrapText="1"/>
    </xf>
    <xf numFmtId="0" fontId="0" fillId="0" borderId="4" xfId="7" applyFont="1" applyFill="1" applyBorder="1" applyAlignment="1">
      <alignment horizontal="left" vertical="top" wrapText="1"/>
    </xf>
    <xf numFmtId="0" fontId="13" fillId="0" borderId="18" xfId="14" applyFont="1" applyFill="1" applyBorder="1" applyAlignment="1">
      <alignment horizontal="center" vertical="center" wrapText="1"/>
    </xf>
    <xf numFmtId="0" fontId="13" fillId="0" borderId="7" xfId="14"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17" xfId="7" applyFont="1" applyFill="1" applyBorder="1" applyAlignment="1">
      <alignment horizontal="left" vertical="top" wrapText="1"/>
    </xf>
    <xf numFmtId="0" fontId="9" fillId="0" borderId="3" xfId="7" applyFont="1" applyFill="1" applyBorder="1" applyAlignment="1">
      <alignment horizontal="left" vertical="top" wrapText="1"/>
    </xf>
    <xf numFmtId="0" fontId="0" fillId="0" borderId="32" xfId="7" applyFont="1" applyFill="1" applyBorder="1" applyAlignment="1">
      <alignment horizontal="left" wrapText="1"/>
    </xf>
    <xf numFmtId="0" fontId="0" fillId="0" borderId="33" xfId="7" applyFont="1" applyFill="1" applyBorder="1" applyAlignment="1">
      <alignment horizontal="left" wrapText="1"/>
    </xf>
    <xf numFmtId="10" fontId="0" fillId="6" borderId="0" xfId="13" applyNumberFormat="1" applyFont="1" applyFill="1" applyBorder="1" applyAlignment="1">
      <alignment horizontal="right" vertical="center"/>
    </xf>
    <xf numFmtId="9" fontId="0" fillId="6" borderId="0" xfId="13" applyFont="1" applyFill="1" applyBorder="1" applyAlignment="1">
      <alignment horizontal="right" vertical="center"/>
    </xf>
    <xf numFmtId="9" fontId="0" fillId="6" borderId="1" xfId="13" applyFont="1" applyFill="1" applyBorder="1" applyAlignment="1">
      <alignment horizontal="right" vertical="center"/>
    </xf>
    <xf numFmtId="2" fontId="0" fillId="6" borderId="0" xfId="8" applyNumberFormat="1" applyFont="1" applyFill="1" applyBorder="1" applyAlignment="1">
      <alignment horizontal="right" vertical="center"/>
    </xf>
    <xf numFmtId="2" fontId="5" fillId="6" borderId="1" xfId="8" applyNumberFormat="1" applyFill="1" applyBorder="1" applyAlignment="1">
      <alignment horizontal="right" vertical="center"/>
    </xf>
    <xf numFmtId="10" fontId="0" fillId="6" borderId="0" xfId="8" applyNumberFormat="1" applyFont="1" applyFill="1" applyBorder="1" applyAlignment="1">
      <alignment horizontal="right" vertical="center"/>
    </xf>
    <xf numFmtId="10" fontId="5" fillId="6" borderId="0" xfId="8" applyNumberFormat="1" applyFill="1" applyBorder="1" applyAlignment="1">
      <alignment horizontal="right" vertical="center"/>
    </xf>
    <xf numFmtId="10" fontId="0" fillId="6" borderId="16" xfId="13" applyNumberFormat="1" applyFont="1" applyFill="1" applyBorder="1" applyAlignment="1">
      <alignment horizontal="right" vertical="center"/>
    </xf>
    <xf numFmtId="10" fontId="0" fillId="6" borderId="1" xfId="13" applyNumberFormat="1" applyFont="1" applyFill="1" applyBorder="1" applyAlignment="1">
      <alignment horizontal="right" vertical="center"/>
    </xf>
    <xf numFmtId="3" fontId="0" fillId="6" borderId="0" xfId="8" applyNumberFormat="1" applyFont="1" applyFill="1" applyBorder="1" applyAlignment="1">
      <alignment horizontal="right" vertical="center"/>
    </xf>
    <xf numFmtId="3" fontId="5" fillId="6" borderId="1" xfId="8" applyNumberFormat="1" applyFill="1" applyBorder="1" applyAlignment="1">
      <alignment horizontal="right" vertical="center"/>
    </xf>
    <xf numFmtId="0" fontId="23" fillId="0" borderId="0" xfId="8" applyFont="1" applyFill="1" applyBorder="1" applyAlignment="1">
      <alignment horizontal="center" vertical="top" wrapText="1"/>
    </xf>
    <xf numFmtId="0" fontId="5" fillId="6" borderId="1" xfId="8" applyFill="1" applyBorder="1" applyAlignment="1">
      <alignment horizontal="left" vertical="center" wrapText="1"/>
    </xf>
    <xf numFmtId="0" fontId="5" fillId="6" borderId="16" xfId="8" applyFill="1" applyBorder="1" applyAlignment="1">
      <alignment horizontal="left" vertical="center" wrapText="1"/>
    </xf>
    <xf numFmtId="0" fontId="10" fillId="6" borderId="16" xfId="10" applyFont="1" applyFill="1" applyBorder="1" applyAlignment="1">
      <alignment horizontal="center" vertical="center" wrapText="1"/>
    </xf>
    <xf numFmtId="2" fontId="0" fillId="6" borderId="16" xfId="8" applyNumberFormat="1" applyFont="1" applyFill="1" applyBorder="1" applyAlignment="1">
      <alignment horizontal="right" vertical="center"/>
    </xf>
    <xf numFmtId="9" fontId="0" fillId="6" borderId="16" xfId="13" applyFont="1" applyFill="1" applyBorder="1" applyAlignment="1">
      <alignment horizontal="right" vertical="center"/>
    </xf>
    <xf numFmtId="0" fontId="0" fillId="0" borderId="31" xfId="0" applyBorder="1" applyAlignment="1">
      <alignment horizontal="center" vertical="center" wrapText="1"/>
    </xf>
    <xf numFmtId="0" fontId="0" fillId="0" borderId="20" xfId="0" applyBorder="1" applyAlignment="1">
      <alignment horizontal="center" vertical="center" wrapText="1"/>
    </xf>
    <xf numFmtId="0" fontId="0" fillId="0" borderId="17" xfId="7" applyFont="1" applyFill="1" applyBorder="1" applyAlignment="1">
      <alignment horizontal="left" vertical="center" wrapText="1"/>
    </xf>
    <xf numFmtId="0" fontId="5" fillId="0" borderId="3" xfId="7" applyFont="1" applyFill="1" applyBorder="1" applyAlignment="1">
      <alignment horizontal="left" vertical="center" wrapText="1"/>
    </xf>
    <xf numFmtId="0" fontId="5" fillId="6" borderId="0" xfId="8" applyFont="1" applyFill="1" applyBorder="1" applyAlignment="1">
      <alignment horizontal="left" vertical="center" wrapText="1"/>
    </xf>
    <xf numFmtId="0" fontId="5" fillId="6" borderId="1" xfId="8" applyFont="1" applyFill="1" applyBorder="1" applyAlignment="1">
      <alignment horizontal="left" vertical="center"/>
    </xf>
    <xf numFmtId="0" fontId="4" fillId="0" borderId="30" xfId="8" applyFont="1" applyFill="1" applyBorder="1" applyAlignment="1">
      <alignment vertical="center" wrapText="1"/>
    </xf>
    <xf numFmtId="0" fontId="4" fillId="0" borderId="20" xfId="0" applyFont="1" applyBorder="1" applyAlignment="1">
      <alignment vertical="center" wrapText="1"/>
    </xf>
    <xf numFmtId="0" fontId="0" fillId="6" borderId="16" xfId="8" applyFont="1" applyFill="1" applyBorder="1" applyAlignment="1">
      <alignment horizontal="left" vertical="center" wrapText="1"/>
    </xf>
    <xf numFmtId="10" fontId="0" fillId="0" borderId="0" xfId="15" applyNumberFormat="1" applyFont="1" applyFill="1" applyBorder="1" applyAlignment="1">
      <alignment horizontal="right" vertical="center"/>
    </xf>
    <xf numFmtId="10" fontId="0" fillId="0" borderId="1" xfId="15" applyNumberFormat="1" applyFont="1" applyFill="1" applyBorder="1" applyAlignment="1">
      <alignment horizontal="right" vertical="center"/>
    </xf>
    <xf numFmtId="10" fontId="5" fillId="6" borderId="0" xfId="14" applyNumberFormat="1" applyFont="1" applyFill="1" applyBorder="1" applyAlignment="1">
      <alignment horizontal="right"/>
    </xf>
    <xf numFmtId="0" fontId="0" fillId="0" borderId="0" xfId="14" applyFont="1" applyFill="1" applyBorder="1" applyAlignment="1">
      <alignment horizontal="left" vertical="center"/>
    </xf>
    <xf numFmtId="0" fontId="5" fillId="0" borderId="1" xfId="14" applyFill="1" applyBorder="1" applyAlignment="1">
      <alignment horizontal="left" vertical="center"/>
    </xf>
    <xf numFmtId="0" fontId="10" fillId="0" borderId="0" xfId="1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5" fillId="0" borderId="0" xfId="14" applyFill="1" applyBorder="1" applyAlignment="1">
      <alignment horizontal="left" vertical="center"/>
    </xf>
    <xf numFmtId="0" fontId="4" fillId="0" borderId="18" xfId="14" applyFont="1" applyFill="1" applyBorder="1" applyAlignment="1">
      <alignment horizontal="center" vertical="top" wrapText="1"/>
    </xf>
    <xf numFmtId="0" fontId="4" fillId="0" borderId="2" xfId="14" applyFont="1" applyFill="1" applyBorder="1" applyAlignment="1">
      <alignment horizontal="center" vertical="top" wrapText="1"/>
    </xf>
    <xf numFmtId="0" fontId="13" fillId="0" borderId="18" xfId="10" applyFont="1" applyFill="1" applyBorder="1" applyAlignment="1">
      <alignment horizontal="center" vertical="center" wrapText="1"/>
    </xf>
    <xf numFmtId="0" fontId="13" fillId="0" borderId="7" xfId="10" applyFont="1" applyFill="1" applyBorder="1" applyAlignment="1">
      <alignment horizontal="center" vertical="center" wrapText="1"/>
    </xf>
    <xf numFmtId="0" fontId="13" fillId="0" borderId="2" xfId="10" applyFont="1" applyFill="1" applyBorder="1" applyAlignment="1">
      <alignment horizontal="center" vertical="center" wrapText="1"/>
    </xf>
    <xf numFmtId="10" fontId="0" fillId="6" borderId="0" xfId="15" applyNumberFormat="1" applyFont="1" applyFill="1" applyBorder="1" applyAlignment="1">
      <alignment horizontal="center" vertical="center"/>
    </xf>
    <xf numFmtId="165" fontId="0" fillId="6" borderId="0" xfId="15" applyNumberFormat="1" applyFont="1" applyFill="1" applyBorder="1" applyAlignment="1">
      <alignment horizontal="center" vertical="center"/>
    </xf>
    <xf numFmtId="10" fontId="0" fillId="6" borderId="1" xfId="15" applyNumberFormat="1" applyFont="1" applyFill="1" applyBorder="1" applyAlignment="1">
      <alignment horizontal="center" vertical="center"/>
    </xf>
    <xf numFmtId="0" fontId="4" fillId="0" borderId="18" xfId="14" applyFont="1" applyFill="1" applyBorder="1" applyAlignment="1">
      <alignment horizontal="left" vertical="center" wrapText="1"/>
    </xf>
    <xf numFmtId="0" fontId="4" fillId="0" borderId="7" xfId="14" applyFont="1" applyFill="1" applyBorder="1" applyAlignment="1">
      <alignment horizontal="left" vertical="center" wrapText="1"/>
    </xf>
    <xf numFmtId="0" fontId="4" fillId="0" borderId="2" xfId="14" applyFont="1" applyFill="1" applyBorder="1" applyAlignment="1">
      <alignment horizontal="left" vertical="center" wrapText="1"/>
    </xf>
    <xf numFmtId="0" fontId="4" fillId="0" borderId="18" xfId="14" applyFont="1" applyFill="1" applyBorder="1" applyAlignment="1">
      <alignment horizontal="left" vertical="top" wrapText="1"/>
    </xf>
    <xf numFmtId="0" fontId="4" fillId="0" borderId="2" xfId="14" applyFont="1" applyFill="1" applyBorder="1" applyAlignment="1">
      <alignment horizontal="left" vertical="top" wrapText="1"/>
    </xf>
    <xf numFmtId="0" fontId="5" fillId="6" borderId="0" xfId="14" applyFill="1" applyBorder="1" applyAlignment="1">
      <alignment horizontal="left" vertical="center" wrapText="1"/>
    </xf>
    <xf numFmtId="0" fontId="4" fillId="0" borderId="16" xfId="14" applyFont="1" applyFill="1" applyBorder="1" applyAlignment="1">
      <alignment horizontal="left" wrapText="1"/>
    </xf>
    <xf numFmtId="0" fontId="4" fillId="0" borderId="16" xfId="14" applyFont="1" applyFill="1" applyBorder="1" applyAlignment="1">
      <alignment vertical="center" wrapText="1"/>
    </xf>
    <xf numFmtId="0" fontId="29" fillId="0" borderId="0" xfId="0" applyFont="1" applyAlignment="1">
      <alignment horizontal="left" vertical="center"/>
    </xf>
    <xf numFmtId="0" fontId="35" fillId="0" borderId="19" xfId="28" applyFont="1" applyBorder="1" applyAlignment="1">
      <alignment horizontal="center" vertical="center" wrapText="1"/>
    </xf>
    <xf numFmtId="0" fontId="35" fillId="0" borderId="30" xfId="24" applyFont="1" applyBorder="1" applyAlignment="1">
      <alignment horizontal="center" vertical="center" wrapText="1"/>
    </xf>
    <xf numFmtId="0" fontId="35" fillId="0" borderId="20" xfId="24" applyFont="1" applyBorder="1" applyAlignment="1">
      <alignment horizontal="center" vertical="center" wrapText="1"/>
    </xf>
    <xf numFmtId="0" fontId="35" fillId="0" borderId="19" xfId="29" applyFont="1" applyFill="1" applyBorder="1" applyAlignment="1">
      <alignment horizontal="center" vertical="center" wrapText="1"/>
    </xf>
    <xf numFmtId="0" fontId="35" fillId="3" borderId="19" xfId="29" applyFont="1" applyFill="1" applyBorder="1" applyAlignment="1">
      <alignment horizontal="center" vertical="center" wrapText="1"/>
    </xf>
    <xf numFmtId="0" fontId="35" fillId="12" borderId="19" xfId="29" applyFont="1" applyFill="1" applyBorder="1" applyAlignment="1">
      <alignment horizontal="center" vertical="center" wrapText="1"/>
    </xf>
    <xf numFmtId="0" fontId="35" fillId="0" borderId="30" xfId="29" applyFont="1" applyFill="1" applyBorder="1" applyAlignment="1">
      <alignment horizontal="center" vertical="center" wrapText="1"/>
    </xf>
    <xf numFmtId="0" fontId="35" fillId="0" borderId="20" xfId="29" applyFont="1" applyFill="1" applyBorder="1" applyAlignment="1">
      <alignment horizontal="center" vertical="center" wrapText="1"/>
    </xf>
    <xf numFmtId="0" fontId="35" fillId="0" borderId="30" xfId="28" applyFont="1" applyBorder="1" applyAlignment="1">
      <alignment horizontal="center" vertical="center" wrapText="1"/>
    </xf>
    <xf numFmtId="0" fontId="35" fillId="0" borderId="20" xfId="28" applyFont="1" applyBorder="1" applyAlignment="1">
      <alignment horizontal="center" vertical="center" wrapText="1"/>
    </xf>
    <xf numFmtId="0" fontId="56" fillId="0" borderId="30" xfId="24" applyFont="1" applyBorder="1" applyAlignment="1">
      <alignment horizontal="center" vertical="center" wrapText="1"/>
    </xf>
    <xf numFmtId="0" fontId="56" fillId="0" borderId="20" xfId="24" applyFont="1" applyBorder="1" applyAlignment="1">
      <alignment horizontal="center" vertical="center" wrapText="1"/>
    </xf>
  </cellXfs>
  <cellStyles count="35">
    <cellStyle name="Bad" xfId="20" builtinId="27"/>
    <cellStyle name="Comma" xfId="1" builtinId="3"/>
    <cellStyle name="Comma 10" xfId="25" xr:uid="{81CDEC8D-9920-42FF-9E31-1190A6867CC3}"/>
    <cellStyle name="Comma 2" xfId="4" xr:uid="{00000000-0005-0000-0000-000001000000}"/>
    <cellStyle name="Comma 2 12" xfId="22" xr:uid="{0DE6D77E-F235-47F9-AD3C-8DB58BB19E8D}"/>
    <cellStyle name="Comma 2 2" xfId="17" xr:uid="{00000000-0005-0000-0000-000002000000}"/>
    <cellStyle name="Comma 3" xfId="15" xr:uid="{00000000-0005-0000-0000-000003000000}"/>
    <cellStyle name="Comma 4" xfId="12" xr:uid="{00000000-0005-0000-0000-000004000000}"/>
    <cellStyle name="Currency 3" xfId="3" xr:uid="{00000000-0005-0000-0000-000006000000}"/>
    <cellStyle name="Good" xfId="6" builtinId="26"/>
    <cellStyle name="Good 2" xfId="18" xr:uid="{17076460-BF1E-4B7B-B423-9CF3F335461A}"/>
    <cellStyle name="Good 2 12" xfId="29" xr:uid="{F56088A9-ABCB-47CB-85A4-189F2725F6AA}"/>
    <cellStyle name="Neutral 2" xfId="9" xr:uid="{00000000-0005-0000-0000-000008000000}"/>
    <cellStyle name="Neutral 2 12" xfId="34" xr:uid="{4EF91DC5-367B-433B-98E5-ECAB017D00E1}"/>
    <cellStyle name="Neutral 2 2" xfId="11" xr:uid="{00000000-0005-0000-0000-000009000000}"/>
    <cellStyle name="Normal" xfId="0" builtinId="0"/>
    <cellStyle name="Normal 10" xfId="24" xr:uid="{BC6A079B-FF65-4E3D-9812-D5F0C81D48E7}"/>
    <cellStyle name="Normal 2" xfId="7" xr:uid="{00000000-0005-0000-0000-00000B000000}"/>
    <cellStyle name="Normal 2 122" xfId="28" xr:uid="{F3C1932F-E766-4A6B-8959-13160605E075}"/>
    <cellStyle name="Normal 2 2 8 2 2 4" xfId="27" xr:uid="{B4EDC1E2-1636-4E7D-B5EC-E111BB013CE1}"/>
    <cellStyle name="Normal 2 3" xfId="10" xr:uid="{00000000-0005-0000-0000-00000C000000}"/>
    <cellStyle name="Normal 2 3 11" xfId="26" xr:uid="{8CB874B2-4362-45B2-A81C-F677E3FA49B0}"/>
    <cellStyle name="Normal 2 3 2" xfId="23" xr:uid="{FD8FF5E4-7897-4CD7-8C59-EB0A1D2A6C1E}"/>
    <cellStyle name="Normal 210 3 4" xfId="30" xr:uid="{6346803C-30F6-4A37-BFF6-6D7B4AE287CF}"/>
    <cellStyle name="Normal 3" xfId="2" xr:uid="{00000000-0005-0000-0000-00000D000000}"/>
    <cellStyle name="Normal 344 6 4" xfId="33" xr:uid="{A348770E-437B-4EA5-98C3-4DFA3579DEC4}"/>
    <cellStyle name="Normal 4" xfId="14" xr:uid="{00000000-0005-0000-0000-00000E000000}"/>
    <cellStyle name="Normal 5" xfId="8" xr:uid="{00000000-0005-0000-0000-00000F000000}"/>
    <cellStyle name="Normal 6" xfId="21" xr:uid="{B19BEA82-819B-4D9B-8A24-DF5763496381}"/>
    <cellStyle name="Normal_Sheet1" xfId="19" xr:uid="{D9D1B7CE-98EF-48C0-9D9F-61E5EC9F4700}"/>
    <cellStyle name="Percent" xfId="5" builtinId="5"/>
    <cellStyle name="Percent 2" xfId="16" xr:uid="{00000000-0005-0000-0000-000011000000}"/>
    <cellStyle name="Percent 223" xfId="31" xr:uid="{D5E5975F-B1E3-4547-A283-D21AF1B12A6E}"/>
    <cellStyle name="Percent 3" xfId="13" xr:uid="{00000000-0005-0000-0000-000012000000}"/>
    <cellStyle name="Percent 4" xfId="32" xr:uid="{5B0328C5-85DC-4EF3-B816-B9CDD210B2AF}"/>
  </cellStyles>
  <dxfs count="0"/>
  <tableStyles count="0" defaultTableStyle="TableStyleMedium2" defaultPivotStyle="PivotStyleLight16"/>
  <colors>
    <mruColors>
      <color rgb="FFC6EFCE"/>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ce.com/Documents%20and%20Settings/weberts/My%20Documents/TSWMISC/2006%20-%202008%20Plan/December%209%20Compliance%20Filing/HMG%20revised%20Total%20C&amp;S%20Savings%20HMG%20-%20Posted%20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arolyin2015/Documents/&#8226;&#8226;%20CA%20IOUs/-%20-%20Strategy%20and%20Compliance/Business%20Plans/BP%20Metrics/60%20Day%20Metrics%20Filing/Draft%20Deliverables/ET%20&amp;%20WET%20MetricsTemplateDev.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carolyin2015\Documents\&#8226;&#8226;%20CA%20IOUs\-%20-%20Strategy%20and%20Compliance\Business%20Plans\BP%20Metrics\60%20Day%20Metrics%20Filing\Draft%20Deliverables\ET%20&amp;%20WET%20MetricsTemplateDev.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oye\AppData\Local\Microsoft\Windows\INetCache\Content.Outlook\Y6SXZJRD\Attachment%20A%20-%202024%20-%202031%20EE%20Application.xlsx"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Users/mary/Dropbox%20(Grounded%20Research)/Grounded%20Research%20Team%20Folder/Projects/PG&amp;E/2018.08%20Supporting%20the%20Annual%20Metrics/2017%20Master%20Documents%20from%20PG&amp;E/BP%20Metrics%20-%202017%20-%20MASTER%20WORKBOOK_GR.xlsx?C6EEC189" TargetMode="External"/><Relationship Id="rId1" Type="http://schemas.openxmlformats.org/officeDocument/2006/relationships/externalLinkPath" Target="file:///\\C6EEC189\BP%20Metrics%20-%202017%20-%20MASTER%20WORKBOOK_G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eorge/My%20Documents/Work/-%20action%20items%20-/2006_EOYreview/util_12month_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sce\workgroup\DOCUME~1\jianghy\LOCALS~1\Temp\notesE1EF34\Commitment%20Project%20Details%20(Blank%20Template)%2012-19-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deandaem\LOCALS~1\Temp\c.lotus.notes.data\AlexandriaMy%20Documents\D%20Drive%20Data\TSWMISC\2000%20AEAP\May%201%20Filing\2000%20Annual%20Energy%20Efficiency%20Report\2000%20AEER%20Tables\2000%20AEER%20Cost%20&amp;%20Cost%20Eff%20Tables%20(X.1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eestats.cpuc.ca.gov/Documents%20and%20Settings/cuad/My%20Documents/2009%20EE%20Dashboard/June/June%20Draf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Saddam%20Hussain/Local%20Settings/Temp/Temporary%20Directory%201%20for%20March17.zip/CEE%20Tool%20Com%201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gga/Desktop/Metrics%20Filing%20-%202017/BP%20Metrics%20-%202017%20-%20Master%20Templ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ary\Dropbox%20(Grounded%20Research)\Grounded%20Research%20Team%20Folder\Projects\PG&amp;E\2018.08%20Supporting%20the%20Annual%20Metrics\2017%20Master%20Documents%20from%20PG&amp;E\BP%20Metrics%20-%202017%20-%20MASTER%20WORKBOOK_G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ersonal/glunde_seucontractor_com/Documents/EMV%20EE%20Metrics/2017%20Metrics%20(redo)/02%20Cross-Cutting%20Program%20Metrics/Codes%20and%20Standar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otals-Goals"/>
      <sheetName val="Totals - by IOU"/>
      <sheetName val="Inputs"/>
      <sheetName val="Energy Summary"/>
      <sheetName val="Demand Summary"/>
      <sheetName val="Gas Summary"/>
      <sheetName val="Totals"/>
      <sheetName val="Energy Net Savings"/>
      <sheetName val="Demand Net Savings"/>
      <sheetName val="Gas Net Savings"/>
      <sheetName val="Begin"/>
      <sheetName val="Std 1"/>
      <sheetName val="Std 2"/>
      <sheetName val="Std 3"/>
      <sheetName val="Std 4"/>
      <sheetName val="Std 5"/>
      <sheetName val="Std 6"/>
      <sheetName val="Std 7"/>
      <sheetName val="Std 8"/>
      <sheetName val="Std 9"/>
      <sheetName val="Std 10"/>
      <sheetName val="Std 11"/>
      <sheetName val="Std 12"/>
      <sheetName val="Std 13"/>
      <sheetName val="Std 14"/>
      <sheetName val="Std 15"/>
      <sheetName val="Std 16"/>
      <sheetName val="Std 17"/>
      <sheetName val="Std 18"/>
      <sheetName val="Std 19"/>
      <sheetName val="Std 20"/>
      <sheetName val="Std 21"/>
      <sheetName val="Std B1"/>
      <sheetName val="Std B2"/>
      <sheetName val="Std B3"/>
      <sheetName val="Std B4"/>
      <sheetName val="Std B5"/>
      <sheetName val="Std B6"/>
      <sheetName val="Std B7"/>
      <sheetName val="Std B8"/>
      <sheetName val="Std B9"/>
      <sheetName val="Std B10"/>
      <sheetName val="Std B11"/>
      <sheetName val="Std B12"/>
      <sheetName val="Std B13"/>
      <sheetName val="Std B14"/>
      <sheetName val="End"/>
      <sheetName val="Lookups"/>
      <sheetName val="Sheet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0 Validations"/>
      <sheetName val="1 Bill Payer Impacts-IOU Only "/>
      <sheetName val="2 Rates Rev- IOU Only"/>
      <sheetName val="3.1 Funding Source Summary"/>
      <sheetName val="3.2 Funding Source"/>
      <sheetName val="4.1 Program Budget - 2024-2027"/>
      <sheetName val="4.2 Program Budget 2028-2031"/>
      <sheetName val="4.3 Program Changes"/>
      <sheetName val="5 Commitments"/>
      <sheetName val="6 StatewidePgms"/>
      <sheetName val="7.1 PA Budget 8 Yr Summary-Seg"/>
      <sheetName val="7.2 PA Budget 8 Yr Summary-Sect"/>
      <sheetName val="7.3 PA PY budget_savings"/>
      <sheetName val="8 Cap &amp; Target"/>
      <sheetName val="Functions Definitions"/>
      <sheetName val="9 Portfolio Summary"/>
      <sheetName val="10 Portfolio FTE"/>
      <sheetName val="11 Residential"/>
      <sheetName val="12 Commercial"/>
      <sheetName val="13 Industrial"/>
      <sheetName val="14 Agricultural"/>
      <sheetName val="15 Public Sector"/>
      <sheetName val="16 Cross Cutting"/>
      <sheetName val="17 BP Metrics"/>
      <sheetName val="18.1 Equity Segment Metrics"/>
      <sheetName val="18.2 Market Support Metrics"/>
      <sheetName val="Comments and Suggestions"/>
      <sheetName val="Sheet3"/>
    </sheetNames>
    <sheetDataSet>
      <sheetData sheetId="0">
        <row r="2">
          <cell r="A2" t="str">
            <v>San Diego Gas &amp; Electric Co</v>
          </cell>
        </row>
        <row r="3">
          <cell r="A3" t="str">
            <v>2024-2031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Heat Map"/>
      <sheetName val="2017 Master"/>
      <sheetName val="MDA Table"/>
      <sheetName val="EE Report - 2017"/>
      <sheetName val="EE Report - 2016"/>
      <sheetName val="Portfolio"/>
      <sheetName val="Ag"/>
      <sheetName val="Com"/>
      <sheetName val="Industrial"/>
      <sheetName val="Public"/>
      <sheetName val="Res - SF"/>
      <sheetName val="Res - MF"/>
      <sheetName val="WE&amp;T"/>
      <sheetName val="Emerg Tech"/>
      <sheetName val="C&amp;S"/>
    </sheetNames>
    <sheetDataSet>
      <sheetData sheetId="0">
        <row r="3">
          <cell r="D3" t="str">
            <v xml:space="preserve">Portfolio Level (PL)– All Sectors </v>
          </cell>
          <cell r="E3" t="str">
            <v>MetricsPort</v>
          </cell>
        </row>
        <row r="4">
          <cell r="D4" t="str">
            <v>Residential (RSF)</v>
          </cell>
          <cell r="E4" t="str">
            <v>MetricsRSF</v>
          </cell>
        </row>
        <row r="5">
          <cell r="D5" t="str">
            <v>Residential Sector – Multi-family (RMF)</v>
          </cell>
          <cell r="E5" t="str">
            <v>MetricsRMF</v>
          </cell>
        </row>
        <row r="6">
          <cell r="D6" t="str">
            <v xml:space="preserve">Commercial Sector (C) </v>
          </cell>
          <cell r="E6" t="str">
            <v>MetricsCom</v>
          </cell>
        </row>
        <row r="7">
          <cell r="D7" t="str">
            <v>Public Sector (P)</v>
          </cell>
          <cell r="E7" t="str">
            <v>MetricsPub</v>
          </cell>
        </row>
        <row r="8">
          <cell r="D8" t="str">
            <v>Industrial (I)</v>
          </cell>
          <cell r="E8" t="str">
            <v>MetricsInd</v>
          </cell>
        </row>
        <row r="9">
          <cell r="D9" t="str">
            <v>Agricultural (A)</v>
          </cell>
          <cell r="E9" t="str">
            <v>MetricsAg</v>
          </cell>
        </row>
        <row r="10">
          <cell r="D10" t="str">
            <v>Codes &amp; Standards (CS)</v>
          </cell>
          <cell r="E10" t="str">
            <v>MetricsCS</v>
          </cell>
        </row>
        <row r="11">
          <cell r="D11" t="str">
            <v>Workforce Education and Training (WET)</v>
          </cell>
          <cell r="E11" t="str">
            <v>MetricsWET</v>
          </cell>
        </row>
        <row r="12">
          <cell r="D12" t="str">
            <v>Emerging Technologies (ET)</v>
          </cell>
          <cell r="E12" t="str">
            <v>MetricsET</v>
          </cell>
        </row>
      </sheetData>
      <sheetData sheetId="1"/>
      <sheetData sheetId="2"/>
      <sheetData sheetId="3">
        <row r="2">
          <cell r="C2" t="str">
            <v>Data Point</v>
          </cell>
        </row>
      </sheetData>
      <sheetData sheetId="4">
        <row r="3">
          <cell r="B3" t="str">
            <v>Upd Primary Sector (1)</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pivot_pge12monthT1.1"/>
      <sheetName val="pge12monthT1.1"/>
    </sheetNames>
    <sheetDataSet>
      <sheetData sheetId="0"/>
      <sheetData sheetId="1"/>
      <sheetData sheetId="2">
        <row r="1">
          <cell r="A1" t="str">
            <v>Report Month</v>
          </cell>
          <cell r="B1" t="str">
            <v>Program Name</v>
          </cell>
          <cell r="C1" t="str">
            <v>Adopted Program Budget 
(3 - Yr)</v>
          </cell>
          <cell r="D1" t="str">
            <v>Program Operating Budget 
(3 - Yr)</v>
          </cell>
          <cell r="E1" t="str">
            <v>Program Expenditures 
(Inception-To-Date)</v>
          </cell>
          <cell r="F1" t="str">
            <v>Program Expenditures 
(Report Month)</v>
          </cell>
          <cell r="G1" t="str">
            <v>Total Commitments 
(Inception-to-Date)</v>
          </cell>
          <cell r="H1">
            <v>0</v>
          </cell>
          <cell r="I1" t="str">
            <v>Demand Reduction (Summer Peak kW) (2) Program Projected 
(Compliance Filing)</v>
          </cell>
          <cell r="J1" t="str">
            <v>Demand Reduction (Summer Peak kW) (2) Installed Savings
(Inception-To-Date)</v>
          </cell>
          <cell r="K1" t="str">
            <v>Demand Reduction (Summer Peak kW) (2) Installed Savings 
(Report Month)</v>
          </cell>
          <cell r="L1" t="str">
            <v>Demand Reduction (Summer Peak kW) (2) Total Commitments 
(Inception-to-Date)</v>
          </cell>
          <cell r="M1">
            <v>0</v>
          </cell>
          <cell r="N1" t="str">
            <v>Energy Savings (Net Annual kWh) (2) Program Projected 
(Compliance Filing)</v>
          </cell>
          <cell r="O1" t="str">
            <v>Energy Savings (Net Annual kWh) (2) Installed Savings
(Inception-To-Date)</v>
          </cell>
          <cell r="P1" t="str">
            <v>Energy Savings (Net Annual kWh) (2) Installed Savings 
(Report Month)</v>
          </cell>
          <cell r="Q1" t="str">
            <v>Energy Savings (Net Annual kWh) (2) Total Commitments 
(Inception-to-Date)</v>
          </cell>
          <cell r="R1">
            <v>0</v>
          </cell>
          <cell r="S1" t="str">
            <v>Gas Savings (Net Annual Therms) (2) Program Projected 
(Compliance Filing)</v>
          </cell>
          <cell r="T1" t="str">
            <v>Gas Savings (Net Annual Therms) (2) Installed Savings
(Inception-To-Date)</v>
          </cell>
          <cell r="U1" t="str">
            <v>Gas Savings (Net Annual Therms) (2) Installed Savings 
(Report Month)</v>
          </cell>
          <cell r="V1" t="str">
            <v>Gas Savings (Net Annual Therms) (2) Total Commitments 
(Inception-to-Date)</v>
          </cell>
          <cell r="W1">
            <v>0</v>
          </cell>
          <cell r="X1" t="str">
            <v>Incentives ( $$$) Installed Incentives (Inception-To-Date)</v>
          </cell>
          <cell r="Y1" t="str">
            <v>Incentives ( $$$) Total Commitments 
(Inception-to-Date)</v>
          </cell>
          <cell r="Z1">
            <v>0</v>
          </cell>
          <cell r="AA1" t="str">
            <v>Paid YTD from Previous Month kw</v>
          </cell>
          <cell r="AB1" t="str">
            <v>Paid YTD from Previous Month kwh</v>
          </cell>
          <cell r="AC1" t="str">
            <v>Paid YTD from Previous Month thm</v>
          </cell>
        </row>
        <row r="2">
          <cell r="A2" t="str">
            <v>MAY</v>
          </cell>
          <cell r="B2" t="str">
            <v>Mass Market</v>
          </cell>
          <cell r="C2">
            <v>405857712</v>
          </cell>
          <cell r="D2">
            <v>405857712</v>
          </cell>
          <cell r="E2">
            <v>12652825.93</v>
          </cell>
          <cell r="F2">
            <v>5306198.5</v>
          </cell>
          <cell r="G2">
            <v>5426134.0500000007</v>
          </cell>
          <cell r="H2">
            <v>0</v>
          </cell>
          <cell r="I2">
            <v>334053.85427348199</v>
          </cell>
          <cell r="J2">
            <v>12000.783724662899</v>
          </cell>
          <cell r="K2">
            <v>5006.6449785834993</v>
          </cell>
          <cell r="L2">
            <v>3920.4307662628003</v>
          </cell>
          <cell r="M2">
            <v>0</v>
          </cell>
          <cell r="N2">
            <v>1728133316.3078108</v>
          </cell>
          <cell r="O2">
            <v>54198800.280904472</v>
          </cell>
          <cell r="P2">
            <v>26966256.752540104</v>
          </cell>
          <cell r="Q2">
            <v>22794077.536543883</v>
          </cell>
          <cell r="R2">
            <v>0</v>
          </cell>
          <cell r="S2">
            <v>15871656.841610486</v>
          </cell>
          <cell r="T2">
            <v>369308.15520900005</v>
          </cell>
          <cell r="U2">
            <v>148489.61516100002</v>
          </cell>
          <cell r="V2">
            <v>153438.503768</v>
          </cell>
          <cell r="W2">
            <v>0</v>
          </cell>
          <cell r="X2">
            <v>7205927.5300000003</v>
          </cell>
          <cell r="Y2">
            <v>5426134.0500000007</v>
          </cell>
          <cell r="Z2">
            <v>0</v>
          </cell>
          <cell r="AA2">
            <v>6994.1387460793994</v>
          </cell>
          <cell r="AB2">
            <v>27232543.528364368</v>
          </cell>
          <cell r="AC2">
            <v>220818.54004800002</v>
          </cell>
        </row>
        <row r="3">
          <cell r="A3" t="str">
            <v>MAY</v>
          </cell>
          <cell r="B3" t="str">
            <v>Ag &amp; Food Processing</v>
          </cell>
          <cell r="C3">
            <v>47523134</v>
          </cell>
          <cell r="D3">
            <v>47523134</v>
          </cell>
          <cell r="E3">
            <v>966543.07</v>
          </cell>
          <cell r="F3">
            <v>226428.18</v>
          </cell>
          <cell r="G3">
            <v>940381.84</v>
          </cell>
          <cell r="H3">
            <v>0</v>
          </cell>
          <cell r="I3">
            <v>22797.08846466984</v>
          </cell>
          <cell r="J3">
            <v>0</v>
          </cell>
          <cell r="K3">
            <v>0</v>
          </cell>
          <cell r="L3">
            <v>3170.098</v>
          </cell>
          <cell r="M3">
            <v>0</v>
          </cell>
          <cell r="N3">
            <v>164346860.9940128</v>
          </cell>
          <cell r="O3">
            <v>0</v>
          </cell>
          <cell r="P3">
            <v>0</v>
          </cell>
          <cell r="Q3">
            <v>4940926.8499999996</v>
          </cell>
          <cell r="R3">
            <v>0</v>
          </cell>
          <cell r="S3">
            <v>3082951.7327311719</v>
          </cell>
          <cell r="T3">
            <v>0</v>
          </cell>
          <cell r="U3">
            <v>0</v>
          </cell>
          <cell r="V3">
            <v>524118.66</v>
          </cell>
          <cell r="W3">
            <v>0</v>
          </cell>
          <cell r="X3">
            <v>0</v>
          </cell>
          <cell r="Y3">
            <v>940381.84</v>
          </cell>
          <cell r="Z3">
            <v>0</v>
          </cell>
          <cell r="AA3">
            <v>0</v>
          </cell>
          <cell r="AB3">
            <v>0</v>
          </cell>
          <cell r="AC3">
            <v>0</v>
          </cell>
        </row>
        <row r="4">
          <cell r="A4" t="str">
            <v>MAY</v>
          </cell>
          <cell r="B4" t="str">
            <v>Schools &amp; Colleges</v>
          </cell>
          <cell r="C4">
            <v>47568591</v>
          </cell>
          <cell r="D4">
            <v>47568591</v>
          </cell>
          <cell r="E4">
            <v>769832.19</v>
          </cell>
          <cell r="F4">
            <v>149522.16</v>
          </cell>
          <cell r="G4">
            <v>58402.01</v>
          </cell>
          <cell r="H4">
            <v>0</v>
          </cell>
          <cell r="I4">
            <v>28892.278794176014</v>
          </cell>
          <cell r="J4">
            <v>0</v>
          </cell>
          <cell r="K4">
            <v>0</v>
          </cell>
          <cell r="L4">
            <v>110.03399999999999</v>
          </cell>
          <cell r="M4">
            <v>0</v>
          </cell>
          <cell r="N4">
            <v>128046825.56012681</v>
          </cell>
          <cell r="O4">
            <v>0</v>
          </cell>
          <cell r="P4">
            <v>0</v>
          </cell>
          <cell r="Q4">
            <v>265433.84000000003</v>
          </cell>
          <cell r="R4">
            <v>0</v>
          </cell>
          <cell r="S4">
            <v>2635794.0523105087</v>
          </cell>
          <cell r="T4">
            <v>0</v>
          </cell>
          <cell r="U4">
            <v>0</v>
          </cell>
          <cell r="V4">
            <v>1957.5</v>
          </cell>
          <cell r="W4">
            <v>0</v>
          </cell>
          <cell r="X4">
            <v>0</v>
          </cell>
          <cell r="Y4">
            <v>58402.01</v>
          </cell>
          <cell r="Z4">
            <v>0</v>
          </cell>
          <cell r="AA4">
            <v>0</v>
          </cell>
          <cell r="AB4">
            <v>0</v>
          </cell>
          <cell r="AC4">
            <v>0</v>
          </cell>
        </row>
        <row r="5">
          <cell r="A5" t="str">
            <v>MAY</v>
          </cell>
          <cell r="B5" t="str">
            <v>Retail Stores</v>
          </cell>
          <cell r="C5">
            <v>20850872</v>
          </cell>
          <cell r="D5">
            <v>20850872</v>
          </cell>
          <cell r="E5">
            <v>417558.43</v>
          </cell>
          <cell r="F5">
            <v>96896.85</v>
          </cell>
          <cell r="G5">
            <v>45911.42</v>
          </cell>
          <cell r="H5">
            <v>0</v>
          </cell>
          <cell r="I5">
            <v>21271.596533140018</v>
          </cell>
          <cell r="J5">
            <v>0</v>
          </cell>
          <cell r="K5">
            <v>0</v>
          </cell>
          <cell r="L5">
            <v>80.236999999999995</v>
          </cell>
          <cell r="M5">
            <v>0</v>
          </cell>
          <cell r="N5">
            <v>125946107.22913301</v>
          </cell>
          <cell r="O5">
            <v>0</v>
          </cell>
          <cell r="P5">
            <v>0</v>
          </cell>
          <cell r="Q5">
            <v>633638.92100000009</v>
          </cell>
          <cell r="R5">
            <v>0</v>
          </cell>
          <cell r="S5">
            <v>17583.588</v>
          </cell>
          <cell r="T5">
            <v>0</v>
          </cell>
          <cell r="U5">
            <v>0</v>
          </cell>
          <cell r="V5">
            <v>-668.3</v>
          </cell>
          <cell r="W5">
            <v>0</v>
          </cell>
          <cell r="X5">
            <v>0</v>
          </cell>
          <cell r="Y5">
            <v>45911.42</v>
          </cell>
          <cell r="Z5">
            <v>0</v>
          </cell>
          <cell r="AA5">
            <v>0</v>
          </cell>
          <cell r="AB5">
            <v>0</v>
          </cell>
          <cell r="AC5">
            <v>0</v>
          </cell>
        </row>
        <row r="6">
          <cell r="A6" t="str">
            <v>MAY</v>
          </cell>
          <cell r="B6" t="str">
            <v>Fab, Prcss &amp; Hvy Indl Mfg</v>
          </cell>
          <cell r="C6">
            <v>121849249</v>
          </cell>
          <cell r="D6">
            <v>121849249</v>
          </cell>
          <cell r="E6">
            <v>1103402.97</v>
          </cell>
          <cell r="F6">
            <v>276235.64</v>
          </cell>
          <cell r="G6">
            <v>3664066.96</v>
          </cell>
          <cell r="H6">
            <v>0</v>
          </cell>
          <cell r="I6">
            <v>69225.227525006732</v>
          </cell>
          <cell r="J6">
            <v>122.38800000000001</v>
          </cell>
          <cell r="K6">
            <v>8.8359999999999985</v>
          </cell>
          <cell r="L6">
            <v>5081.0590000000002</v>
          </cell>
          <cell r="M6">
            <v>0</v>
          </cell>
          <cell r="N6">
            <v>475376401.45399302</v>
          </cell>
          <cell r="O6">
            <v>684917.84</v>
          </cell>
          <cell r="P6">
            <v>107266.22</v>
          </cell>
          <cell r="Q6">
            <v>48838705.399999999</v>
          </cell>
          <cell r="R6">
            <v>0</v>
          </cell>
          <cell r="S6">
            <v>18198035.099455945</v>
          </cell>
          <cell r="T6">
            <v>0</v>
          </cell>
          <cell r="U6">
            <v>0</v>
          </cell>
          <cell r="V6">
            <v>89352.98</v>
          </cell>
          <cell r="W6">
            <v>0</v>
          </cell>
          <cell r="X6">
            <v>55043</v>
          </cell>
          <cell r="Y6">
            <v>3664066.96</v>
          </cell>
          <cell r="Z6">
            <v>0</v>
          </cell>
          <cell r="AA6">
            <v>113.55200000000001</v>
          </cell>
          <cell r="AB6">
            <v>577651.62</v>
          </cell>
          <cell r="AC6">
            <v>0</v>
          </cell>
        </row>
        <row r="7">
          <cell r="A7" t="str">
            <v>MAY</v>
          </cell>
          <cell r="B7" t="str">
            <v>Hi-Tech Facilities</v>
          </cell>
          <cell r="C7">
            <v>11759803</v>
          </cell>
          <cell r="D7">
            <v>11759803</v>
          </cell>
          <cell r="E7">
            <v>490875.36</v>
          </cell>
          <cell r="F7">
            <v>121770.91</v>
          </cell>
          <cell r="G7">
            <v>554690.75</v>
          </cell>
          <cell r="H7">
            <v>0</v>
          </cell>
          <cell r="I7">
            <v>6532.0886490478697</v>
          </cell>
          <cell r="J7">
            <v>0</v>
          </cell>
          <cell r="K7">
            <v>0</v>
          </cell>
          <cell r="L7">
            <v>981.95799999999997</v>
          </cell>
          <cell r="M7">
            <v>0</v>
          </cell>
          <cell r="N7">
            <v>44364926.587099597</v>
          </cell>
          <cell r="O7">
            <v>0</v>
          </cell>
          <cell r="P7">
            <v>0</v>
          </cell>
          <cell r="Q7">
            <v>12800394.615</v>
          </cell>
          <cell r="R7">
            <v>0</v>
          </cell>
          <cell r="S7">
            <v>25523.813309561065</v>
          </cell>
          <cell r="T7">
            <v>0</v>
          </cell>
          <cell r="U7">
            <v>0</v>
          </cell>
          <cell r="V7">
            <v>93878.38</v>
          </cell>
          <cell r="W7">
            <v>0</v>
          </cell>
          <cell r="X7">
            <v>0</v>
          </cell>
          <cell r="Y7">
            <v>554690.75</v>
          </cell>
          <cell r="Z7">
            <v>0</v>
          </cell>
          <cell r="AA7">
            <v>0</v>
          </cell>
          <cell r="AB7">
            <v>0</v>
          </cell>
          <cell r="AC7">
            <v>0</v>
          </cell>
        </row>
        <row r="8">
          <cell r="A8" t="str">
            <v>MAY</v>
          </cell>
          <cell r="B8" t="str">
            <v>Medical Facilities</v>
          </cell>
          <cell r="C8">
            <v>21407152</v>
          </cell>
          <cell r="D8">
            <v>21407152</v>
          </cell>
          <cell r="E8">
            <v>257489.6</v>
          </cell>
          <cell r="F8">
            <v>61962.86</v>
          </cell>
          <cell r="G8">
            <v>244451.28</v>
          </cell>
          <cell r="H8">
            <v>0</v>
          </cell>
          <cell r="I8">
            <v>27753.153177169657</v>
          </cell>
          <cell r="J8">
            <v>0</v>
          </cell>
          <cell r="K8">
            <v>0</v>
          </cell>
          <cell r="L8">
            <v>107.8</v>
          </cell>
          <cell r="M8">
            <v>0</v>
          </cell>
          <cell r="N8">
            <v>68661112.057484001</v>
          </cell>
          <cell r="O8">
            <v>0</v>
          </cell>
          <cell r="P8">
            <v>0</v>
          </cell>
          <cell r="Q8">
            <v>1202485.2</v>
          </cell>
          <cell r="R8">
            <v>0</v>
          </cell>
          <cell r="S8">
            <v>494605</v>
          </cell>
          <cell r="T8">
            <v>0</v>
          </cell>
          <cell r="U8">
            <v>0</v>
          </cell>
          <cell r="V8">
            <v>6978.3</v>
          </cell>
          <cell r="W8">
            <v>0</v>
          </cell>
          <cell r="X8">
            <v>0</v>
          </cell>
          <cell r="Y8">
            <v>244451.28</v>
          </cell>
          <cell r="Z8">
            <v>0</v>
          </cell>
          <cell r="AA8">
            <v>0</v>
          </cell>
          <cell r="AB8">
            <v>0</v>
          </cell>
          <cell r="AC8">
            <v>0</v>
          </cell>
        </row>
        <row r="9">
          <cell r="A9" t="str">
            <v>MAY</v>
          </cell>
          <cell r="B9" t="str">
            <v>Large Commercial</v>
          </cell>
          <cell r="C9">
            <v>68595302</v>
          </cell>
          <cell r="D9">
            <v>68595302</v>
          </cell>
          <cell r="E9">
            <v>1213593.56</v>
          </cell>
          <cell r="F9">
            <v>282835.39</v>
          </cell>
          <cell r="G9">
            <v>790147.85</v>
          </cell>
          <cell r="H9">
            <v>0</v>
          </cell>
          <cell r="I9">
            <v>73838.296918087362</v>
          </cell>
          <cell r="J9">
            <v>0</v>
          </cell>
          <cell r="K9">
            <v>0</v>
          </cell>
          <cell r="L9">
            <v>633.32500000000005</v>
          </cell>
          <cell r="M9">
            <v>0</v>
          </cell>
          <cell r="N9">
            <v>219609296.0400379</v>
          </cell>
          <cell r="O9">
            <v>0</v>
          </cell>
          <cell r="P9">
            <v>0</v>
          </cell>
          <cell r="Q9">
            <v>5971223.4900000002</v>
          </cell>
          <cell r="R9">
            <v>0</v>
          </cell>
          <cell r="S9">
            <v>2224825.1578322467</v>
          </cell>
          <cell r="T9">
            <v>0</v>
          </cell>
          <cell r="U9">
            <v>0</v>
          </cell>
          <cell r="V9">
            <v>121.36</v>
          </cell>
          <cell r="W9">
            <v>0</v>
          </cell>
          <cell r="X9">
            <v>0</v>
          </cell>
          <cell r="Y9">
            <v>790147.85</v>
          </cell>
          <cell r="Z9">
            <v>0</v>
          </cell>
          <cell r="AA9">
            <v>0</v>
          </cell>
          <cell r="AB9">
            <v>0</v>
          </cell>
          <cell r="AC9">
            <v>0</v>
          </cell>
        </row>
        <row r="10">
          <cell r="A10" t="str">
            <v>MAY</v>
          </cell>
          <cell r="B10" t="str">
            <v>Hospitality Facilities</v>
          </cell>
          <cell r="C10">
            <v>11793097</v>
          </cell>
          <cell r="D10">
            <v>11793097</v>
          </cell>
          <cell r="E10">
            <v>465453.22</v>
          </cell>
          <cell r="F10">
            <v>86240.61</v>
          </cell>
          <cell r="G10">
            <v>30583.200000000001</v>
          </cell>
          <cell r="H10">
            <v>0</v>
          </cell>
          <cell r="I10">
            <v>7577.0826254285475</v>
          </cell>
          <cell r="J10">
            <v>0</v>
          </cell>
          <cell r="K10">
            <v>0</v>
          </cell>
          <cell r="L10">
            <v>5.2480000000000002</v>
          </cell>
          <cell r="M10">
            <v>0</v>
          </cell>
          <cell r="N10">
            <v>37330060.295922801</v>
          </cell>
          <cell r="O10">
            <v>0</v>
          </cell>
          <cell r="P10">
            <v>0</v>
          </cell>
          <cell r="Q10">
            <v>379399.04</v>
          </cell>
          <cell r="R10">
            <v>0</v>
          </cell>
          <cell r="S10">
            <v>33302.25</v>
          </cell>
          <cell r="T10">
            <v>0</v>
          </cell>
          <cell r="U10">
            <v>0</v>
          </cell>
          <cell r="V10">
            <v>992.04</v>
          </cell>
          <cell r="W10">
            <v>0</v>
          </cell>
          <cell r="X10">
            <v>0</v>
          </cell>
          <cell r="Y10">
            <v>30583.200000000001</v>
          </cell>
          <cell r="Z10">
            <v>0</v>
          </cell>
          <cell r="AA10">
            <v>0</v>
          </cell>
          <cell r="AB10">
            <v>0</v>
          </cell>
          <cell r="AC10">
            <v>0</v>
          </cell>
        </row>
        <row r="11">
          <cell r="A11" t="str">
            <v>MAY</v>
          </cell>
          <cell r="B11" t="str">
            <v>Res New Construction</v>
          </cell>
          <cell r="C11">
            <v>26264217</v>
          </cell>
          <cell r="D11">
            <v>26264217</v>
          </cell>
          <cell r="E11">
            <v>908091.8</v>
          </cell>
          <cell r="F11">
            <v>111164.77</v>
          </cell>
          <cell r="G11">
            <v>485165</v>
          </cell>
          <cell r="H11">
            <v>0</v>
          </cell>
          <cell r="I11">
            <v>9015.1305056540205</v>
          </cell>
          <cell r="J11">
            <v>0</v>
          </cell>
          <cell r="K11">
            <v>0</v>
          </cell>
          <cell r="L11">
            <v>2345.5939200000003</v>
          </cell>
          <cell r="M11">
            <v>0</v>
          </cell>
          <cell r="N11">
            <v>13357136.488374671</v>
          </cell>
          <cell r="O11">
            <v>0</v>
          </cell>
          <cell r="P11">
            <v>0</v>
          </cell>
          <cell r="Q11">
            <v>510796.79999999999</v>
          </cell>
          <cell r="R11">
            <v>0</v>
          </cell>
          <cell r="S11">
            <v>2454487.1347570699</v>
          </cell>
          <cell r="T11">
            <v>0</v>
          </cell>
          <cell r="U11">
            <v>0</v>
          </cell>
          <cell r="V11">
            <v>103452.8</v>
          </cell>
          <cell r="W11">
            <v>0</v>
          </cell>
          <cell r="X11">
            <v>445</v>
          </cell>
          <cell r="Y11">
            <v>485165</v>
          </cell>
          <cell r="Z11">
            <v>0</v>
          </cell>
          <cell r="AA11">
            <v>0</v>
          </cell>
          <cell r="AB11">
            <v>0</v>
          </cell>
          <cell r="AC11">
            <v>0</v>
          </cell>
        </row>
        <row r="12">
          <cell r="A12" t="str">
            <v>MAY</v>
          </cell>
          <cell r="B12" t="str">
            <v>Education &amp; Training</v>
          </cell>
          <cell r="C12">
            <v>41154602</v>
          </cell>
          <cell r="D12">
            <v>41154602</v>
          </cell>
          <cell r="E12">
            <v>3321008.87</v>
          </cell>
          <cell r="F12">
            <v>1291859.45</v>
          </cell>
          <cell r="G12" t="str">
            <v>N/A</v>
          </cell>
          <cell r="H12">
            <v>0</v>
          </cell>
          <cell r="I12" t="str">
            <v>N/A</v>
          </cell>
          <cell r="J12" t="str">
            <v>N/A</v>
          </cell>
          <cell r="K12" t="str">
            <v>N/A</v>
          </cell>
          <cell r="L12" t="str">
            <v>N/A</v>
          </cell>
          <cell r="M12">
            <v>0</v>
          </cell>
          <cell r="N12" t="str">
            <v>N/A</v>
          </cell>
          <cell r="O12" t="str">
            <v>N/A</v>
          </cell>
          <cell r="P12" t="str">
            <v>N/A</v>
          </cell>
          <cell r="Q12" t="str">
            <v>N/A</v>
          </cell>
          <cell r="R12">
            <v>0</v>
          </cell>
          <cell r="S12" t="str">
            <v>N/A</v>
          </cell>
          <cell r="T12" t="str">
            <v>N/A</v>
          </cell>
          <cell r="U12" t="str">
            <v>N/A</v>
          </cell>
          <cell r="V12" t="str">
            <v>N/A</v>
          </cell>
          <cell r="W12">
            <v>0</v>
          </cell>
          <cell r="X12" t="str">
            <v>N/A</v>
          </cell>
          <cell r="Y12" t="str">
            <v>N/A</v>
          </cell>
          <cell r="Z12">
            <v>0</v>
          </cell>
          <cell r="AA12" t="str">
            <v>N/A</v>
          </cell>
          <cell r="AB12" t="str">
            <v>N/A</v>
          </cell>
          <cell r="AC12" t="str">
            <v>N/A</v>
          </cell>
        </row>
        <row r="13">
          <cell r="A13" t="str">
            <v>MAY</v>
          </cell>
          <cell r="B13" t="str">
            <v>Codes &amp; Standards</v>
          </cell>
          <cell r="C13">
            <v>4635754</v>
          </cell>
          <cell r="D13">
            <v>4635754</v>
          </cell>
          <cell r="E13">
            <v>372581.18</v>
          </cell>
          <cell r="F13">
            <v>84614.53</v>
          </cell>
          <cell r="G13" t="str">
            <v>N/A</v>
          </cell>
          <cell r="H13">
            <v>0</v>
          </cell>
          <cell r="I13" t="str">
            <v>N/A</v>
          </cell>
          <cell r="J13" t="str">
            <v>N/A</v>
          </cell>
          <cell r="K13" t="str">
            <v>N/A</v>
          </cell>
          <cell r="L13" t="str">
            <v>N/A</v>
          </cell>
          <cell r="M13">
            <v>0</v>
          </cell>
          <cell r="N13" t="str">
            <v>N/A</v>
          </cell>
          <cell r="O13" t="str">
            <v>N/A</v>
          </cell>
          <cell r="P13" t="str">
            <v>N/A</v>
          </cell>
          <cell r="Q13" t="str">
            <v>N/A</v>
          </cell>
          <cell r="R13">
            <v>0</v>
          </cell>
          <cell r="S13" t="str">
            <v>N/A</v>
          </cell>
          <cell r="T13" t="str">
            <v>N/A</v>
          </cell>
          <cell r="U13" t="str">
            <v>N/A</v>
          </cell>
          <cell r="V13" t="str">
            <v>N/A</v>
          </cell>
          <cell r="W13">
            <v>0</v>
          </cell>
          <cell r="X13" t="str">
            <v>N/A</v>
          </cell>
          <cell r="Y13" t="str">
            <v>N/A</v>
          </cell>
          <cell r="Z13">
            <v>0</v>
          </cell>
          <cell r="AA13" t="str">
            <v>N/A</v>
          </cell>
          <cell r="AB13" t="str">
            <v>N/A</v>
          </cell>
          <cell r="AC13" t="str">
            <v>N/A</v>
          </cell>
        </row>
        <row r="14">
          <cell r="A14" t="str">
            <v>MAY</v>
          </cell>
          <cell r="B14" t="str">
            <v>Emerging Technologies</v>
          </cell>
          <cell r="C14">
            <v>11260376</v>
          </cell>
          <cell r="D14">
            <v>11260376</v>
          </cell>
          <cell r="E14">
            <v>309630.52</v>
          </cell>
          <cell r="F14">
            <v>141964.81</v>
          </cell>
          <cell r="G14" t="str">
            <v>N/A</v>
          </cell>
          <cell r="H14">
            <v>0</v>
          </cell>
          <cell r="I14" t="str">
            <v>N/A</v>
          </cell>
          <cell r="J14" t="str">
            <v>N/A</v>
          </cell>
          <cell r="K14" t="str">
            <v>N/A</v>
          </cell>
          <cell r="L14" t="str">
            <v>N/A</v>
          </cell>
          <cell r="M14">
            <v>0</v>
          </cell>
          <cell r="N14" t="str">
            <v>N/A</v>
          </cell>
          <cell r="O14" t="str">
            <v>N/A</v>
          </cell>
          <cell r="P14" t="str">
            <v>N/A</v>
          </cell>
          <cell r="Q14" t="str">
            <v>N/A</v>
          </cell>
          <cell r="R14">
            <v>0</v>
          </cell>
          <cell r="S14" t="str">
            <v>N/A</v>
          </cell>
          <cell r="T14" t="str">
            <v>N/A</v>
          </cell>
          <cell r="U14" t="str">
            <v>N/A</v>
          </cell>
          <cell r="V14" t="str">
            <v>N/A</v>
          </cell>
          <cell r="W14">
            <v>0</v>
          </cell>
          <cell r="X14" t="str">
            <v>N/A</v>
          </cell>
          <cell r="Y14" t="str">
            <v>N/A</v>
          </cell>
          <cell r="Z14">
            <v>0</v>
          </cell>
          <cell r="AA14" t="str">
            <v>N/A</v>
          </cell>
          <cell r="AB14" t="str">
            <v>N/A</v>
          </cell>
          <cell r="AC14" t="str">
            <v>N/A</v>
          </cell>
        </row>
        <row r="15">
          <cell r="A15" t="str">
            <v>MAY</v>
          </cell>
          <cell r="B15" t="str">
            <v>Statewide Marketing &amp; Info</v>
          </cell>
          <cell r="C15">
            <v>26948382</v>
          </cell>
          <cell r="D15">
            <v>26948382</v>
          </cell>
          <cell r="E15">
            <v>2480.48</v>
          </cell>
          <cell r="F15">
            <v>0</v>
          </cell>
          <cell r="G15" t="str">
            <v>N/A</v>
          </cell>
          <cell r="H15">
            <v>0</v>
          </cell>
          <cell r="I15" t="str">
            <v>N/A</v>
          </cell>
          <cell r="J15" t="str">
            <v>N/A</v>
          </cell>
          <cell r="K15" t="str">
            <v>N/A</v>
          </cell>
          <cell r="L15" t="str">
            <v>N/A</v>
          </cell>
          <cell r="M15">
            <v>0</v>
          </cell>
          <cell r="N15" t="str">
            <v>N/A</v>
          </cell>
          <cell r="O15" t="str">
            <v>N/A</v>
          </cell>
          <cell r="P15" t="str">
            <v>N/A</v>
          </cell>
          <cell r="Q15" t="str">
            <v>N/A</v>
          </cell>
          <cell r="R15">
            <v>0</v>
          </cell>
          <cell r="S15" t="str">
            <v>N/A</v>
          </cell>
          <cell r="T15" t="str">
            <v>N/A</v>
          </cell>
          <cell r="U15" t="str">
            <v>N/A</v>
          </cell>
          <cell r="V15" t="str">
            <v>N/A</v>
          </cell>
          <cell r="W15">
            <v>0</v>
          </cell>
          <cell r="X15" t="str">
            <v>N/A</v>
          </cell>
          <cell r="Y15" t="str">
            <v>N/A</v>
          </cell>
          <cell r="Z15">
            <v>0</v>
          </cell>
          <cell r="AA15" t="str">
            <v>N/A</v>
          </cell>
          <cell r="AB15" t="str">
            <v>N/A</v>
          </cell>
          <cell r="AC15" t="str">
            <v>N/A</v>
          </cell>
        </row>
        <row r="16">
          <cell r="A16" t="str">
            <v>MAY</v>
          </cell>
          <cell r="B16" t="str">
            <v>Low Income EE (3)  (1 YR Budgets/Goals)</v>
          </cell>
          <cell r="C16">
            <v>68760669</v>
          </cell>
          <cell r="D16">
            <v>68760669</v>
          </cell>
          <cell r="E16">
            <v>30445619.789999999</v>
          </cell>
          <cell r="F16">
            <v>10111344.140000001</v>
          </cell>
          <cell r="G16" t="str">
            <v>N/A</v>
          </cell>
          <cell r="H16">
            <v>0</v>
          </cell>
          <cell r="I16">
            <v>5551</v>
          </cell>
          <cell r="J16">
            <v>2335.7872171099993</v>
          </cell>
          <cell r="K16">
            <v>791.78721710999935</v>
          </cell>
          <cell r="L16" t="str">
            <v>N/A</v>
          </cell>
          <cell r="M16">
            <v>0</v>
          </cell>
          <cell r="N16">
            <v>26282000</v>
          </cell>
          <cell r="O16">
            <v>10506271.530000001</v>
          </cell>
          <cell r="P16">
            <v>3420462.53</v>
          </cell>
          <cell r="Q16" t="str">
            <v>N/A</v>
          </cell>
          <cell r="R16">
            <v>0</v>
          </cell>
          <cell r="S16">
            <v>1370000</v>
          </cell>
          <cell r="T16">
            <v>420777.52</v>
          </cell>
          <cell r="U16">
            <v>63736.52</v>
          </cell>
          <cell r="V16" t="str">
            <v>N/A</v>
          </cell>
          <cell r="W16">
            <v>0</v>
          </cell>
          <cell r="X16" t="str">
            <v>N/A</v>
          </cell>
          <cell r="Y16" t="str">
            <v>N/A</v>
          </cell>
          <cell r="Z16">
            <v>0</v>
          </cell>
          <cell r="AA16">
            <v>1544</v>
          </cell>
          <cell r="AB16">
            <v>7085809</v>
          </cell>
          <cell r="AC16">
            <v>357041</v>
          </cell>
        </row>
        <row r="17">
          <cell r="A17" t="str">
            <v>JUNE</v>
          </cell>
          <cell r="B17" t="str">
            <v>Mass Market</v>
          </cell>
          <cell r="C17">
            <v>405857712</v>
          </cell>
          <cell r="D17">
            <v>405857712</v>
          </cell>
          <cell r="E17">
            <v>18748350.329999998</v>
          </cell>
          <cell r="F17">
            <v>6095524.3999999994</v>
          </cell>
          <cell r="G17">
            <v>5827135.8599999994</v>
          </cell>
          <cell r="H17">
            <v>0</v>
          </cell>
          <cell r="I17">
            <v>334053.85427348199</v>
          </cell>
          <cell r="J17">
            <v>18973.299037529501</v>
          </cell>
          <cell r="K17">
            <v>6972.5153128666025</v>
          </cell>
          <cell r="L17">
            <v>3453.9870033870002</v>
          </cell>
          <cell r="M17">
            <v>0</v>
          </cell>
          <cell r="N17">
            <v>1728133316.3078108</v>
          </cell>
          <cell r="O17">
            <v>88133563.977048367</v>
          </cell>
          <cell r="P17">
            <v>33934763.696143895</v>
          </cell>
          <cell r="Q17">
            <v>22375691.048130639</v>
          </cell>
          <cell r="R17">
            <v>0</v>
          </cell>
          <cell r="S17">
            <v>15871656.841610486</v>
          </cell>
          <cell r="T17">
            <v>520018.15170499997</v>
          </cell>
          <cell r="U17">
            <v>150709.99649599992</v>
          </cell>
          <cell r="V17">
            <v>167143.37689599997</v>
          </cell>
          <cell r="W17">
            <v>0</v>
          </cell>
          <cell r="X17">
            <v>0</v>
          </cell>
          <cell r="Y17">
            <v>0</v>
          </cell>
          <cell r="Z17">
            <v>0</v>
          </cell>
          <cell r="AA17">
            <v>0</v>
          </cell>
          <cell r="AB17">
            <v>0</v>
          </cell>
          <cell r="AC17">
            <v>0</v>
          </cell>
        </row>
        <row r="18">
          <cell r="A18" t="str">
            <v>JUNE</v>
          </cell>
          <cell r="B18" t="str">
            <v>Ag &amp; Food Processing</v>
          </cell>
          <cell r="C18">
            <v>47523134</v>
          </cell>
          <cell r="D18">
            <v>47523134</v>
          </cell>
          <cell r="E18">
            <v>1265218.76</v>
          </cell>
          <cell r="F18">
            <v>298675.69</v>
          </cell>
          <cell r="G18">
            <v>1337133.1100000001</v>
          </cell>
          <cell r="H18">
            <v>0</v>
          </cell>
          <cell r="I18">
            <v>22797.08846466984</v>
          </cell>
          <cell r="J18">
            <v>36.99</v>
          </cell>
          <cell r="K18">
            <v>36.99</v>
          </cell>
          <cell r="L18">
            <v>3562.5990000000002</v>
          </cell>
          <cell r="M18">
            <v>0</v>
          </cell>
          <cell r="N18">
            <v>164346860.9940128</v>
          </cell>
          <cell r="O18">
            <v>579917.16</v>
          </cell>
          <cell r="P18">
            <v>579917.16</v>
          </cell>
          <cell r="Q18">
            <v>9133119.8300000001</v>
          </cell>
          <cell r="R18">
            <v>0</v>
          </cell>
          <cell r="S18">
            <v>3082951.7327311719</v>
          </cell>
          <cell r="T18">
            <v>0</v>
          </cell>
          <cell r="U18">
            <v>0</v>
          </cell>
          <cell r="V18">
            <v>392567.06</v>
          </cell>
          <cell r="W18">
            <v>0</v>
          </cell>
          <cell r="X18">
            <v>0</v>
          </cell>
          <cell r="Y18">
            <v>0</v>
          </cell>
          <cell r="Z18">
            <v>0</v>
          </cell>
          <cell r="AA18">
            <v>0</v>
          </cell>
          <cell r="AB18">
            <v>0</v>
          </cell>
          <cell r="AC18">
            <v>0</v>
          </cell>
        </row>
        <row r="19">
          <cell r="A19" t="str">
            <v>JUNE</v>
          </cell>
          <cell r="B19" t="str">
            <v>Schools &amp; Colleges</v>
          </cell>
          <cell r="C19">
            <v>47568591</v>
          </cell>
          <cell r="D19">
            <v>47568591</v>
          </cell>
          <cell r="E19">
            <v>938964.96</v>
          </cell>
          <cell r="F19">
            <v>169132.77</v>
          </cell>
          <cell r="G19">
            <v>188021.68</v>
          </cell>
          <cell r="H19">
            <v>0</v>
          </cell>
          <cell r="I19">
            <v>28892.278794176014</v>
          </cell>
          <cell r="J19">
            <v>0</v>
          </cell>
          <cell r="K19">
            <v>0</v>
          </cell>
          <cell r="L19">
            <v>273.745</v>
          </cell>
          <cell r="M19">
            <v>0</v>
          </cell>
          <cell r="N19">
            <v>128046825.56012681</v>
          </cell>
          <cell r="O19">
            <v>0</v>
          </cell>
          <cell r="P19">
            <v>0</v>
          </cell>
          <cell r="Q19">
            <v>1208072.42</v>
          </cell>
          <cell r="R19">
            <v>0</v>
          </cell>
          <cell r="S19">
            <v>2635794.0523105087</v>
          </cell>
          <cell r="T19">
            <v>0</v>
          </cell>
          <cell r="U19">
            <v>0</v>
          </cell>
          <cell r="V19">
            <v>-3107.64</v>
          </cell>
          <cell r="W19">
            <v>0</v>
          </cell>
          <cell r="X19">
            <v>0</v>
          </cell>
          <cell r="Y19">
            <v>0</v>
          </cell>
          <cell r="Z19">
            <v>0</v>
          </cell>
          <cell r="AA19">
            <v>0</v>
          </cell>
          <cell r="AB19">
            <v>0</v>
          </cell>
          <cell r="AC19">
            <v>0</v>
          </cell>
        </row>
        <row r="20">
          <cell r="A20" t="str">
            <v>JUNE</v>
          </cell>
          <cell r="B20" t="str">
            <v>Retail Stores</v>
          </cell>
          <cell r="C20">
            <v>20850872</v>
          </cell>
          <cell r="D20">
            <v>20850872</v>
          </cell>
          <cell r="E20">
            <v>591851.39</v>
          </cell>
          <cell r="F20">
            <v>174292.96</v>
          </cell>
          <cell r="G20">
            <v>103491.33</v>
          </cell>
          <cell r="H20">
            <v>0</v>
          </cell>
          <cell r="I20">
            <v>21271.596533140018</v>
          </cell>
          <cell r="J20">
            <v>24.843000000000004</v>
          </cell>
          <cell r="K20">
            <v>24.843000000000004</v>
          </cell>
          <cell r="L20">
            <v>255.31100000000001</v>
          </cell>
          <cell r="M20">
            <v>0</v>
          </cell>
          <cell r="N20">
            <v>125946107.22913301</v>
          </cell>
          <cell r="O20">
            <v>147544.6</v>
          </cell>
          <cell r="P20">
            <v>147544.6</v>
          </cell>
          <cell r="Q20">
            <v>1344343.2609999999</v>
          </cell>
          <cell r="R20">
            <v>0</v>
          </cell>
          <cell r="S20">
            <v>17583.588</v>
          </cell>
          <cell r="T20">
            <v>0</v>
          </cell>
          <cell r="U20">
            <v>0</v>
          </cell>
          <cell r="V20">
            <v>1572.1</v>
          </cell>
          <cell r="W20">
            <v>0</v>
          </cell>
          <cell r="X20">
            <v>0</v>
          </cell>
          <cell r="Y20">
            <v>0</v>
          </cell>
          <cell r="Z20">
            <v>0</v>
          </cell>
          <cell r="AA20">
            <v>0</v>
          </cell>
          <cell r="AB20">
            <v>0</v>
          </cell>
          <cell r="AC20">
            <v>0</v>
          </cell>
        </row>
        <row r="21">
          <cell r="A21" t="str">
            <v>JUNE</v>
          </cell>
          <cell r="B21" t="str">
            <v>Fab, Prcss &amp; Hvy Indl Mfg</v>
          </cell>
          <cell r="C21">
            <v>121849249</v>
          </cell>
          <cell r="D21">
            <v>121849249</v>
          </cell>
          <cell r="E21">
            <v>1926638.86</v>
          </cell>
          <cell r="F21">
            <v>823235.89</v>
          </cell>
          <cell r="G21">
            <v>8670612.9699999988</v>
          </cell>
          <cell r="H21">
            <v>0</v>
          </cell>
          <cell r="I21">
            <v>69225.227525006732</v>
          </cell>
          <cell r="J21">
            <v>147.48600000000002</v>
          </cell>
          <cell r="K21">
            <v>25.098000000000013</v>
          </cell>
          <cell r="L21">
            <v>9733.9030000000002</v>
          </cell>
          <cell r="M21">
            <v>0</v>
          </cell>
          <cell r="N21">
            <v>475376401.45399302</v>
          </cell>
          <cell r="O21">
            <v>1433123.06</v>
          </cell>
          <cell r="P21">
            <v>748205.22</v>
          </cell>
          <cell r="Q21">
            <v>89910548.00999999</v>
          </cell>
          <cell r="R21">
            <v>0</v>
          </cell>
          <cell r="S21">
            <v>18198035.099455945</v>
          </cell>
          <cell r="T21">
            <v>499093</v>
          </cell>
          <cell r="U21">
            <v>499093</v>
          </cell>
          <cell r="V21">
            <v>1847740.0160000001</v>
          </cell>
          <cell r="W21">
            <v>0</v>
          </cell>
          <cell r="X21">
            <v>0</v>
          </cell>
          <cell r="Y21">
            <v>0</v>
          </cell>
          <cell r="Z21">
            <v>0</v>
          </cell>
          <cell r="AA21">
            <v>0</v>
          </cell>
          <cell r="AB21">
            <v>0</v>
          </cell>
          <cell r="AC21">
            <v>0</v>
          </cell>
        </row>
        <row r="22">
          <cell r="A22" t="str">
            <v>JUNE</v>
          </cell>
          <cell r="B22" t="str">
            <v>Hi-Tech Facilities</v>
          </cell>
          <cell r="C22">
            <v>11759803</v>
          </cell>
          <cell r="D22">
            <v>11759803</v>
          </cell>
          <cell r="E22">
            <v>663723.1</v>
          </cell>
          <cell r="F22">
            <v>172847.74</v>
          </cell>
          <cell r="G22">
            <v>648390.74</v>
          </cell>
          <cell r="H22">
            <v>0</v>
          </cell>
          <cell r="I22">
            <v>6532.0886490478697</v>
          </cell>
          <cell r="J22">
            <v>46.55</v>
          </cell>
          <cell r="K22">
            <v>46.55</v>
          </cell>
          <cell r="L22">
            <v>1109.1500000000001</v>
          </cell>
          <cell r="M22">
            <v>0</v>
          </cell>
          <cell r="N22">
            <v>44364926.587099597</v>
          </cell>
          <cell r="O22">
            <v>232370.6</v>
          </cell>
          <cell r="P22">
            <v>232370.6</v>
          </cell>
          <cell r="Q22">
            <v>13645256.441</v>
          </cell>
          <cell r="R22">
            <v>0</v>
          </cell>
          <cell r="S22">
            <v>25523.813309561065</v>
          </cell>
          <cell r="T22">
            <v>0</v>
          </cell>
          <cell r="U22">
            <v>0</v>
          </cell>
          <cell r="V22">
            <v>113338.38</v>
          </cell>
          <cell r="W22">
            <v>0</v>
          </cell>
          <cell r="X22">
            <v>0</v>
          </cell>
          <cell r="Y22">
            <v>0</v>
          </cell>
          <cell r="Z22">
            <v>0</v>
          </cell>
          <cell r="AA22">
            <v>0</v>
          </cell>
          <cell r="AB22">
            <v>0</v>
          </cell>
          <cell r="AC22">
            <v>0</v>
          </cell>
        </row>
        <row r="23">
          <cell r="A23" t="str">
            <v>JUNE</v>
          </cell>
          <cell r="B23" t="str">
            <v>Medical Facilities</v>
          </cell>
          <cell r="C23">
            <v>21407152</v>
          </cell>
          <cell r="D23">
            <v>21407152</v>
          </cell>
          <cell r="E23">
            <v>325349.45</v>
          </cell>
          <cell r="F23">
            <v>67859.850000000006</v>
          </cell>
          <cell r="G23">
            <v>244451.28</v>
          </cell>
          <cell r="H23">
            <v>0</v>
          </cell>
          <cell r="I23">
            <v>27753.153177169657</v>
          </cell>
          <cell r="J23">
            <v>0</v>
          </cell>
          <cell r="K23">
            <v>0</v>
          </cell>
          <cell r="L23">
            <v>107.8</v>
          </cell>
          <cell r="M23">
            <v>0</v>
          </cell>
          <cell r="N23">
            <v>68661112.057484001</v>
          </cell>
          <cell r="O23">
            <v>0</v>
          </cell>
          <cell r="P23">
            <v>0</v>
          </cell>
          <cell r="Q23">
            <v>1202485.2</v>
          </cell>
          <cell r="R23">
            <v>0</v>
          </cell>
          <cell r="S23">
            <v>494605</v>
          </cell>
          <cell r="T23">
            <v>0</v>
          </cell>
          <cell r="U23">
            <v>0</v>
          </cell>
          <cell r="V23">
            <v>6978.3</v>
          </cell>
          <cell r="W23">
            <v>0</v>
          </cell>
          <cell r="X23">
            <v>0</v>
          </cell>
          <cell r="Y23">
            <v>0</v>
          </cell>
          <cell r="Z23">
            <v>0</v>
          </cell>
          <cell r="AA23">
            <v>0</v>
          </cell>
          <cell r="AB23">
            <v>0</v>
          </cell>
          <cell r="AC23">
            <v>0</v>
          </cell>
        </row>
        <row r="24">
          <cell r="A24" t="str">
            <v>JUNE</v>
          </cell>
          <cell r="B24" t="str">
            <v>Large Commercial</v>
          </cell>
          <cell r="C24">
            <v>68595302</v>
          </cell>
          <cell r="D24">
            <v>68595302</v>
          </cell>
          <cell r="E24">
            <v>1584523.81</v>
          </cell>
          <cell r="F24">
            <v>370930.25</v>
          </cell>
          <cell r="G24">
            <v>1627157.56</v>
          </cell>
          <cell r="H24">
            <v>0</v>
          </cell>
          <cell r="I24">
            <v>73838.296918087362</v>
          </cell>
          <cell r="J24">
            <v>10.152000000000001</v>
          </cell>
          <cell r="K24">
            <v>10.152000000000001</v>
          </cell>
          <cell r="L24">
            <v>2988.2520000000004</v>
          </cell>
          <cell r="M24">
            <v>0</v>
          </cell>
          <cell r="N24">
            <v>219609296.0400379</v>
          </cell>
          <cell r="O24">
            <v>520488.64</v>
          </cell>
          <cell r="P24">
            <v>520488.64</v>
          </cell>
          <cell r="Q24">
            <v>12993769.58</v>
          </cell>
          <cell r="R24">
            <v>0</v>
          </cell>
          <cell r="S24">
            <v>2224825.1578322467</v>
          </cell>
          <cell r="T24">
            <v>0</v>
          </cell>
          <cell r="U24">
            <v>0</v>
          </cell>
          <cell r="V24">
            <v>338882.74</v>
          </cell>
          <cell r="W24">
            <v>0</v>
          </cell>
          <cell r="X24">
            <v>0</v>
          </cell>
          <cell r="Y24">
            <v>0</v>
          </cell>
          <cell r="Z24">
            <v>0</v>
          </cell>
          <cell r="AA24">
            <v>0</v>
          </cell>
          <cell r="AB24">
            <v>0</v>
          </cell>
          <cell r="AC24">
            <v>0</v>
          </cell>
        </row>
        <row r="25">
          <cell r="A25" t="str">
            <v>JUNE</v>
          </cell>
          <cell r="B25" t="str">
            <v>Hospitality Facilities</v>
          </cell>
          <cell r="C25">
            <v>11793097</v>
          </cell>
          <cell r="D25">
            <v>11793097</v>
          </cell>
          <cell r="E25">
            <v>576775.5</v>
          </cell>
          <cell r="F25">
            <v>111322.28</v>
          </cell>
          <cell r="G25">
            <v>8710</v>
          </cell>
          <cell r="H25">
            <v>0</v>
          </cell>
          <cell r="I25">
            <v>7577.0826254285475</v>
          </cell>
          <cell r="J25">
            <v>0</v>
          </cell>
          <cell r="K25">
            <v>0</v>
          </cell>
          <cell r="L25">
            <v>5.2480000000000002</v>
          </cell>
          <cell r="M25">
            <v>0</v>
          </cell>
          <cell r="N25">
            <v>37330060.295922801</v>
          </cell>
          <cell r="O25">
            <v>0</v>
          </cell>
          <cell r="P25">
            <v>0</v>
          </cell>
          <cell r="Q25">
            <v>97002.94</v>
          </cell>
          <cell r="R25">
            <v>0</v>
          </cell>
          <cell r="S25">
            <v>33302.25</v>
          </cell>
          <cell r="T25">
            <v>0</v>
          </cell>
          <cell r="U25">
            <v>0</v>
          </cell>
          <cell r="V25">
            <v>992.04</v>
          </cell>
          <cell r="W25">
            <v>0</v>
          </cell>
          <cell r="X25">
            <v>0</v>
          </cell>
          <cell r="Y25">
            <v>0</v>
          </cell>
          <cell r="Z25">
            <v>0</v>
          </cell>
          <cell r="AA25">
            <v>0</v>
          </cell>
          <cell r="AB25">
            <v>0</v>
          </cell>
          <cell r="AC25">
            <v>0</v>
          </cell>
        </row>
        <row r="26">
          <cell r="A26" t="str">
            <v>JUNE</v>
          </cell>
          <cell r="B26" t="str">
            <v>Res New Construction</v>
          </cell>
          <cell r="C26">
            <v>26264217</v>
          </cell>
          <cell r="D26">
            <v>26264217</v>
          </cell>
          <cell r="E26">
            <v>1045732.4</v>
          </cell>
          <cell r="F26">
            <v>137640.6</v>
          </cell>
          <cell r="G26">
            <v>1074610</v>
          </cell>
          <cell r="H26">
            <v>0</v>
          </cell>
          <cell r="I26">
            <v>9015.1305056540205</v>
          </cell>
          <cell r="J26">
            <v>0.18152000000000001</v>
          </cell>
          <cell r="K26">
            <v>0.18152000000000001</v>
          </cell>
          <cell r="L26">
            <v>109.55737120000001</v>
          </cell>
          <cell r="M26">
            <v>0</v>
          </cell>
          <cell r="N26">
            <v>13357136.488374671</v>
          </cell>
          <cell r="O26">
            <v>600.79999999999995</v>
          </cell>
          <cell r="P26">
            <v>600.79999999999995</v>
          </cell>
          <cell r="Q26">
            <v>584399.19999999995</v>
          </cell>
          <cell r="R26">
            <v>0</v>
          </cell>
          <cell r="S26">
            <v>2454487.1347570699</v>
          </cell>
          <cell r="T26">
            <v>45.776000000000003</v>
          </cell>
          <cell r="U26">
            <v>45.776000000000003</v>
          </cell>
          <cell r="V26">
            <v>197618.4</v>
          </cell>
          <cell r="W26">
            <v>0</v>
          </cell>
          <cell r="X26">
            <v>0</v>
          </cell>
          <cell r="Y26">
            <v>0</v>
          </cell>
          <cell r="Z26">
            <v>0</v>
          </cell>
          <cell r="AA26">
            <v>0</v>
          </cell>
          <cell r="AB26">
            <v>0</v>
          </cell>
          <cell r="AC26">
            <v>0</v>
          </cell>
        </row>
        <row r="27">
          <cell r="A27" t="str">
            <v>JUNE</v>
          </cell>
          <cell r="B27" t="str">
            <v>Education &amp; Training</v>
          </cell>
          <cell r="C27">
            <v>41154602</v>
          </cell>
          <cell r="D27">
            <v>41154602</v>
          </cell>
          <cell r="E27">
            <v>3653537.3</v>
          </cell>
          <cell r="F27">
            <v>332528.43</v>
          </cell>
          <cell r="G27" t="str">
            <v>N/A</v>
          </cell>
          <cell r="H27">
            <v>0</v>
          </cell>
          <cell r="I27" t="str">
            <v>N/A</v>
          </cell>
          <cell r="J27" t="str">
            <v>N/A</v>
          </cell>
          <cell r="K27" t="str">
            <v>N/A</v>
          </cell>
          <cell r="L27" t="str">
            <v>N/A</v>
          </cell>
          <cell r="M27">
            <v>0</v>
          </cell>
          <cell r="N27" t="str">
            <v>N/A</v>
          </cell>
          <cell r="O27" t="str">
            <v>N/A</v>
          </cell>
          <cell r="P27" t="str">
            <v>N/A</v>
          </cell>
          <cell r="Q27" t="str">
            <v>N/A</v>
          </cell>
          <cell r="R27">
            <v>0</v>
          </cell>
          <cell r="S27" t="str">
            <v>N/A</v>
          </cell>
          <cell r="T27" t="str">
            <v>N/A</v>
          </cell>
          <cell r="U27" t="str">
            <v>N/A</v>
          </cell>
          <cell r="V27" t="str">
            <v>N/A</v>
          </cell>
          <cell r="W27">
            <v>0</v>
          </cell>
          <cell r="X27">
            <v>0</v>
          </cell>
          <cell r="Y27">
            <v>0</v>
          </cell>
          <cell r="Z27">
            <v>0</v>
          </cell>
          <cell r="AA27">
            <v>0</v>
          </cell>
          <cell r="AB27">
            <v>0</v>
          </cell>
          <cell r="AC27">
            <v>0</v>
          </cell>
        </row>
        <row r="28">
          <cell r="A28" t="str">
            <v>JUNE</v>
          </cell>
          <cell r="B28" t="str">
            <v>Codes &amp; Standards</v>
          </cell>
          <cell r="C28">
            <v>4635754</v>
          </cell>
          <cell r="D28">
            <v>4635754</v>
          </cell>
          <cell r="E28">
            <v>469282.68</v>
          </cell>
          <cell r="F28">
            <v>96701.5</v>
          </cell>
          <cell r="G28" t="str">
            <v>N/A</v>
          </cell>
          <cell r="H28">
            <v>0</v>
          </cell>
          <cell r="I28" t="str">
            <v>N/A</v>
          </cell>
          <cell r="J28" t="str">
            <v>N/A</v>
          </cell>
          <cell r="K28" t="str">
            <v>N/A</v>
          </cell>
          <cell r="L28" t="str">
            <v>N/A</v>
          </cell>
          <cell r="M28">
            <v>0</v>
          </cell>
          <cell r="N28" t="str">
            <v>N/A</v>
          </cell>
          <cell r="O28" t="str">
            <v>N/A</v>
          </cell>
          <cell r="P28" t="str">
            <v>N/A</v>
          </cell>
          <cell r="Q28" t="str">
            <v>N/A</v>
          </cell>
          <cell r="R28">
            <v>0</v>
          </cell>
          <cell r="S28" t="str">
            <v>N/A</v>
          </cell>
          <cell r="T28" t="str">
            <v>N/A</v>
          </cell>
          <cell r="U28" t="str">
            <v>N/A</v>
          </cell>
          <cell r="V28" t="str">
            <v>N/A</v>
          </cell>
          <cell r="W28">
            <v>0</v>
          </cell>
          <cell r="X28">
            <v>0</v>
          </cell>
          <cell r="Y28">
            <v>0</v>
          </cell>
          <cell r="Z28">
            <v>0</v>
          </cell>
          <cell r="AA28">
            <v>0</v>
          </cell>
          <cell r="AB28">
            <v>0</v>
          </cell>
          <cell r="AC28">
            <v>0</v>
          </cell>
        </row>
        <row r="29">
          <cell r="A29" t="str">
            <v>JUNE</v>
          </cell>
          <cell r="B29" t="str">
            <v>Emerging Technologies</v>
          </cell>
          <cell r="C29">
            <v>11260376</v>
          </cell>
          <cell r="D29">
            <v>11260376</v>
          </cell>
          <cell r="E29">
            <v>389360.51</v>
          </cell>
          <cell r="F29">
            <v>79729.990000000005</v>
          </cell>
          <cell r="G29" t="str">
            <v>N/A</v>
          </cell>
          <cell r="H29">
            <v>0</v>
          </cell>
          <cell r="I29" t="str">
            <v>N/A</v>
          </cell>
          <cell r="J29" t="str">
            <v>N/A</v>
          </cell>
          <cell r="K29" t="str">
            <v>N/A</v>
          </cell>
          <cell r="L29" t="str">
            <v>N/A</v>
          </cell>
          <cell r="M29">
            <v>0</v>
          </cell>
          <cell r="N29" t="str">
            <v>N/A</v>
          </cell>
          <cell r="O29" t="str">
            <v>N/A</v>
          </cell>
          <cell r="P29" t="str">
            <v>N/A</v>
          </cell>
          <cell r="Q29" t="str">
            <v>N/A</v>
          </cell>
          <cell r="R29">
            <v>0</v>
          </cell>
          <cell r="S29" t="str">
            <v>N/A</v>
          </cell>
          <cell r="T29" t="str">
            <v>N/A</v>
          </cell>
          <cell r="U29" t="str">
            <v>N/A</v>
          </cell>
          <cell r="V29" t="str">
            <v>N/A</v>
          </cell>
          <cell r="W29">
            <v>0</v>
          </cell>
          <cell r="X29">
            <v>0</v>
          </cell>
          <cell r="Y29">
            <v>0</v>
          </cell>
          <cell r="Z29">
            <v>0</v>
          </cell>
          <cell r="AA29">
            <v>0</v>
          </cell>
          <cell r="AB29">
            <v>0</v>
          </cell>
          <cell r="AC29">
            <v>0</v>
          </cell>
        </row>
        <row r="30">
          <cell r="A30" t="str">
            <v>JUNE</v>
          </cell>
          <cell r="B30" t="str">
            <v>Statewide Marketing &amp; Info</v>
          </cell>
          <cell r="C30">
            <v>26948382</v>
          </cell>
          <cell r="D30">
            <v>26948382</v>
          </cell>
          <cell r="E30">
            <v>-403.74</v>
          </cell>
          <cell r="F30">
            <v>-2884.22</v>
          </cell>
          <cell r="G30" t="str">
            <v>N/A</v>
          </cell>
          <cell r="H30">
            <v>0</v>
          </cell>
          <cell r="I30" t="str">
            <v>N/A</v>
          </cell>
          <cell r="J30" t="str">
            <v>N/A</v>
          </cell>
          <cell r="K30" t="str">
            <v>N/A</v>
          </cell>
          <cell r="L30" t="str">
            <v>N/A</v>
          </cell>
          <cell r="M30">
            <v>0</v>
          </cell>
          <cell r="N30" t="str">
            <v>N/A</v>
          </cell>
          <cell r="O30" t="str">
            <v>N/A</v>
          </cell>
          <cell r="P30" t="str">
            <v>N/A</v>
          </cell>
          <cell r="Q30" t="str">
            <v>N/A</v>
          </cell>
          <cell r="R30">
            <v>0</v>
          </cell>
          <cell r="S30" t="str">
            <v>N/A</v>
          </cell>
          <cell r="T30" t="str">
            <v>N/A</v>
          </cell>
          <cell r="U30" t="str">
            <v>N/A</v>
          </cell>
          <cell r="V30" t="str">
            <v>N/A</v>
          </cell>
          <cell r="W30">
            <v>0</v>
          </cell>
          <cell r="X30">
            <v>0</v>
          </cell>
          <cell r="Y30">
            <v>0</v>
          </cell>
          <cell r="Z30">
            <v>0</v>
          </cell>
          <cell r="AA30">
            <v>0</v>
          </cell>
          <cell r="AB30">
            <v>0</v>
          </cell>
          <cell r="AC30">
            <v>0</v>
          </cell>
        </row>
        <row r="31">
          <cell r="A31" t="str">
            <v>JUNE</v>
          </cell>
          <cell r="B31" t="str">
            <v>Low Income EE (3)  (1 YR Budgets/Goals)</v>
          </cell>
          <cell r="C31">
            <v>68760669</v>
          </cell>
          <cell r="D31">
            <v>68760669</v>
          </cell>
          <cell r="E31">
            <v>37014260</v>
          </cell>
          <cell r="F31">
            <v>6568640</v>
          </cell>
          <cell r="G31" t="str">
            <v>N/A</v>
          </cell>
          <cell r="H31">
            <v>0</v>
          </cell>
          <cell r="I31">
            <v>5551</v>
          </cell>
          <cell r="J31">
            <v>2590.0702306499998</v>
          </cell>
          <cell r="K31">
            <v>254.28301354000041</v>
          </cell>
          <cell r="L31" t="str">
            <v>N/A</v>
          </cell>
          <cell r="M31">
            <v>0</v>
          </cell>
          <cell r="N31">
            <v>26282000</v>
          </cell>
          <cell r="O31">
            <v>11673714.880000001</v>
          </cell>
          <cell r="P31">
            <v>1167443.3500000001</v>
          </cell>
          <cell r="Q31" t="str">
            <v>N/A</v>
          </cell>
          <cell r="R31">
            <v>0</v>
          </cell>
          <cell r="S31">
            <v>1370000</v>
          </cell>
          <cell r="T31">
            <v>595392.63</v>
          </cell>
          <cell r="U31">
            <v>174615.11</v>
          </cell>
          <cell r="V31" t="str">
            <v>N/A</v>
          </cell>
          <cell r="W31">
            <v>0</v>
          </cell>
          <cell r="X31">
            <v>0</v>
          </cell>
          <cell r="Y31">
            <v>0</v>
          </cell>
          <cell r="Z31">
            <v>0</v>
          </cell>
          <cell r="AA31">
            <v>0</v>
          </cell>
          <cell r="AB31">
            <v>0</v>
          </cell>
          <cell r="AC31">
            <v>0</v>
          </cell>
        </row>
        <row r="32">
          <cell r="A32" t="str">
            <v>JUL</v>
          </cell>
          <cell r="B32" t="str">
            <v>Mass Market</v>
          </cell>
          <cell r="C32">
            <v>405857712</v>
          </cell>
          <cell r="D32">
            <v>405857712</v>
          </cell>
          <cell r="E32">
            <v>26038882.591199998</v>
          </cell>
          <cell r="F32">
            <v>7290532.2612000015</v>
          </cell>
          <cell r="G32">
            <v>4657081.33</v>
          </cell>
          <cell r="H32">
            <v>0</v>
          </cell>
          <cell r="I32">
            <v>334053.85427348199</v>
          </cell>
          <cell r="J32">
            <v>35112.870000000003</v>
          </cell>
          <cell r="K32">
            <v>16139.570962470501</v>
          </cell>
          <cell r="L32">
            <v>2729.0267265318003</v>
          </cell>
          <cell r="M32">
            <v>0</v>
          </cell>
          <cell r="N32">
            <v>1728133316.3078108</v>
          </cell>
          <cell r="O32">
            <v>169678958.25999999</v>
          </cell>
          <cell r="P32">
            <v>81545394.282951623</v>
          </cell>
          <cell r="Q32">
            <v>15092397.755989883</v>
          </cell>
          <cell r="R32">
            <v>0</v>
          </cell>
          <cell r="S32">
            <v>15871656.841610486</v>
          </cell>
          <cell r="T32">
            <v>814840.35</v>
          </cell>
          <cell r="U32">
            <v>294822.19829500001</v>
          </cell>
          <cell r="V32">
            <v>207327.36981200002</v>
          </cell>
          <cell r="W32">
            <v>0</v>
          </cell>
          <cell r="X32">
            <v>0</v>
          </cell>
          <cell r="Y32">
            <v>0</v>
          </cell>
          <cell r="Z32">
            <v>0</v>
          </cell>
          <cell r="AA32">
            <v>0</v>
          </cell>
          <cell r="AB32">
            <v>0</v>
          </cell>
          <cell r="AC32">
            <v>0</v>
          </cell>
        </row>
        <row r="33">
          <cell r="A33" t="str">
            <v>JUL</v>
          </cell>
          <cell r="B33" t="str">
            <v>Ag &amp; Food Processing</v>
          </cell>
          <cell r="C33">
            <v>47523134</v>
          </cell>
          <cell r="D33">
            <v>47523134</v>
          </cell>
          <cell r="E33">
            <v>1558896.8176</v>
          </cell>
          <cell r="F33">
            <v>293678.0576</v>
          </cell>
          <cell r="G33">
            <v>1826397.46</v>
          </cell>
          <cell r="H33">
            <v>0</v>
          </cell>
          <cell r="I33">
            <v>22797.08846466984</v>
          </cell>
          <cell r="J33">
            <v>36.99</v>
          </cell>
          <cell r="K33">
            <v>0</v>
          </cell>
          <cell r="L33">
            <v>3634.1330000000003</v>
          </cell>
          <cell r="M33">
            <v>0</v>
          </cell>
          <cell r="N33">
            <v>164346860.9940128</v>
          </cell>
          <cell r="O33">
            <v>579917.16</v>
          </cell>
          <cell r="P33">
            <v>0</v>
          </cell>
          <cell r="Q33">
            <v>10465017.670000002</v>
          </cell>
          <cell r="R33">
            <v>0</v>
          </cell>
          <cell r="S33">
            <v>3082951.7327311719</v>
          </cell>
          <cell r="T33">
            <v>5103</v>
          </cell>
          <cell r="U33">
            <v>5103</v>
          </cell>
          <cell r="V33">
            <v>941717.76</v>
          </cell>
          <cell r="W33">
            <v>0</v>
          </cell>
          <cell r="X33">
            <v>0</v>
          </cell>
          <cell r="Y33">
            <v>0</v>
          </cell>
          <cell r="Z33">
            <v>0</v>
          </cell>
          <cell r="AA33">
            <v>0</v>
          </cell>
          <cell r="AB33">
            <v>0</v>
          </cell>
          <cell r="AC33">
            <v>0</v>
          </cell>
        </row>
        <row r="34">
          <cell r="A34" t="str">
            <v>JUL</v>
          </cell>
          <cell r="B34" t="str">
            <v>Schools &amp; Colleges</v>
          </cell>
          <cell r="C34">
            <v>47568591</v>
          </cell>
          <cell r="D34">
            <v>47568591</v>
          </cell>
          <cell r="E34">
            <v>1205666.5547999998</v>
          </cell>
          <cell r="F34">
            <v>266701.59479999996</v>
          </cell>
          <cell r="G34">
            <v>157338.32</v>
          </cell>
          <cell r="H34">
            <v>0</v>
          </cell>
          <cell r="I34">
            <v>28892.278794176014</v>
          </cell>
          <cell r="J34">
            <v>75.849999999999994</v>
          </cell>
          <cell r="K34">
            <v>75.849999999999994</v>
          </cell>
          <cell r="L34">
            <v>216.095</v>
          </cell>
          <cell r="M34">
            <v>0</v>
          </cell>
          <cell r="N34">
            <v>128046825.56012681</v>
          </cell>
          <cell r="O34">
            <v>131613.28</v>
          </cell>
          <cell r="P34">
            <v>131613.28</v>
          </cell>
          <cell r="Q34">
            <v>1091623.24</v>
          </cell>
          <cell r="R34">
            <v>0</v>
          </cell>
          <cell r="S34">
            <v>2635794.0523105087</v>
          </cell>
          <cell r="T34">
            <v>0</v>
          </cell>
          <cell r="U34">
            <v>0</v>
          </cell>
          <cell r="V34">
            <v>-3057.74</v>
          </cell>
          <cell r="W34">
            <v>0</v>
          </cell>
          <cell r="X34">
            <v>0</v>
          </cell>
          <cell r="Y34">
            <v>0</v>
          </cell>
          <cell r="Z34">
            <v>0</v>
          </cell>
          <cell r="AA34">
            <v>0</v>
          </cell>
          <cell r="AB34">
            <v>0</v>
          </cell>
          <cell r="AC34">
            <v>0</v>
          </cell>
        </row>
        <row r="35">
          <cell r="A35" t="str">
            <v>JUL</v>
          </cell>
          <cell r="B35" t="str">
            <v>Retail Stores</v>
          </cell>
          <cell r="C35">
            <v>20850872</v>
          </cell>
          <cell r="D35">
            <v>20850872</v>
          </cell>
          <cell r="E35">
            <v>737515.66919999989</v>
          </cell>
          <cell r="F35">
            <v>145664.27919999999</v>
          </cell>
          <cell r="G35">
            <v>106737.11</v>
          </cell>
          <cell r="H35">
            <v>0</v>
          </cell>
          <cell r="I35">
            <v>21271.596533140018</v>
          </cell>
          <cell r="J35">
            <v>33.78</v>
          </cell>
          <cell r="K35">
            <v>8.9369999999999976</v>
          </cell>
          <cell r="L35">
            <v>319.88499999999999</v>
          </cell>
          <cell r="M35">
            <v>0</v>
          </cell>
          <cell r="N35">
            <v>125946107.22913301</v>
          </cell>
          <cell r="O35">
            <v>391719.65</v>
          </cell>
          <cell r="P35">
            <v>244175.05</v>
          </cell>
          <cell r="Q35">
            <v>1454449.1609999998</v>
          </cell>
          <cell r="R35">
            <v>0</v>
          </cell>
          <cell r="S35">
            <v>17583.588</v>
          </cell>
          <cell r="T35">
            <v>3103.1</v>
          </cell>
          <cell r="U35">
            <v>3103.1</v>
          </cell>
          <cell r="V35">
            <v>-1188</v>
          </cell>
          <cell r="W35">
            <v>0</v>
          </cell>
          <cell r="X35">
            <v>0</v>
          </cell>
          <cell r="Y35">
            <v>0</v>
          </cell>
          <cell r="Z35">
            <v>0</v>
          </cell>
          <cell r="AA35">
            <v>0</v>
          </cell>
          <cell r="AB35">
            <v>0</v>
          </cell>
          <cell r="AC35">
            <v>0</v>
          </cell>
        </row>
        <row r="36">
          <cell r="A36" t="str">
            <v>JUL</v>
          </cell>
          <cell r="B36" t="str">
            <v>Fab, Prcss &amp; Hvy Indl Mfg</v>
          </cell>
          <cell r="C36">
            <v>121849249</v>
          </cell>
          <cell r="D36">
            <v>121849249</v>
          </cell>
          <cell r="E36">
            <v>2290013.7784000002</v>
          </cell>
          <cell r="F36">
            <v>363374.91840000002</v>
          </cell>
          <cell r="G36">
            <v>9498544.3099999987</v>
          </cell>
          <cell r="H36">
            <v>0</v>
          </cell>
          <cell r="I36">
            <v>69225.227525006732</v>
          </cell>
          <cell r="J36">
            <v>242.75</v>
          </cell>
          <cell r="K36">
            <v>95.263999999999982</v>
          </cell>
          <cell r="L36">
            <v>10398.02</v>
          </cell>
          <cell r="M36">
            <v>0</v>
          </cell>
          <cell r="N36">
            <v>475376401.45399302</v>
          </cell>
          <cell r="O36">
            <v>1885114.22</v>
          </cell>
          <cell r="P36">
            <v>451991.16</v>
          </cell>
          <cell r="Q36">
            <v>96398727.201999992</v>
          </cell>
          <cell r="R36">
            <v>0</v>
          </cell>
          <cell r="S36">
            <v>18198035.099455945</v>
          </cell>
          <cell r="T36">
            <v>499093</v>
          </cell>
          <cell r="U36">
            <v>0</v>
          </cell>
          <cell r="V36">
            <v>2029921.456</v>
          </cell>
          <cell r="W36">
            <v>0</v>
          </cell>
          <cell r="X36">
            <v>0</v>
          </cell>
          <cell r="Y36">
            <v>0</v>
          </cell>
          <cell r="Z36">
            <v>0</v>
          </cell>
          <cell r="AA36">
            <v>0</v>
          </cell>
          <cell r="AB36">
            <v>0</v>
          </cell>
          <cell r="AC36">
            <v>0</v>
          </cell>
        </row>
        <row r="37">
          <cell r="A37" t="str">
            <v>JUL</v>
          </cell>
          <cell r="B37" t="str">
            <v>Hi-Tech Facilities</v>
          </cell>
          <cell r="C37">
            <v>11759803</v>
          </cell>
          <cell r="D37">
            <v>11759803</v>
          </cell>
          <cell r="E37">
            <v>855391.85159999994</v>
          </cell>
          <cell r="F37">
            <v>191668.75159999999</v>
          </cell>
          <cell r="G37">
            <v>791077.64</v>
          </cell>
          <cell r="H37">
            <v>0</v>
          </cell>
          <cell r="I37">
            <v>6532.0886490478697</v>
          </cell>
          <cell r="J37">
            <v>46.55</v>
          </cell>
          <cell r="K37">
            <v>0</v>
          </cell>
          <cell r="L37">
            <v>1293.28</v>
          </cell>
          <cell r="M37">
            <v>0</v>
          </cell>
          <cell r="N37">
            <v>44364926.587099597</v>
          </cell>
          <cell r="O37">
            <v>232370.6</v>
          </cell>
          <cell r="P37">
            <v>0</v>
          </cell>
          <cell r="Q37">
            <v>15606447.452</v>
          </cell>
          <cell r="R37">
            <v>0</v>
          </cell>
          <cell r="S37">
            <v>25523.813309561065</v>
          </cell>
          <cell r="T37">
            <v>0</v>
          </cell>
          <cell r="U37">
            <v>0</v>
          </cell>
          <cell r="V37">
            <v>128778.63</v>
          </cell>
          <cell r="W37">
            <v>0</v>
          </cell>
          <cell r="X37">
            <v>0</v>
          </cell>
          <cell r="Y37">
            <v>0</v>
          </cell>
          <cell r="Z37">
            <v>0</v>
          </cell>
          <cell r="AA37">
            <v>0</v>
          </cell>
          <cell r="AB37">
            <v>0</v>
          </cell>
          <cell r="AC37">
            <v>0</v>
          </cell>
        </row>
        <row r="38">
          <cell r="A38" t="str">
            <v>JUL</v>
          </cell>
          <cell r="B38" t="str">
            <v>Medical Facilities</v>
          </cell>
          <cell r="C38">
            <v>21407152</v>
          </cell>
          <cell r="D38">
            <v>21407152</v>
          </cell>
          <cell r="E38">
            <v>392996.87320000003</v>
          </cell>
          <cell r="F38">
            <v>67647.423200000005</v>
          </cell>
          <cell r="G38">
            <v>293493.28000000003</v>
          </cell>
          <cell r="H38">
            <v>0</v>
          </cell>
          <cell r="I38">
            <v>27753.153177169657</v>
          </cell>
          <cell r="J38">
            <v>0</v>
          </cell>
          <cell r="K38">
            <v>0</v>
          </cell>
          <cell r="L38">
            <v>110.53</v>
          </cell>
          <cell r="M38">
            <v>0</v>
          </cell>
          <cell r="N38">
            <v>68661112.057484001</v>
          </cell>
          <cell r="O38">
            <v>0</v>
          </cell>
          <cell r="P38">
            <v>0</v>
          </cell>
          <cell r="Q38">
            <v>1447695.2</v>
          </cell>
          <cell r="R38">
            <v>0</v>
          </cell>
          <cell r="S38">
            <v>494605</v>
          </cell>
          <cell r="T38">
            <v>0</v>
          </cell>
          <cell r="U38">
            <v>0</v>
          </cell>
          <cell r="V38">
            <v>6978.3</v>
          </cell>
          <cell r="W38">
            <v>0</v>
          </cell>
          <cell r="X38">
            <v>0</v>
          </cell>
          <cell r="Y38">
            <v>0</v>
          </cell>
          <cell r="Z38">
            <v>0</v>
          </cell>
          <cell r="AA38">
            <v>0</v>
          </cell>
          <cell r="AB38">
            <v>0</v>
          </cell>
          <cell r="AC38">
            <v>0</v>
          </cell>
        </row>
        <row r="39">
          <cell r="A39" t="str">
            <v>JUL</v>
          </cell>
          <cell r="B39" t="str">
            <v>Large Commercial</v>
          </cell>
          <cell r="C39">
            <v>68595302</v>
          </cell>
          <cell r="D39">
            <v>68595302</v>
          </cell>
          <cell r="E39">
            <v>2052493.4264000002</v>
          </cell>
          <cell r="F39">
            <v>467969.6164</v>
          </cell>
          <cell r="G39">
            <v>1582401.51</v>
          </cell>
          <cell r="H39">
            <v>0</v>
          </cell>
          <cell r="I39">
            <v>73838.296918087362</v>
          </cell>
          <cell r="J39">
            <v>172.27</v>
          </cell>
          <cell r="K39">
            <v>162.11799999999999</v>
          </cell>
          <cell r="L39">
            <v>2833.9320000000002</v>
          </cell>
          <cell r="M39">
            <v>0</v>
          </cell>
          <cell r="N39">
            <v>219609296.0400379</v>
          </cell>
          <cell r="O39">
            <v>1195051.27</v>
          </cell>
          <cell r="P39">
            <v>674562.63</v>
          </cell>
          <cell r="Q39">
            <v>11880864.49</v>
          </cell>
          <cell r="R39">
            <v>0</v>
          </cell>
          <cell r="S39">
            <v>2224825.1578322467</v>
          </cell>
          <cell r="T39">
            <v>3919.3</v>
          </cell>
          <cell r="U39">
            <v>3919.3</v>
          </cell>
          <cell r="V39">
            <v>424467.74</v>
          </cell>
          <cell r="W39">
            <v>0</v>
          </cell>
          <cell r="X39">
            <v>0</v>
          </cell>
          <cell r="Y39">
            <v>0</v>
          </cell>
          <cell r="Z39">
            <v>0</v>
          </cell>
          <cell r="AA39">
            <v>0</v>
          </cell>
          <cell r="AB39">
            <v>0</v>
          </cell>
          <cell r="AC39">
            <v>0</v>
          </cell>
        </row>
        <row r="40">
          <cell r="A40" t="str">
            <v>JUL</v>
          </cell>
          <cell r="B40" t="str">
            <v>Hospitality Facilities</v>
          </cell>
          <cell r="C40">
            <v>11793097</v>
          </cell>
          <cell r="D40">
            <v>11793097</v>
          </cell>
          <cell r="E40">
            <v>666814.93800000008</v>
          </cell>
          <cell r="F40">
            <v>90039.438000000009</v>
          </cell>
          <cell r="G40">
            <v>49997.67</v>
          </cell>
          <cell r="H40">
            <v>0</v>
          </cell>
          <cell r="I40">
            <v>7577.0826254285475</v>
          </cell>
          <cell r="J40">
            <v>0</v>
          </cell>
          <cell r="K40">
            <v>0</v>
          </cell>
          <cell r="L40">
            <v>11.058</v>
          </cell>
          <cell r="M40">
            <v>0</v>
          </cell>
          <cell r="N40">
            <v>37330060.295922801</v>
          </cell>
          <cell r="O40">
            <v>0</v>
          </cell>
          <cell r="P40">
            <v>0</v>
          </cell>
          <cell r="Q40">
            <v>395764.06</v>
          </cell>
          <cell r="R40">
            <v>0</v>
          </cell>
          <cell r="S40">
            <v>33302.25</v>
          </cell>
          <cell r="T40">
            <v>437.5</v>
          </cell>
          <cell r="U40">
            <v>437.5</v>
          </cell>
          <cell r="V40">
            <v>10222.793000000001</v>
          </cell>
          <cell r="W40">
            <v>0</v>
          </cell>
          <cell r="X40">
            <v>0</v>
          </cell>
          <cell r="Y40">
            <v>0</v>
          </cell>
          <cell r="Z40">
            <v>0</v>
          </cell>
          <cell r="AA40">
            <v>0</v>
          </cell>
          <cell r="AB40">
            <v>0</v>
          </cell>
          <cell r="AC40">
            <v>0</v>
          </cell>
        </row>
        <row r="41">
          <cell r="A41" t="str">
            <v>JUL</v>
          </cell>
          <cell r="B41" t="str">
            <v>Res New Construction</v>
          </cell>
          <cell r="C41">
            <v>26264217</v>
          </cell>
          <cell r="D41">
            <v>26264217</v>
          </cell>
          <cell r="E41">
            <v>1229010.1664000002</v>
          </cell>
          <cell r="F41">
            <v>183277.76639999999</v>
          </cell>
          <cell r="G41">
            <v>1485610</v>
          </cell>
          <cell r="H41">
            <v>0</v>
          </cell>
          <cell r="I41">
            <v>9015.1305056540205</v>
          </cell>
          <cell r="J41">
            <v>0.18</v>
          </cell>
          <cell r="K41">
            <v>0</v>
          </cell>
          <cell r="L41">
            <v>414.39981280000012</v>
          </cell>
          <cell r="M41">
            <v>0</v>
          </cell>
          <cell r="N41">
            <v>13357136.488374671</v>
          </cell>
          <cell r="O41">
            <v>600.79999999999995</v>
          </cell>
          <cell r="P41">
            <v>0</v>
          </cell>
          <cell r="Q41">
            <v>886354.4</v>
          </cell>
          <cell r="R41">
            <v>0</v>
          </cell>
          <cell r="S41">
            <v>2454487.1347570699</v>
          </cell>
          <cell r="T41">
            <v>45.78</v>
          </cell>
          <cell r="U41">
            <v>3.9999999999977831E-3</v>
          </cell>
          <cell r="V41">
            <v>310628.8</v>
          </cell>
          <cell r="W41">
            <v>0</v>
          </cell>
          <cell r="X41">
            <v>0</v>
          </cell>
          <cell r="Y41">
            <v>0</v>
          </cell>
          <cell r="Z41">
            <v>0</v>
          </cell>
          <cell r="AA41">
            <v>0</v>
          </cell>
          <cell r="AB41">
            <v>0</v>
          </cell>
          <cell r="AC41">
            <v>0</v>
          </cell>
        </row>
        <row r="42">
          <cell r="A42" t="str">
            <v>JUL</v>
          </cell>
          <cell r="B42" t="str">
            <v>Education &amp; Training</v>
          </cell>
          <cell r="C42">
            <v>41154602</v>
          </cell>
          <cell r="D42">
            <v>41154602</v>
          </cell>
          <cell r="E42">
            <v>4235551.2531999992</v>
          </cell>
          <cell r="F42">
            <v>582013.95319999999</v>
          </cell>
          <cell r="G42" t="str">
            <v>N/A</v>
          </cell>
          <cell r="H42">
            <v>0</v>
          </cell>
          <cell r="I42" t="str">
            <v>N/A</v>
          </cell>
          <cell r="J42" t="str">
            <v>N/A</v>
          </cell>
          <cell r="K42" t="str">
            <v>N/A</v>
          </cell>
          <cell r="L42" t="str">
            <v>N/A</v>
          </cell>
          <cell r="M42">
            <v>0</v>
          </cell>
          <cell r="N42" t="str">
            <v>N/A</v>
          </cell>
          <cell r="O42" t="str">
            <v>N/A</v>
          </cell>
          <cell r="P42" t="str">
            <v>N/A</v>
          </cell>
          <cell r="Q42" t="str">
            <v>N/A</v>
          </cell>
          <cell r="R42">
            <v>0</v>
          </cell>
          <cell r="S42" t="str">
            <v>N/A</v>
          </cell>
          <cell r="T42" t="str">
            <v>N/A</v>
          </cell>
          <cell r="U42" t="str">
            <v>N/A</v>
          </cell>
          <cell r="V42" t="str">
            <v>N/A</v>
          </cell>
          <cell r="W42">
            <v>0</v>
          </cell>
          <cell r="X42">
            <v>0</v>
          </cell>
          <cell r="Y42">
            <v>0</v>
          </cell>
          <cell r="Z42">
            <v>0</v>
          </cell>
          <cell r="AA42">
            <v>0</v>
          </cell>
          <cell r="AB42">
            <v>0</v>
          </cell>
          <cell r="AC42">
            <v>0</v>
          </cell>
        </row>
        <row r="43">
          <cell r="A43" t="str">
            <v>JUL</v>
          </cell>
          <cell r="B43" t="str">
            <v>Codes &amp; Standards</v>
          </cell>
          <cell r="C43">
            <v>4635754</v>
          </cell>
          <cell r="D43">
            <v>4635754</v>
          </cell>
          <cell r="E43">
            <v>560259.21</v>
          </cell>
          <cell r="F43">
            <v>90976.53</v>
          </cell>
          <cell r="G43" t="str">
            <v>N/A</v>
          </cell>
          <cell r="H43">
            <v>0</v>
          </cell>
          <cell r="I43" t="str">
            <v>N/A</v>
          </cell>
          <cell r="J43" t="str">
            <v>N/A</v>
          </cell>
          <cell r="K43" t="str">
            <v>N/A</v>
          </cell>
          <cell r="L43" t="str">
            <v>N/A</v>
          </cell>
          <cell r="M43">
            <v>0</v>
          </cell>
          <cell r="N43" t="str">
            <v>N/A</v>
          </cell>
          <cell r="O43" t="str">
            <v>N/A</v>
          </cell>
          <cell r="P43" t="str">
            <v>N/A</v>
          </cell>
          <cell r="Q43" t="str">
            <v>N/A</v>
          </cell>
          <cell r="R43">
            <v>0</v>
          </cell>
          <cell r="S43" t="str">
            <v>N/A</v>
          </cell>
          <cell r="T43" t="str">
            <v>N/A</v>
          </cell>
          <cell r="U43" t="str">
            <v>N/A</v>
          </cell>
          <cell r="V43" t="str">
            <v>N/A</v>
          </cell>
          <cell r="W43">
            <v>0</v>
          </cell>
          <cell r="X43">
            <v>0</v>
          </cell>
          <cell r="Y43">
            <v>0</v>
          </cell>
          <cell r="Z43">
            <v>0</v>
          </cell>
          <cell r="AA43">
            <v>0</v>
          </cell>
          <cell r="AB43">
            <v>0</v>
          </cell>
          <cell r="AC43">
            <v>0</v>
          </cell>
        </row>
        <row r="44">
          <cell r="A44" t="str">
            <v>JUL</v>
          </cell>
          <cell r="B44" t="str">
            <v>Emerging Technologies</v>
          </cell>
          <cell r="C44">
            <v>11260376</v>
          </cell>
          <cell r="D44">
            <v>11260376</v>
          </cell>
          <cell r="E44">
            <v>468894.89</v>
          </cell>
          <cell r="F44">
            <v>79534.38</v>
          </cell>
          <cell r="G44" t="str">
            <v>N/A</v>
          </cell>
          <cell r="H44">
            <v>0</v>
          </cell>
          <cell r="I44" t="str">
            <v>N/A</v>
          </cell>
          <cell r="J44" t="str">
            <v>N/A</v>
          </cell>
          <cell r="K44" t="str">
            <v>N/A</v>
          </cell>
          <cell r="L44" t="str">
            <v>N/A</v>
          </cell>
          <cell r="M44">
            <v>0</v>
          </cell>
          <cell r="N44" t="str">
            <v>N/A</v>
          </cell>
          <cell r="O44" t="str">
            <v>N/A</v>
          </cell>
          <cell r="P44" t="str">
            <v>N/A</v>
          </cell>
          <cell r="Q44" t="str">
            <v>N/A</v>
          </cell>
          <cell r="R44">
            <v>0</v>
          </cell>
          <cell r="S44" t="str">
            <v>N/A</v>
          </cell>
          <cell r="T44" t="str">
            <v>N/A</v>
          </cell>
          <cell r="U44" t="str">
            <v>N/A</v>
          </cell>
          <cell r="V44" t="str">
            <v>N/A</v>
          </cell>
          <cell r="W44">
            <v>0</v>
          </cell>
          <cell r="X44">
            <v>0</v>
          </cell>
          <cell r="Y44">
            <v>0</v>
          </cell>
          <cell r="Z44">
            <v>0</v>
          </cell>
          <cell r="AA44">
            <v>0</v>
          </cell>
          <cell r="AB44">
            <v>0</v>
          </cell>
          <cell r="AC44">
            <v>0</v>
          </cell>
        </row>
        <row r="45">
          <cell r="A45" t="str">
            <v>JUL</v>
          </cell>
          <cell r="B45" t="str">
            <v>Statewide Marketing &amp; Info</v>
          </cell>
          <cell r="C45">
            <v>26948382</v>
          </cell>
          <cell r="D45">
            <v>26948382</v>
          </cell>
          <cell r="E45">
            <v>-257.77999999999997</v>
          </cell>
          <cell r="F45">
            <v>145.96</v>
          </cell>
          <cell r="G45" t="str">
            <v>N/A</v>
          </cell>
          <cell r="H45">
            <v>0</v>
          </cell>
          <cell r="I45" t="str">
            <v>N/A</v>
          </cell>
          <cell r="J45" t="str">
            <v>N/A</v>
          </cell>
          <cell r="K45" t="str">
            <v>N/A</v>
          </cell>
          <cell r="L45" t="str">
            <v>N/A</v>
          </cell>
          <cell r="M45">
            <v>0</v>
          </cell>
          <cell r="N45" t="str">
            <v>N/A</v>
          </cell>
          <cell r="O45" t="str">
            <v>N/A</v>
          </cell>
          <cell r="P45" t="str">
            <v>N/A</v>
          </cell>
          <cell r="Q45" t="str">
            <v>N/A</v>
          </cell>
          <cell r="R45">
            <v>0</v>
          </cell>
          <cell r="S45" t="str">
            <v>N/A</v>
          </cell>
          <cell r="T45" t="str">
            <v>N/A</v>
          </cell>
          <cell r="U45" t="str">
            <v>N/A</v>
          </cell>
          <cell r="V45" t="str">
            <v>N/A</v>
          </cell>
          <cell r="W45">
            <v>0</v>
          </cell>
          <cell r="X45">
            <v>0</v>
          </cell>
          <cell r="Y45">
            <v>0</v>
          </cell>
          <cell r="Z45">
            <v>0</v>
          </cell>
          <cell r="AA45">
            <v>0</v>
          </cell>
          <cell r="AB45">
            <v>0</v>
          </cell>
          <cell r="AC45">
            <v>0</v>
          </cell>
        </row>
        <row r="46">
          <cell r="A46" t="str">
            <v>JUL</v>
          </cell>
          <cell r="B46" t="str">
            <v>Low Income EE (3)  (1 YR Budgets/Goals)</v>
          </cell>
          <cell r="C46">
            <v>68760669</v>
          </cell>
          <cell r="D46">
            <v>68760669</v>
          </cell>
          <cell r="E46">
            <v>45723901</v>
          </cell>
          <cell r="F46">
            <v>8709641</v>
          </cell>
          <cell r="G46" t="str">
            <v>N/A</v>
          </cell>
          <cell r="H46">
            <v>0</v>
          </cell>
          <cell r="I46">
            <v>5551</v>
          </cell>
          <cell r="J46">
            <v>3242.2459243600001</v>
          </cell>
          <cell r="K46">
            <v>658.09318242000018</v>
          </cell>
          <cell r="L46" t="str">
            <v>N/A</v>
          </cell>
          <cell r="M46">
            <v>0</v>
          </cell>
          <cell r="N46">
            <v>26282000</v>
          </cell>
          <cell r="O46">
            <v>14583894.85</v>
          </cell>
          <cell r="P46">
            <v>2937047.72</v>
          </cell>
          <cell r="Q46" t="str">
            <v>N/A</v>
          </cell>
          <cell r="R46">
            <v>0</v>
          </cell>
          <cell r="S46">
            <v>1370000</v>
          </cell>
          <cell r="T46">
            <v>727512.56</v>
          </cell>
          <cell r="U46">
            <v>139654.31</v>
          </cell>
          <cell r="V46" t="str">
            <v>N/A</v>
          </cell>
          <cell r="W46">
            <v>0</v>
          </cell>
          <cell r="X46">
            <v>0</v>
          </cell>
          <cell r="Y46">
            <v>0</v>
          </cell>
          <cell r="Z46">
            <v>0</v>
          </cell>
          <cell r="AA46">
            <v>0</v>
          </cell>
          <cell r="AB46">
            <v>0</v>
          </cell>
          <cell r="AC46">
            <v>0</v>
          </cell>
        </row>
        <row r="47">
          <cell r="A47" t="str">
            <v>AUG</v>
          </cell>
          <cell r="B47" t="str">
            <v>Mass Market</v>
          </cell>
          <cell r="C47">
            <v>405857712</v>
          </cell>
          <cell r="D47">
            <v>405857712</v>
          </cell>
          <cell r="E47">
            <v>34277982.011999995</v>
          </cell>
          <cell r="F47">
            <v>8239099.4207999995</v>
          </cell>
          <cell r="G47">
            <v>4292136.01</v>
          </cell>
          <cell r="H47">
            <v>0</v>
          </cell>
          <cell r="I47">
            <v>334053.85427348199</v>
          </cell>
          <cell r="J47">
            <v>52006.54</v>
          </cell>
          <cell r="K47">
            <v>16893.669999999998</v>
          </cell>
          <cell r="L47">
            <v>2615.8883703600004</v>
          </cell>
          <cell r="M47">
            <v>0</v>
          </cell>
          <cell r="N47">
            <v>1728133316.3078108</v>
          </cell>
          <cell r="O47">
            <v>273136443.60000002</v>
          </cell>
          <cell r="P47">
            <v>103457485.34000003</v>
          </cell>
          <cell r="Q47">
            <v>15341883.276973773</v>
          </cell>
          <cell r="R47">
            <v>0</v>
          </cell>
          <cell r="S47">
            <v>15871656.841610486</v>
          </cell>
          <cell r="T47">
            <v>1084387.71</v>
          </cell>
          <cell r="U47">
            <v>269547.36</v>
          </cell>
          <cell r="V47">
            <v>119958.627301</v>
          </cell>
          <cell r="W47">
            <v>0</v>
          </cell>
          <cell r="X47">
            <v>23611810.849999998</v>
          </cell>
          <cell r="Y47">
            <v>4292136.01</v>
          </cell>
          <cell r="Z47">
            <v>0</v>
          </cell>
          <cell r="AA47">
            <v>35112.870000000003</v>
          </cell>
          <cell r="AB47">
            <v>169678958.25999999</v>
          </cell>
          <cell r="AC47">
            <v>814840.35</v>
          </cell>
        </row>
        <row r="48">
          <cell r="A48" t="str">
            <v>AUG</v>
          </cell>
          <cell r="B48" t="str">
            <v>Ag &amp; Food Processing</v>
          </cell>
          <cell r="C48">
            <v>47523134</v>
          </cell>
          <cell r="D48">
            <v>47523134</v>
          </cell>
          <cell r="E48">
            <v>1971240.1984999997</v>
          </cell>
          <cell r="F48">
            <v>412343.38089999999</v>
          </cell>
          <cell r="G48">
            <v>2130474.2000000002</v>
          </cell>
          <cell r="H48">
            <v>0</v>
          </cell>
          <cell r="I48">
            <v>22797.08846466984</v>
          </cell>
          <cell r="J48">
            <v>155.97999999999999</v>
          </cell>
          <cell r="K48">
            <v>118.99</v>
          </cell>
          <cell r="L48">
            <v>3884.3809999999999</v>
          </cell>
          <cell r="M48">
            <v>0</v>
          </cell>
          <cell r="N48">
            <v>164346860.9940128</v>
          </cell>
          <cell r="O48">
            <v>1533900.66</v>
          </cell>
          <cell r="P48">
            <v>953983.5</v>
          </cell>
          <cell r="Q48">
            <v>11986031.710000001</v>
          </cell>
          <cell r="R48">
            <v>0</v>
          </cell>
          <cell r="S48">
            <v>3082951.7327311719</v>
          </cell>
          <cell r="T48">
            <v>5103</v>
          </cell>
          <cell r="U48">
            <v>0</v>
          </cell>
          <cell r="V48">
            <v>1118820.3600000001</v>
          </cell>
          <cell r="W48">
            <v>0</v>
          </cell>
          <cell r="X48">
            <v>114243.93</v>
          </cell>
          <cell r="Y48">
            <v>2130474.2000000002</v>
          </cell>
          <cell r="Z48">
            <v>0</v>
          </cell>
          <cell r="AA48">
            <v>36.99</v>
          </cell>
          <cell r="AB48">
            <v>579917.16</v>
          </cell>
          <cell r="AC48">
            <v>5103</v>
          </cell>
        </row>
        <row r="49">
          <cell r="A49" t="str">
            <v>AUG</v>
          </cell>
          <cell r="B49" t="str">
            <v>Schools &amp; Colleges</v>
          </cell>
          <cell r="C49">
            <v>47568591</v>
          </cell>
          <cell r="D49">
            <v>47568591</v>
          </cell>
          <cell r="E49">
            <v>1420198.2905000001</v>
          </cell>
          <cell r="F49">
            <v>214531.73570000002</v>
          </cell>
          <cell r="G49">
            <v>144444.32</v>
          </cell>
          <cell r="H49">
            <v>0</v>
          </cell>
          <cell r="I49">
            <v>28892.278794176014</v>
          </cell>
          <cell r="J49">
            <v>113.98</v>
          </cell>
          <cell r="K49">
            <v>38.130000000000003</v>
          </cell>
          <cell r="L49">
            <v>179.19499999999999</v>
          </cell>
          <cell r="M49">
            <v>0</v>
          </cell>
          <cell r="N49">
            <v>128046825.56012681</v>
          </cell>
          <cell r="O49">
            <v>201480.56</v>
          </cell>
          <cell r="P49">
            <v>69867.28</v>
          </cell>
          <cell r="Q49">
            <v>1022404.58</v>
          </cell>
          <cell r="R49">
            <v>0</v>
          </cell>
          <cell r="S49">
            <v>2635794.0523105087</v>
          </cell>
          <cell r="T49">
            <v>-38.54</v>
          </cell>
          <cell r="U49">
            <v>-38.54</v>
          </cell>
          <cell r="V49">
            <v>-3039.7</v>
          </cell>
          <cell r="W49">
            <v>0</v>
          </cell>
          <cell r="X49">
            <v>49956</v>
          </cell>
          <cell r="Y49">
            <v>144444.32</v>
          </cell>
          <cell r="Z49">
            <v>0</v>
          </cell>
          <cell r="AA49">
            <v>75.849999999999994</v>
          </cell>
          <cell r="AB49">
            <v>131613.28</v>
          </cell>
          <cell r="AC49">
            <v>0</v>
          </cell>
        </row>
        <row r="50">
          <cell r="A50" t="str">
            <v>AUG</v>
          </cell>
          <cell r="B50" t="str">
            <v>Retail Stores</v>
          </cell>
          <cell r="C50">
            <v>20850872</v>
          </cell>
          <cell r="D50">
            <v>20850872</v>
          </cell>
          <cell r="E50">
            <v>884694.01199999987</v>
          </cell>
          <cell r="F50">
            <v>147178.34279999998</v>
          </cell>
          <cell r="G50">
            <v>143758.18</v>
          </cell>
          <cell r="H50">
            <v>0</v>
          </cell>
          <cell r="I50">
            <v>21271.596533140018</v>
          </cell>
          <cell r="J50">
            <v>77.180000000000007</v>
          </cell>
          <cell r="K50">
            <v>43.4</v>
          </cell>
          <cell r="L50">
            <v>514.50799999999992</v>
          </cell>
          <cell r="M50">
            <v>0</v>
          </cell>
          <cell r="N50">
            <v>125946107.22913301</v>
          </cell>
          <cell r="O50">
            <v>566047.69999999995</v>
          </cell>
          <cell r="P50">
            <v>174328.05</v>
          </cell>
          <cell r="Q50">
            <v>1909476.9210000001</v>
          </cell>
          <cell r="R50">
            <v>0</v>
          </cell>
          <cell r="S50">
            <v>17583.588</v>
          </cell>
          <cell r="T50">
            <v>3103.1</v>
          </cell>
          <cell r="U50">
            <v>0</v>
          </cell>
          <cell r="V50">
            <v>-1955.22</v>
          </cell>
          <cell r="W50">
            <v>0</v>
          </cell>
          <cell r="X50">
            <v>48464.99</v>
          </cell>
          <cell r="Y50">
            <v>143758.18</v>
          </cell>
          <cell r="Z50">
            <v>0</v>
          </cell>
          <cell r="AA50">
            <v>33.78</v>
          </cell>
          <cell r="AB50">
            <v>391719.65</v>
          </cell>
          <cell r="AC50">
            <v>3103.1</v>
          </cell>
        </row>
        <row r="51">
          <cell r="A51" t="str">
            <v>AUG</v>
          </cell>
          <cell r="B51" t="str">
            <v>Fab, Prcss &amp; Hvy Indl Mfg</v>
          </cell>
          <cell r="C51">
            <v>121849249</v>
          </cell>
          <cell r="D51">
            <v>121849249</v>
          </cell>
          <cell r="E51">
            <v>2592576.7240000004</v>
          </cell>
          <cell r="F51">
            <v>302562.94559999998</v>
          </cell>
          <cell r="G51">
            <v>7520118.7400000002</v>
          </cell>
          <cell r="H51">
            <v>0</v>
          </cell>
          <cell r="I51">
            <v>69225.227525006732</v>
          </cell>
          <cell r="J51">
            <v>242.75</v>
          </cell>
          <cell r="K51">
            <v>0</v>
          </cell>
          <cell r="L51">
            <v>10791.164000000001</v>
          </cell>
          <cell r="M51">
            <v>0</v>
          </cell>
          <cell r="N51">
            <v>475376401.45399302</v>
          </cell>
          <cell r="O51">
            <v>1885114.22</v>
          </cell>
          <cell r="P51">
            <v>0</v>
          </cell>
          <cell r="Q51">
            <v>73538767.942000002</v>
          </cell>
          <cell r="R51">
            <v>0</v>
          </cell>
          <cell r="S51">
            <v>18198035.099455945</v>
          </cell>
          <cell r="T51">
            <v>499093</v>
          </cell>
          <cell r="U51">
            <v>0</v>
          </cell>
          <cell r="V51">
            <v>3016866.8559999997</v>
          </cell>
          <cell r="W51">
            <v>0</v>
          </cell>
          <cell r="X51">
            <v>482705.65</v>
          </cell>
          <cell r="Y51">
            <v>7520118.7400000002</v>
          </cell>
          <cell r="Z51">
            <v>0</v>
          </cell>
          <cell r="AA51">
            <v>242.75</v>
          </cell>
          <cell r="AB51">
            <v>1885114.22</v>
          </cell>
          <cell r="AC51">
            <v>499093</v>
          </cell>
        </row>
        <row r="52">
          <cell r="A52" t="str">
            <v>AUG</v>
          </cell>
          <cell r="B52" t="str">
            <v>Hi-Tech Facilities</v>
          </cell>
          <cell r="C52">
            <v>11759803</v>
          </cell>
          <cell r="D52">
            <v>11759803</v>
          </cell>
          <cell r="E52">
            <v>1047315.8735</v>
          </cell>
          <cell r="F52">
            <v>191924.02189999999</v>
          </cell>
          <cell r="G52">
            <v>865241.8</v>
          </cell>
          <cell r="H52">
            <v>0</v>
          </cell>
          <cell r="I52">
            <v>6532.0886490478697</v>
          </cell>
          <cell r="J52">
            <v>46.55</v>
          </cell>
          <cell r="K52">
            <v>0</v>
          </cell>
          <cell r="L52">
            <v>1306.748</v>
          </cell>
          <cell r="M52">
            <v>0</v>
          </cell>
          <cell r="N52">
            <v>44364926.587099597</v>
          </cell>
          <cell r="O52">
            <v>232370.6</v>
          </cell>
          <cell r="P52">
            <v>0</v>
          </cell>
          <cell r="Q52">
            <v>16375879.432</v>
          </cell>
          <cell r="R52">
            <v>0</v>
          </cell>
          <cell r="S52">
            <v>25523.813309561065</v>
          </cell>
          <cell r="T52">
            <v>0</v>
          </cell>
          <cell r="U52">
            <v>0</v>
          </cell>
          <cell r="V52">
            <v>128778.63</v>
          </cell>
          <cell r="W52">
            <v>0</v>
          </cell>
          <cell r="X52">
            <v>24155.5</v>
          </cell>
          <cell r="Y52">
            <v>865241.8</v>
          </cell>
          <cell r="Z52">
            <v>0</v>
          </cell>
          <cell r="AA52">
            <v>46.55</v>
          </cell>
          <cell r="AB52">
            <v>232370.6</v>
          </cell>
          <cell r="AC52">
            <v>0</v>
          </cell>
        </row>
        <row r="53">
          <cell r="A53" t="str">
            <v>AUG</v>
          </cell>
          <cell r="B53" t="str">
            <v>Medical Facilities</v>
          </cell>
          <cell r="C53">
            <v>21407152</v>
          </cell>
          <cell r="D53">
            <v>21407152</v>
          </cell>
          <cell r="E53">
            <v>466603.57699999999</v>
          </cell>
          <cell r="F53">
            <v>73606.703799999988</v>
          </cell>
          <cell r="G53">
            <v>302506.34000000003</v>
          </cell>
          <cell r="H53">
            <v>0</v>
          </cell>
          <cell r="I53">
            <v>27753.153177169657</v>
          </cell>
          <cell r="J53">
            <v>0</v>
          </cell>
          <cell r="K53">
            <v>0</v>
          </cell>
          <cell r="L53">
            <v>120.82</v>
          </cell>
          <cell r="M53">
            <v>0</v>
          </cell>
          <cell r="N53">
            <v>68661112.057484001</v>
          </cell>
          <cell r="O53">
            <v>0</v>
          </cell>
          <cell r="P53">
            <v>0</v>
          </cell>
          <cell r="Q53">
            <v>1492760.5</v>
          </cell>
          <cell r="R53">
            <v>0</v>
          </cell>
          <cell r="S53">
            <v>494605</v>
          </cell>
          <cell r="T53">
            <v>0</v>
          </cell>
          <cell r="U53">
            <v>0</v>
          </cell>
          <cell r="V53">
            <v>6978.3</v>
          </cell>
          <cell r="W53">
            <v>0</v>
          </cell>
          <cell r="X53">
            <v>0</v>
          </cell>
          <cell r="Y53">
            <v>302506.34000000003</v>
          </cell>
          <cell r="Z53">
            <v>0</v>
          </cell>
          <cell r="AA53">
            <v>0</v>
          </cell>
          <cell r="AB53">
            <v>0</v>
          </cell>
          <cell r="AC53">
            <v>0</v>
          </cell>
        </row>
        <row r="54">
          <cell r="A54" t="str">
            <v>AUG</v>
          </cell>
          <cell r="B54" t="str">
            <v>Large Commercial</v>
          </cell>
          <cell r="C54">
            <v>68595302</v>
          </cell>
          <cell r="D54">
            <v>68595302</v>
          </cell>
          <cell r="E54">
            <v>2445949.743999999</v>
          </cell>
          <cell r="F54">
            <v>393456.31760000001</v>
          </cell>
          <cell r="G54">
            <v>2402742.17</v>
          </cell>
          <cell r="H54">
            <v>0</v>
          </cell>
          <cell r="I54">
            <v>73838.296918087362</v>
          </cell>
          <cell r="J54">
            <v>198.02</v>
          </cell>
          <cell r="K54">
            <v>25.75</v>
          </cell>
          <cell r="L54">
            <v>3544.9059999999995</v>
          </cell>
          <cell r="M54">
            <v>0</v>
          </cell>
          <cell r="N54">
            <v>219609296.0400379</v>
          </cell>
          <cell r="O54">
            <v>1348040.47</v>
          </cell>
          <cell r="P54">
            <v>152989.20000000001</v>
          </cell>
          <cell r="Q54">
            <v>14077233.262</v>
          </cell>
          <cell r="R54">
            <v>0</v>
          </cell>
          <cell r="S54">
            <v>2224825.1578322467</v>
          </cell>
          <cell r="T54">
            <v>3919.3</v>
          </cell>
          <cell r="U54">
            <v>0</v>
          </cell>
          <cell r="V54">
            <v>685694.92</v>
          </cell>
          <cell r="W54">
            <v>0</v>
          </cell>
          <cell r="X54">
            <v>174436.52</v>
          </cell>
          <cell r="Y54">
            <v>2402742.17</v>
          </cell>
          <cell r="Z54">
            <v>0</v>
          </cell>
          <cell r="AA54">
            <v>172.27</v>
          </cell>
          <cell r="AB54">
            <v>1195051.27</v>
          </cell>
          <cell r="AC54">
            <v>3919.3</v>
          </cell>
        </row>
        <row r="55">
          <cell r="A55" t="str">
            <v>AUG</v>
          </cell>
          <cell r="B55" t="str">
            <v>Hospitality Facilities</v>
          </cell>
          <cell r="C55">
            <v>11793097</v>
          </cell>
          <cell r="D55">
            <v>11793097</v>
          </cell>
          <cell r="E55">
            <v>785629.05749999988</v>
          </cell>
          <cell r="F55">
            <v>118814.1195</v>
          </cell>
          <cell r="G55">
            <v>85280.18</v>
          </cell>
          <cell r="H55">
            <v>0</v>
          </cell>
          <cell r="I55">
            <v>7577.0826254285475</v>
          </cell>
          <cell r="J55">
            <v>0</v>
          </cell>
          <cell r="K55">
            <v>0</v>
          </cell>
          <cell r="L55">
            <v>40.01</v>
          </cell>
          <cell r="M55">
            <v>0</v>
          </cell>
          <cell r="N55">
            <v>37330060.295922801</v>
          </cell>
          <cell r="O55">
            <v>0</v>
          </cell>
          <cell r="P55">
            <v>0</v>
          </cell>
          <cell r="Q55">
            <v>636466.96</v>
          </cell>
          <cell r="R55">
            <v>0</v>
          </cell>
          <cell r="S55">
            <v>33302.25</v>
          </cell>
          <cell r="T55">
            <v>437.5</v>
          </cell>
          <cell r="U55">
            <v>0</v>
          </cell>
          <cell r="V55">
            <v>10331.033000000001</v>
          </cell>
          <cell r="W55">
            <v>0</v>
          </cell>
          <cell r="X55">
            <v>75</v>
          </cell>
          <cell r="Y55">
            <v>85280.18</v>
          </cell>
          <cell r="Z55">
            <v>0</v>
          </cell>
          <cell r="AA55">
            <v>0</v>
          </cell>
          <cell r="AB55">
            <v>0</v>
          </cell>
          <cell r="AC55">
            <v>437.5</v>
          </cell>
        </row>
        <row r="56">
          <cell r="A56" t="str">
            <v>AUG</v>
          </cell>
          <cell r="B56" t="str">
            <v>Res New Construction</v>
          </cell>
          <cell r="C56">
            <v>26264217</v>
          </cell>
          <cell r="D56">
            <v>26264217</v>
          </cell>
          <cell r="E56">
            <v>1517996.6939999997</v>
          </cell>
          <cell r="F56">
            <v>288986.52760000003</v>
          </cell>
          <cell r="G56">
            <v>1476680</v>
          </cell>
          <cell r="H56">
            <v>0</v>
          </cell>
          <cell r="I56">
            <v>9015.1305056540205</v>
          </cell>
          <cell r="J56">
            <v>0.18</v>
          </cell>
          <cell r="K56">
            <v>0</v>
          </cell>
          <cell r="L56">
            <v>881.09011999999996</v>
          </cell>
          <cell r="M56">
            <v>0</v>
          </cell>
          <cell r="N56">
            <v>13357136.488374671</v>
          </cell>
          <cell r="O56">
            <v>600.79999999999995</v>
          </cell>
          <cell r="P56">
            <v>0</v>
          </cell>
          <cell r="Q56">
            <v>971890.4</v>
          </cell>
          <cell r="R56">
            <v>0</v>
          </cell>
          <cell r="S56">
            <v>2454487.1347570699</v>
          </cell>
          <cell r="T56">
            <v>46.37</v>
          </cell>
          <cell r="U56">
            <v>0.58999999999999631</v>
          </cell>
          <cell r="V56">
            <v>328115.74400000001</v>
          </cell>
          <cell r="W56">
            <v>0</v>
          </cell>
          <cell r="X56">
            <v>29520</v>
          </cell>
          <cell r="Y56">
            <v>1476680</v>
          </cell>
          <cell r="Z56">
            <v>0</v>
          </cell>
          <cell r="AA56">
            <v>0.18</v>
          </cell>
          <cell r="AB56">
            <v>600.79999999999995</v>
          </cell>
          <cell r="AC56">
            <v>45.78</v>
          </cell>
        </row>
        <row r="57">
          <cell r="A57" t="str">
            <v>AUG</v>
          </cell>
          <cell r="B57" t="str">
            <v>Education &amp; Training</v>
          </cell>
          <cell r="C57">
            <v>41154602</v>
          </cell>
          <cell r="D57">
            <v>41154602</v>
          </cell>
          <cell r="E57">
            <v>5351447.017</v>
          </cell>
          <cell r="F57">
            <v>1115895.7637999998</v>
          </cell>
          <cell r="G57" t="str">
            <v>N/A</v>
          </cell>
          <cell r="H57">
            <v>0</v>
          </cell>
          <cell r="I57" t="str">
            <v>N/A</v>
          </cell>
          <cell r="J57" t="str">
            <v>N/A</v>
          </cell>
          <cell r="K57" t="str">
            <v>N/A</v>
          </cell>
          <cell r="L57" t="str">
            <v>N/A</v>
          </cell>
          <cell r="M57">
            <v>0</v>
          </cell>
          <cell r="N57" t="str">
            <v>N/A</v>
          </cell>
          <cell r="O57" t="str">
            <v>N/A</v>
          </cell>
          <cell r="P57" t="str">
            <v>N/A</v>
          </cell>
          <cell r="Q57" t="str">
            <v>N/A</v>
          </cell>
          <cell r="R57">
            <v>0</v>
          </cell>
          <cell r="S57" t="str">
            <v>N/A</v>
          </cell>
          <cell r="T57" t="str">
            <v>N/A</v>
          </cell>
          <cell r="U57" t="str">
            <v>N/A</v>
          </cell>
          <cell r="V57" t="str">
            <v>N/A</v>
          </cell>
          <cell r="W57">
            <v>0</v>
          </cell>
          <cell r="X57" t="str">
            <v>N/A</v>
          </cell>
          <cell r="Y57" t="str">
            <v>N/A</v>
          </cell>
          <cell r="Z57">
            <v>0</v>
          </cell>
          <cell r="AA57" t="str">
            <v>N/A</v>
          </cell>
          <cell r="AB57" t="str">
            <v>N/A</v>
          </cell>
          <cell r="AC57" t="str">
            <v>N/A</v>
          </cell>
        </row>
        <row r="58">
          <cell r="A58" t="str">
            <v>AUG</v>
          </cell>
          <cell r="B58" t="str">
            <v>Codes &amp; Standards</v>
          </cell>
          <cell r="C58">
            <v>4635754</v>
          </cell>
          <cell r="D58">
            <v>4635754</v>
          </cell>
          <cell r="E58">
            <v>690371.36</v>
          </cell>
          <cell r="F58">
            <v>130112.15</v>
          </cell>
          <cell r="G58" t="str">
            <v>N/A</v>
          </cell>
          <cell r="H58">
            <v>0</v>
          </cell>
          <cell r="I58" t="str">
            <v>N/A</v>
          </cell>
          <cell r="J58" t="str">
            <v>N/A</v>
          </cell>
          <cell r="K58" t="str">
            <v>N/A</v>
          </cell>
          <cell r="L58" t="str">
            <v>N/A</v>
          </cell>
          <cell r="M58">
            <v>0</v>
          </cell>
          <cell r="N58" t="str">
            <v>N/A</v>
          </cell>
          <cell r="O58" t="str">
            <v>N/A</v>
          </cell>
          <cell r="P58" t="str">
            <v>N/A</v>
          </cell>
          <cell r="Q58" t="str">
            <v>N/A</v>
          </cell>
          <cell r="R58">
            <v>0</v>
          </cell>
          <cell r="S58" t="str">
            <v>N/A</v>
          </cell>
          <cell r="T58" t="str">
            <v>N/A</v>
          </cell>
          <cell r="U58" t="str">
            <v>N/A</v>
          </cell>
          <cell r="V58" t="str">
            <v>N/A</v>
          </cell>
          <cell r="W58">
            <v>0</v>
          </cell>
          <cell r="X58" t="str">
            <v>N/A</v>
          </cell>
          <cell r="Y58" t="str">
            <v>N/A</v>
          </cell>
          <cell r="Z58">
            <v>0</v>
          </cell>
          <cell r="AA58" t="str">
            <v>N/A</v>
          </cell>
          <cell r="AB58" t="str">
            <v>N/A</v>
          </cell>
          <cell r="AC58" t="str">
            <v>N/A</v>
          </cell>
        </row>
        <row r="59">
          <cell r="A59" t="str">
            <v>AUG</v>
          </cell>
          <cell r="B59" t="str">
            <v>Emerging Technologies</v>
          </cell>
          <cell r="C59">
            <v>11260376</v>
          </cell>
          <cell r="D59">
            <v>11260376</v>
          </cell>
          <cell r="E59">
            <v>630891.18000000005</v>
          </cell>
          <cell r="F59">
            <v>161996.29</v>
          </cell>
          <cell r="G59" t="str">
            <v>N/A</v>
          </cell>
          <cell r="H59">
            <v>0</v>
          </cell>
          <cell r="I59" t="str">
            <v>N/A</v>
          </cell>
          <cell r="J59" t="str">
            <v>N/A</v>
          </cell>
          <cell r="K59" t="str">
            <v>N/A</v>
          </cell>
          <cell r="L59" t="str">
            <v>N/A</v>
          </cell>
          <cell r="M59">
            <v>0</v>
          </cell>
          <cell r="N59" t="str">
            <v>N/A</v>
          </cell>
          <cell r="O59" t="str">
            <v>N/A</v>
          </cell>
          <cell r="P59" t="str">
            <v>N/A</v>
          </cell>
          <cell r="Q59" t="str">
            <v>N/A</v>
          </cell>
          <cell r="R59">
            <v>0</v>
          </cell>
          <cell r="S59" t="str">
            <v>N/A</v>
          </cell>
          <cell r="T59" t="str">
            <v>N/A</v>
          </cell>
          <cell r="U59" t="str">
            <v>N/A</v>
          </cell>
          <cell r="V59" t="str">
            <v>N/A</v>
          </cell>
          <cell r="W59">
            <v>0</v>
          </cell>
          <cell r="X59" t="str">
            <v>N/A</v>
          </cell>
          <cell r="Y59" t="str">
            <v>N/A</v>
          </cell>
          <cell r="Z59">
            <v>0</v>
          </cell>
          <cell r="AA59" t="str">
            <v>N/A</v>
          </cell>
          <cell r="AB59" t="str">
            <v>N/A</v>
          </cell>
          <cell r="AC59" t="str">
            <v>N/A</v>
          </cell>
        </row>
        <row r="60">
          <cell r="A60" t="str">
            <v>AUG</v>
          </cell>
          <cell r="B60" t="str">
            <v>Statewide Marketing &amp; Info</v>
          </cell>
          <cell r="C60">
            <v>26948382</v>
          </cell>
          <cell r="D60">
            <v>26948382</v>
          </cell>
          <cell r="E60">
            <v>-257.77999999999997</v>
          </cell>
          <cell r="F60">
            <v>0</v>
          </cell>
          <cell r="G60" t="str">
            <v>N/A</v>
          </cell>
          <cell r="H60">
            <v>0</v>
          </cell>
          <cell r="I60" t="str">
            <v>N/A</v>
          </cell>
          <cell r="J60" t="str">
            <v>N/A</v>
          </cell>
          <cell r="K60" t="str">
            <v>N/A</v>
          </cell>
          <cell r="L60" t="str">
            <v>N/A</v>
          </cell>
          <cell r="M60">
            <v>0</v>
          </cell>
          <cell r="N60" t="str">
            <v>N/A</v>
          </cell>
          <cell r="O60" t="str">
            <v>N/A</v>
          </cell>
          <cell r="P60" t="str">
            <v>N/A</v>
          </cell>
          <cell r="Q60" t="str">
            <v>N/A</v>
          </cell>
          <cell r="R60">
            <v>0</v>
          </cell>
          <cell r="S60" t="str">
            <v>N/A</v>
          </cell>
          <cell r="T60" t="str">
            <v>N/A</v>
          </cell>
          <cell r="U60" t="str">
            <v>N/A</v>
          </cell>
          <cell r="V60" t="str">
            <v>N/A</v>
          </cell>
          <cell r="W60">
            <v>0</v>
          </cell>
          <cell r="X60" t="str">
            <v>N/A</v>
          </cell>
          <cell r="Y60" t="str">
            <v>N/A</v>
          </cell>
          <cell r="Z60">
            <v>0</v>
          </cell>
          <cell r="AA60" t="str">
            <v>N/A</v>
          </cell>
          <cell r="AB60" t="str">
            <v>N/A</v>
          </cell>
          <cell r="AC60" t="str">
            <v>N/A</v>
          </cell>
        </row>
        <row r="61">
          <cell r="A61" t="str">
            <v>AUG</v>
          </cell>
          <cell r="B61" t="str">
            <v>Low Income EE (3)  (1 YR Budgets/Goals)</v>
          </cell>
          <cell r="C61">
            <v>90094498</v>
          </cell>
          <cell r="D61">
            <v>90094498</v>
          </cell>
          <cell r="E61">
            <v>53829090.329999998</v>
          </cell>
          <cell r="F61">
            <v>8105189.0999999996</v>
          </cell>
          <cell r="G61" t="str">
            <v>N/A</v>
          </cell>
          <cell r="H61">
            <v>0</v>
          </cell>
          <cell r="I61">
            <v>5551</v>
          </cell>
          <cell r="J61">
            <v>3807.1372814199999</v>
          </cell>
          <cell r="K61">
            <v>576.62369693000028</v>
          </cell>
          <cell r="L61" t="str">
            <v>N/A</v>
          </cell>
          <cell r="M61">
            <v>0</v>
          </cell>
          <cell r="N61">
            <v>26282000</v>
          </cell>
          <cell r="O61">
            <v>17218215.84</v>
          </cell>
          <cell r="P61">
            <v>2694761.7</v>
          </cell>
          <cell r="Q61" t="str">
            <v>N/A</v>
          </cell>
          <cell r="R61">
            <v>0</v>
          </cell>
          <cell r="S61">
            <v>1370000</v>
          </cell>
          <cell r="T61">
            <v>863456.93</v>
          </cell>
          <cell r="U61">
            <v>139432.26999999999</v>
          </cell>
          <cell r="V61" t="str">
            <v>N/A</v>
          </cell>
          <cell r="W61">
            <v>0</v>
          </cell>
          <cell r="X61" t="str">
            <v>N/A</v>
          </cell>
          <cell r="Y61" t="str">
            <v>N/A</v>
          </cell>
          <cell r="Z61">
            <v>0</v>
          </cell>
          <cell r="AA61">
            <v>3230.5135844899996</v>
          </cell>
          <cell r="AB61">
            <v>14523454.140000001</v>
          </cell>
          <cell r="AC61">
            <v>724024.66</v>
          </cell>
        </row>
        <row r="62">
          <cell r="A62" t="str">
            <v>SEPT</v>
          </cell>
          <cell r="B62" t="str">
            <v>Mass Market</v>
          </cell>
          <cell r="C62">
            <v>405857712</v>
          </cell>
          <cell r="D62">
            <v>405857712</v>
          </cell>
          <cell r="E62">
            <v>42818840.755199999</v>
          </cell>
          <cell r="F62">
            <v>8119340.6316</v>
          </cell>
          <cell r="G62">
            <v>5217562.8099999996</v>
          </cell>
          <cell r="H62">
            <v>0</v>
          </cell>
          <cell r="I62">
            <v>334053.85427348199</v>
          </cell>
          <cell r="J62">
            <v>66729.039999999994</v>
          </cell>
          <cell r="K62">
            <v>14722.5</v>
          </cell>
          <cell r="L62">
            <v>3772.5993255931003</v>
          </cell>
          <cell r="M62">
            <v>0</v>
          </cell>
          <cell r="N62">
            <v>1728133316.3078108</v>
          </cell>
          <cell r="O62">
            <v>361917899.5399999</v>
          </cell>
          <cell r="P62">
            <v>88781455.939999878</v>
          </cell>
          <cell r="Q62">
            <v>22096673.345600158</v>
          </cell>
          <cell r="R62">
            <v>0</v>
          </cell>
          <cell r="S62">
            <v>15871656.841610486</v>
          </cell>
          <cell r="T62">
            <v>1254399.18</v>
          </cell>
          <cell r="U62">
            <v>170011.47</v>
          </cell>
          <cell r="V62">
            <v>239905.62005299999</v>
          </cell>
          <cell r="W62">
            <v>0</v>
          </cell>
          <cell r="X62">
            <v>29343976.699999999</v>
          </cell>
          <cell r="Y62">
            <v>5217562.8099999996</v>
          </cell>
          <cell r="Z62">
            <v>0</v>
          </cell>
          <cell r="AA62">
            <v>52006.54</v>
          </cell>
          <cell r="AB62">
            <v>273136443.60000002</v>
          </cell>
          <cell r="AC62">
            <v>1084387.71</v>
          </cell>
        </row>
        <row r="63">
          <cell r="A63" t="str">
            <v>SEPT</v>
          </cell>
          <cell r="B63" t="str">
            <v>Ag &amp; Food Processing</v>
          </cell>
          <cell r="C63">
            <v>47523134</v>
          </cell>
          <cell r="D63">
            <v>47523134</v>
          </cell>
          <cell r="E63">
            <v>2256618.8420999995</v>
          </cell>
          <cell r="F63">
            <v>354317.48180000001</v>
          </cell>
          <cell r="G63">
            <v>2322850.9700000002</v>
          </cell>
          <cell r="H63">
            <v>0</v>
          </cell>
          <cell r="I63">
            <v>22797.08846466984</v>
          </cell>
          <cell r="J63">
            <v>262.98</v>
          </cell>
          <cell r="K63">
            <v>107</v>
          </cell>
          <cell r="L63">
            <v>3822.4110000000005</v>
          </cell>
          <cell r="M63">
            <v>0</v>
          </cell>
          <cell r="N63">
            <v>164346860.9940128</v>
          </cell>
          <cell r="O63">
            <v>2236908.84</v>
          </cell>
          <cell r="P63">
            <v>703008.18</v>
          </cell>
          <cell r="Q63">
            <v>10939039.649999999</v>
          </cell>
          <cell r="R63">
            <v>0</v>
          </cell>
          <cell r="S63">
            <v>3082951.7327311719</v>
          </cell>
          <cell r="T63">
            <v>-6702.54</v>
          </cell>
          <cell r="U63">
            <v>-11805.54</v>
          </cell>
          <cell r="V63">
            <v>1606145.84</v>
          </cell>
          <cell r="W63">
            <v>0</v>
          </cell>
          <cell r="X63">
            <v>183057.53</v>
          </cell>
          <cell r="Y63">
            <v>2322850.9700000002</v>
          </cell>
          <cell r="Z63">
            <v>0</v>
          </cell>
          <cell r="AA63">
            <v>155.97999999999999</v>
          </cell>
          <cell r="AB63">
            <v>1533900.66</v>
          </cell>
          <cell r="AC63">
            <v>5103</v>
          </cell>
        </row>
        <row r="64">
          <cell r="A64" t="str">
            <v>SEPT</v>
          </cell>
          <cell r="B64" t="str">
            <v>Schools &amp; Colleges</v>
          </cell>
          <cell r="C64">
            <v>47568591</v>
          </cell>
          <cell r="D64">
            <v>47568591</v>
          </cell>
          <cell r="E64">
            <v>1657170.5933000001</v>
          </cell>
          <cell r="F64">
            <v>273824.15140000003</v>
          </cell>
          <cell r="G64">
            <v>1512787.88</v>
          </cell>
          <cell r="H64">
            <v>0</v>
          </cell>
          <cell r="I64">
            <v>28892.278794176014</v>
          </cell>
          <cell r="J64">
            <v>113.98</v>
          </cell>
          <cell r="K64">
            <v>0</v>
          </cell>
          <cell r="L64">
            <v>2299.5949999999998</v>
          </cell>
          <cell r="M64">
            <v>0</v>
          </cell>
          <cell r="N64">
            <v>128046825.56012681</v>
          </cell>
          <cell r="O64">
            <v>201480.56</v>
          </cell>
          <cell r="P64">
            <v>0</v>
          </cell>
          <cell r="Q64">
            <v>4939893.1399999997</v>
          </cell>
          <cell r="R64">
            <v>0</v>
          </cell>
          <cell r="S64">
            <v>2635794.0523105087</v>
          </cell>
          <cell r="T64">
            <v>-38.54</v>
          </cell>
          <cell r="U64">
            <v>0</v>
          </cell>
          <cell r="V64">
            <v>284526.2</v>
          </cell>
          <cell r="W64">
            <v>0</v>
          </cell>
          <cell r="X64">
            <v>49956</v>
          </cell>
          <cell r="Y64">
            <v>1512787.88</v>
          </cell>
          <cell r="Z64">
            <v>0</v>
          </cell>
          <cell r="AA64">
            <v>113.98</v>
          </cell>
          <cell r="AB64">
            <v>201480.56</v>
          </cell>
          <cell r="AC64">
            <v>-38.54</v>
          </cell>
        </row>
        <row r="65">
          <cell r="A65" t="str">
            <v>SEPT</v>
          </cell>
          <cell r="B65" t="str">
            <v>Retail Stores</v>
          </cell>
          <cell r="C65">
            <v>20850872</v>
          </cell>
          <cell r="D65">
            <v>20850872</v>
          </cell>
          <cell r="E65">
            <v>951631.33319999999</v>
          </cell>
          <cell r="F65">
            <v>109733.55560000001</v>
          </cell>
          <cell r="G65">
            <v>158445.03</v>
          </cell>
          <cell r="H65">
            <v>0</v>
          </cell>
          <cell r="I65">
            <v>21271.596533140018</v>
          </cell>
          <cell r="J65">
            <v>84.23</v>
          </cell>
          <cell r="K65">
            <v>7.05</v>
          </cell>
          <cell r="L65">
            <v>553.09</v>
          </cell>
          <cell r="M65">
            <v>0</v>
          </cell>
          <cell r="N65">
            <v>125946107.22913301</v>
          </cell>
          <cell r="O65">
            <v>582307.48</v>
          </cell>
          <cell r="P65">
            <v>16259.78</v>
          </cell>
          <cell r="Q65">
            <v>2101850.4010000001</v>
          </cell>
          <cell r="R65">
            <v>0</v>
          </cell>
          <cell r="S65">
            <v>17583.588</v>
          </cell>
          <cell r="T65">
            <v>3167.88</v>
          </cell>
          <cell r="U65">
            <v>64.7800000000002</v>
          </cell>
          <cell r="V65">
            <v>-2439.42</v>
          </cell>
          <cell r="W65">
            <v>0</v>
          </cell>
          <cell r="X65">
            <v>50938.99</v>
          </cell>
          <cell r="Y65">
            <v>158445.03</v>
          </cell>
          <cell r="Z65">
            <v>0</v>
          </cell>
          <cell r="AA65">
            <v>77.180000000000007</v>
          </cell>
          <cell r="AB65">
            <v>566047.69999999995</v>
          </cell>
          <cell r="AC65">
            <v>3103.1</v>
          </cell>
        </row>
        <row r="66">
          <cell r="A66" t="str">
            <v>SEPT</v>
          </cell>
          <cell r="B66" t="str">
            <v>Fab, Prcss &amp; Hvy Indl Mfg</v>
          </cell>
          <cell r="C66">
            <v>121849249</v>
          </cell>
          <cell r="D66">
            <v>121849249</v>
          </cell>
          <cell r="E66">
            <v>3356556.0463999999</v>
          </cell>
          <cell r="F66">
            <v>833293.96120000002</v>
          </cell>
          <cell r="G66">
            <v>8030752.6199999992</v>
          </cell>
          <cell r="H66">
            <v>0</v>
          </cell>
          <cell r="I66">
            <v>69225.227525006732</v>
          </cell>
          <cell r="J66">
            <v>392.49</v>
          </cell>
          <cell r="K66">
            <v>149.74</v>
          </cell>
          <cell r="L66">
            <v>7638.5230000000001</v>
          </cell>
          <cell r="M66">
            <v>0</v>
          </cell>
          <cell r="N66">
            <v>475376401.45399302</v>
          </cell>
          <cell r="O66">
            <v>2948525.94</v>
          </cell>
          <cell r="P66">
            <v>1063411.72</v>
          </cell>
          <cell r="Q66">
            <v>83161971.497999996</v>
          </cell>
          <cell r="R66">
            <v>0</v>
          </cell>
          <cell r="S66">
            <v>18198035.099455945</v>
          </cell>
          <cell r="T66">
            <v>884267.44</v>
          </cell>
          <cell r="U66">
            <v>385174.44</v>
          </cell>
          <cell r="V66">
            <v>2119064.9160000002</v>
          </cell>
          <cell r="W66">
            <v>0</v>
          </cell>
          <cell r="X66">
            <v>958888.38</v>
          </cell>
          <cell r="Y66">
            <v>8030752.6199999992</v>
          </cell>
          <cell r="Z66">
            <v>0</v>
          </cell>
          <cell r="AA66">
            <v>242.75</v>
          </cell>
          <cell r="AB66">
            <v>1885114.22</v>
          </cell>
          <cell r="AC66">
            <v>499093</v>
          </cell>
        </row>
        <row r="67">
          <cell r="A67" t="str">
            <v>SEPT</v>
          </cell>
          <cell r="B67" t="str">
            <v>Hi-Tech Facilities</v>
          </cell>
          <cell r="C67">
            <v>11759803</v>
          </cell>
          <cell r="D67">
            <v>11759803</v>
          </cell>
          <cell r="E67">
            <v>1287333.6110999999</v>
          </cell>
          <cell r="F67">
            <v>272735.80380000005</v>
          </cell>
          <cell r="G67">
            <v>758873.59999999998</v>
          </cell>
          <cell r="H67">
            <v>0</v>
          </cell>
          <cell r="I67">
            <v>6532.0886490478697</v>
          </cell>
          <cell r="J67">
            <v>60.37</v>
          </cell>
          <cell r="K67">
            <v>13.82</v>
          </cell>
          <cell r="L67">
            <v>1213.6880000000001</v>
          </cell>
          <cell r="M67">
            <v>0</v>
          </cell>
          <cell r="N67">
            <v>44364926.587099597</v>
          </cell>
          <cell r="O67">
            <v>692681.88</v>
          </cell>
          <cell r="P67">
            <v>460311.28</v>
          </cell>
          <cell r="Q67">
            <v>15287602.852</v>
          </cell>
          <cell r="R67">
            <v>0</v>
          </cell>
          <cell r="S67">
            <v>25523.813309561065</v>
          </cell>
          <cell r="T67">
            <v>11088</v>
          </cell>
          <cell r="U67">
            <v>11088</v>
          </cell>
          <cell r="V67">
            <v>121386.63</v>
          </cell>
          <cell r="W67">
            <v>0</v>
          </cell>
          <cell r="X67">
            <v>83476.460000000006</v>
          </cell>
          <cell r="Y67">
            <v>758873.59999999998</v>
          </cell>
          <cell r="Z67">
            <v>0</v>
          </cell>
          <cell r="AA67">
            <v>46.55</v>
          </cell>
          <cell r="AB67">
            <v>232370.6</v>
          </cell>
          <cell r="AC67">
            <v>0</v>
          </cell>
        </row>
        <row r="68">
          <cell r="A68" t="str">
            <v>SEPT</v>
          </cell>
          <cell r="B68" t="str">
            <v>Medical Facilities</v>
          </cell>
          <cell r="C68">
            <v>21407152</v>
          </cell>
          <cell r="D68">
            <v>21407152</v>
          </cell>
          <cell r="E68">
            <v>610818.44220000005</v>
          </cell>
          <cell r="F68">
            <v>164927.06760000001</v>
          </cell>
          <cell r="G68">
            <v>395024.46</v>
          </cell>
          <cell r="H68">
            <v>0</v>
          </cell>
          <cell r="I68">
            <v>27753.153177169657</v>
          </cell>
          <cell r="J68">
            <v>0</v>
          </cell>
          <cell r="K68">
            <v>0</v>
          </cell>
          <cell r="L68">
            <v>274.19</v>
          </cell>
          <cell r="M68">
            <v>0</v>
          </cell>
          <cell r="N68">
            <v>68661112.057484001</v>
          </cell>
          <cell r="O68">
            <v>0</v>
          </cell>
          <cell r="P68">
            <v>0</v>
          </cell>
          <cell r="Q68">
            <v>2006808.3</v>
          </cell>
          <cell r="R68">
            <v>0</v>
          </cell>
          <cell r="S68">
            <v>494605</v>
          </cell>
          <cell r="T68">
            <v>0</v>
          </cell>
          <cell r="U68">
            <v>0</v>
          </cell>
          <cell r="V68">
            <v>6978.3</v>
          </cell>
          <cell r="W68">
            <v>0</v>
          </cell>
          <cell r="X68">
            <v>0</v>
          </cell>
          <cell r="Y68">
            <v>395024.46</v>
          </cell>
          <cell r="Z68">
            <v>0</v>
          </cell>
          <cell r="AA68">
            <v>0</v>
          </cell>
          <cell r="AB68">
            <v>0</v>
          </cell>
          <cell r="AC68">
            <v>0</v>
          </cell>
        </row>
        <row r="69">
          <cell r="A69" t="str">
            <v>SEPT</v>
          </cell>
          <cell r="B69" t="str">
            <v>Large Commercial</v>
          </cell>
          <cell r="C69">
            <v>68595302</v>
          </cell>
          <cell r="D69">
            <v>68595302</v>
          </cell>
          <cell r="E69">
            <v>2905510.6443999996</v>
          </cell>
          <cell r="F69">
            <v>551603.12520000001</v>
          </cell>
          <cell r="G69">
            <v>1641613.49</v>
          </cell>
          <cell r="H69">
            <v>0</v>
          </cell>
          <cell r="I69">
            <v>73838.296918087362</v>
          </cell>
          <cell r="J69">
            <v>378.99</v>
          </cell>
          <cell r="K69">
            <v>180.97</v>
          </cell>
          <cell r="L69">
            <v>2100.5460000000003</v>
          </cell>
          <cell r="M69">
            <v>0</v>
          </cell>
          <cell r="N69">
            <v>219609296.0400379</v>
          </cell>
          <cell r="O69">
            <v>2987475.83</v>
          </cell>
          <cell r="P69">
            <v>1639435.36</v>
          </cell>
          <cell r="Q69">
            <v>13222294.922</v>
          </cell>
          <cell r="R69">
            <v>0</v>
          </cell>
          <cell r="S69">
            <v>2224825.1578322467</v>
          </cell>
          <cell r="T69">
            <v>3919.3</v>
          </cell>
          <cell r="U69">
            <v>0</v>
          </cell>
          <cell r="V69">
            <v>13907.1</v>
          </cell>
          <cell r="W69">
            <v>0</v>
          </cell>
          <cell r="X69">
            <v>277541.59000000003</v>
          </cell>
          <cell r="Y69">
            <v>1641613.49</v>
          </cell>
          <cell r="Z69">
            <v>0</v>
          </cell>
          <cell r="AA69">
            <v>198.02</v>
          </cell>
          <cell r="AB69">
            <v>1348040.47</v>
          </cell>
          <cell r="AC69">
            <v>3919.3</v>
          </cell>
        </row>
        <row r="70">
          <cell r="A70" t="str">
            <v>SEPT</v>
          </cell>
          <cell r="B70" t="str">
            <v>Hospitality Facilities</v>
          </cell>
          <cell r="C70">
            <v>11793097</v>
          </cell>
          <cell r="D70">
            <v>11793097</v>
          </cell>
          <cell r="E70">
            <v>904851.33549999993</v>
          </cell>
          <cell r="F70">
            <v>151745.98899999997</v>
          </cell>
          <cell r="G70">
            <v>111211.72</v>
          </cell>
          <cell r="H70">
            <v>0</v>
          </cell>
          <cell r="I70">
            <v>7577.0826254285475</v>
          </cell>
          <cell r="J70">
            <v>6.23</v>
          </cell>
          <cell r="K70">
            <v>6.23</v>
          </cell>
          <cell r="L70">
            <v>45.253</v>
          </cell>
          <cell r="M70">
            <v>0</v>
          </cell>
          <cell r="N70">
            <v>37330060.295922801</v>
          </cell>
          <cell r="O70">
            <v>12889.58</v>
          </cell>
          <cell r="P70">
            <v>12889.58</v>
          </cell>
          <cell r="Q70">
            <v>855066.54</v>
          </cell>
          <cell r="R70">
            <v>0</v>
          </cell>
          <cell r="S70">
            <v>33302.25</v>
          </cell>
          <cell r="T70">
            <v>1070.8599999999999</v>
          </cell>
          <cell r="U70">
            <v>633.36</v>
          </cell>
          <cell r="V70">
            <v>10583.992999999999</v>
          </cell>
          <cell r="W70">
            <v>0</v>
          </cell>
          <cell r="X70">
            <v>2930.55</v>
          </cell>
          <cell r="Y70">
            <v>111211.72</v>
          </cell>
          <cell r="Z70">
            <v>0</v>
          </cell>
          <cell r="AA70">
            <v>0</v>
          </cell>
          <cell r="AB70">
            <v>0</v>
          </cell>
          <cell r="AC70">
            <v>437.5</v>
          </cell>
        </row>
        <row r="71">
          <cell r="A71" t="str">
            <v>SEPT</v>
          </cell>
          <cell r="B71" t="str">
            <v>Res New Construction</v>
          </cell>
          <cell r="C71">
            <v>26264217</v>
          </cell>
          <cell r="D71">
            <v>26264217</v>
          </cell>
          <cell r="E71">
            <v>1626367.4944</v>
          </cell>
          <cell r="F71">
            <v>122920.80519999999</v>
          </cell>
          <cell r="G71">
            <v>2035210</v>
          </cell>
          <cell r="H71">
            <v>0</v>
          </cell>
          <cell r="I71">
            <v>9015.1305056540205</v>
          </cell>
          <cell r="J71">
            <v>0.18</v>
          </cell>
          <cell r="K71">
            <v>0</v>
          </cell>
          <cell r="L71">
            <v>1182.0275343999999</v>
          </cell>
          <cell r="M71">
            <v>0</v>
          </cell>
          <cell r="N71">
            <v>13357136.488374671</v>
          </cell>
          <cell r="O71">
            <v>600.79999999999995</v>
          </cell>
          <cell r="P71">
            <v>0</v>
          </cell>
          <cell r="Q71">
            <v>1307972</v>
          </cell>
          <cell r="R71">
            <v>0</v>
          </cell>
          <cell r="S71">
            <v>2454487.1347570699</v>
          </cell>
          <cell r="T71">
            <v>46.37</v>
          </cell>
          <cell r="U71">
            <v>0</v>
          </cell>
          <cell r="V71">
            <v>410596.8</v>
          </cell>
          <cell r="W71">
            <v>0</v>
          </cell>
          <cell r="X71">
            <v>30540</v>
          </cell>
          <cell r="Y71">
            <v>2035210</v>
          </cell>
          <cell r="Z71">
            <v>0</v>
          </cell>
          <cell r="AA71">
            <v>0.18</v>
          </cell>
          <cell r="AB71">
            <v>600.79999999999995</v>
          </cell>
          <cell r="AC71">
            <v>46.37</v>
          </cell>
        </row>
        <row r="72">
          <cell r="A72" t="str">
            <v>SEPT</v>
          </cell>
          <cell r="B72" t="str">
            <v>Education &amp; Training</v>
          </cell>
          <cell r="C72">
            <v>41154602</v>
          </cell>
          <cell r="D72">
            <v>41154602</v>
          </cell>
          <cell r="E72">
            <v>6335162.8821999999</v>
          </cell>
          <cell r="F72">
            <v>1001203.4776000001</v>
          </cell>
          <cell r="G72" t="str">
            <v>N/A</v>
          </cell>
          <cell r="H72">
            <v>0</v>
          </cell>
          <cell r="I72" t="str">
            <v>N/A</v>
          </cell>
          <cell r="J72" t="str">
            <v>N/A</v>
          </cell>
          <cell r="K72" t="str">
            <v>N/A</v>
          </cell>
          <cell r="L72" t="str">
            <v>N/A</v>
          </cell>
          <cell r="M72">
            <v>0</v>
          </cell>
          <cell r="N72" t="str">
            <v>N/A</v>
          </cell>
          <cell r="O72" t="str">
            <v>N/A</v>
          </cell>
          <cell r="P72" t="str">
            <v>N/A</v>
          </cell>
          <cell r="Q72" t="str">
            <v>N/A</v>
          </cell>
          <cell r="R72">
            <v>0</v>
          </cell>
          <cell r="S72" t="str">
            <v>N/A</v>
          </cell>
          <cell r="T72" t="str">
            <v>N/A</v>
          </cell>
          <cell r="U72" t="str">
            <v>N/A</v>
          </cell>
          <cell r="V72" t="str">
            <v>N/A</v>
          </cell>
          <cell r="W72">
            <v>0</v>
          </cell>
          <cell r="X72" t="str">
            <v>N/A</v>
          </cell>
          <cell r="Y72" t="str">
            <v>N/A</v>
          </cell>
          <cell r="Z72">
            <v>0</v>
          </cell>
          <cell r="AA72" t="str">
            <v>N/A</v>
          </cell>
          <cell r="AB72" t="str">
            <v>N/A</v>
          </cell>
          <cell r="AC72" t="str">
            <v>N/A</v>
          </cell>
        </row>
        <row r="73">
          <cell r="A73" t="str">
            <v>SEPT</v>
          </cell>
          <cell r="B73" t="str">
            <v>Codes &amp; Standards</v>
          </cell>
          <cell r="C73">
            <v>4635754</v>
          </cell>
          <cell r="D73">
            <v>4635754</v>
          </cell>
          <cell r="E73">
            <v>810281.76</v>
          </cell>
          <cell r="F73">
            <v>123552.35</v>
          </cell>
          <cell r="G73" t="str">
            <v>N/A</v>
          </cell>
          <cell r="H73">
            <v>0</v>
          </cell>
          <cell r="I73" t="str">
            <v>N/A</v>
          </cell>
          <cell r="J73" t="str">
            <v>N/A</v>
          </cell>
          <cell r="K73" t="str">
            <v>N/A</v>
          </cell>
          <cell r="L73" t="str">
            <v>N/A</v>
          </cell>
          <cell r="M73">
            <v>0</v>
          </cell>
          <cell r="N73" t="str">
            <v>N/A</v>
          </cell>
          <cell r="O73" t="str">
            <v>N/A</v>
          </cell>
          <cell r="P73" t="str">
            <v>N/A</v>
          </cell>
          <cell r="Q73" t="str">
            <v>N/A</v>
          </cell>
          <cell r="R73">
            <v>0</v>
          </cell>
          <cell r="S73" t="str">
            <v>N/A</v>
          </cell>
          <cell r="T73" t="str">
            <v>N/A</v>
          </cell>
          <cell r="U73" t="str">
            <v>N/A</v>
          </cell>
          <cell r="V73" t="str">
            <v>N/A</v>
          </cell>
          <cell r="W73">
            <v>0</v>
          </cell>
          <cell r="X73" t="str">
            <v>N/A</v>
          </cell>
          <cell r="Y73" t="str">
            <v>N/A</v>
          </cell>
          <cell r="Z73">
            <v>0</v>
          </cell>
          <cell r="AA73" t="str">
            <v>N/A</v>
          </cell>
          <cell r="AB73" t="str">
            <v>N/A</v>
          </cell>
          <cell r="AC73" t="str">
            <v>N/A</v>
          </cell>
        </row>
        <row r="74">
          <cell r="A74" t="str">
            <v>SEPT</v>
          </cell>
          <cell r="B74" t="str">
            <v>Emerging Technologies</v>
          </cell>
          <cell r="C74">
            <v>11260376</v>
          </cell>
          <cell r="D74">
            <v>11260376</v>
          </cell>
          <cell r="E74">
            <v>700902.22</v>
          </cell>
          <cell r="F74">
            <v>72772.7</v>
          </cell>
          <cell r="G74" t="str">
            <v>N/A</v>
          </cell>
          <cell r="H74">
            <v>0</v>
          </cell>
          <cell r="I74" t="str">
            <v>N/A</v>
          </cell>
          <cell r="J74" t="str">
            <v>N/A</v>
          </cell>
          <cell r="K74" t="str">
            <v>N/A</v>
          </cell>
          <cell r="L74" t="str">
            <v>N/A</v>
          </cell>
          <cell r="M74">
            <v>0</v>
          </cell>
          <cell r="N74" t="str">
            <v>N/A</v>
          </cell>
          <cell r="O74" t="str">
            <v>N/A</v>
          </cell>
          <cell r="P74" t="str">
            <v>N/A</v>
          </cell>
          <cell r="Q74" t="str">
            <v>N/A</v>
          </cell>
          <cell r="R74">
            <v>0</v>
          </cell>
          <cell r="S74" t="str">
            <v>N/A</v>
          </cell>
          <cell r="T74" t="str">
            <v>N/A</v>
          </cell>
          <cell r="U74" t="str">
            <v>N/A</v>
          </cell>
          <cell r="V74" t="str">
            <v>N/A</v>
          </cell>
          <cell r="W74">
            <v>0</v>
          </cell>
          <cell r="X74" t="str">
            <v>N/A</v>
          </cell>
          <cell r="Y74" t="str">
            <v>N/A</v>
          </cell>
          <cell r="Z74">
            <v>0</v>
          </cell>
          <cell r="AA74" t="str">
            <v>N/A</v>
          </cell>
          <cell r="AB74" t="str">
            <v>N/A</v>
          </cell>
          <cell r="AC74" t="str">
            <v>N/A</v>
          </cell>
        </row>
        <row r="75">
          <cell r="A75" t="str">
            <v>SEPT</v>
          </cell>
          <cell r="B75" t="str">
            <v>Statewide Marketing &amp; Info</v>
          </cell>
          <cell r="C75">
            <v>26948382</v>
          </cell>
          <cell r="D75">
            <v>26948382</v>
          </cell>
          <cell r="E75">
            <v>858.72</v>
          </cell>
          <cell r="F75">
            <v>684.52</v>
          </cell>
          <cell r="G75" t="str">
            <v>N/A</v>
          </cell>
          <cell r="H75">
            <v>0</v>
          </cell>
          <cell r="I75" t="str">
            <v>N/A</v>
          </cell>
          <cell r="J75" t="str">
            <v>N/A</v>
          </cell>
          <cell r="K75" t="str">
            <v>N/A</v>
          </cell>
          <cell r="L75" t="str">
            <v>N/A</v>
          </cell>
          <cell r="M75">
            <v>0</v>
          </cell>
          <cell r="N75" t="str">
            <v>N/A</v>
          </cell>
          <cell r="O75" t="str">
            <v>N/A</v>
          </cell>
          <cell r="P75" t="str">
            <v>N/A</v>
          </cell>
          <cell r="Q75" t="str">
            <v>N/A</v>
          </cell>
          <cell r="R75">
            <v>0</v>
          </cell>
          <cell r="S75" t="str">
            <v>N/A</v>
          </cell>
          <cell r="T75" t="str">
            <v>N/A</v>
          </cell>
          <cell r="U75" t="str">
            <v>N/A</v>
          </cell>
          <cell r="V75" t="str">
            <v>N/A</v>
          </cell>
          <cell r="W75">
            <v>0</v>
          </cell>
          <cell r="X75" t="str">
            <v>N/A</v>
          </cell>
          <cell r="Y75" t="str">
            <v>N/A</v>
          </cell>
          <cell r="Z75">
            <v>0</v>
          </cell>
          <cell r="AA75" t="str">
            <v>N/A</v>
          </cell>
          <cell r="AB75" t="str">
            <v>N/A</v>
          </cell>
          <cell r="AC75" t="str">
            <v>N/A</v>
          </cell>
        </row>
        <row r="76">
          <cell r="A76" t="str">
            <v>SEPT</v>
          </cell>
          <cell r="B76" t="str">
            <v>Low Income EE (3)  (1 YR Budgets/Goals)</v>
          </cell>
          <cell r="C76">
            <v>90094498</v>
          </cell>
          <cell r="D76">
            <v>90094498</v>
          </cell>
          <cell r="E76">
            <v>60258542.229999997</v>
          </cell>
          <cell r="F76">
            <v>6322363.5600000005</v>
          </cell>
          <cell r="G76" t="str">
            <v>N/A</v>
          </cell>
          <cell r="H76">
            <v>0</v>
          </cell>
          <cell r="I76">
            <v>5551</v>
          </cell>
          <cell r="J76">
            <v>4217.9467763800012</v>
          </cell>
          <cell r="K76">
            <v>410.8094949600013</v>
          </cell>
          <cell r="L76" t="str">
            <v>N/A</v>
          </cell>
          <cell r="M76">
            <v>0</v>
          </cell>
          <cell r="N76">
            <v>26282000</v>
          </cell>
          <cell r="O76">
            <v>19031669.589999992</v>
          </cell>
          <cell r="P76">
            <v>1813453.7499999925</v>
          </cell>
          <cell r="Q76" t="str">
            <v>N/A</v>
          </cell>
          <cell r="R76">
            <v>0</v>
          </cell>
          <cell r="S76">
            <v>1370000</v>
          </cell>
          <cell r="T76">
            <v>975463.55</v>
          </cell>
          <cell r="U76">
            <v>112006.62</v>
          </cell>
          <cell r="V76" t="str">
            <v>N/A</v>
          </cell>
          <cell r="W76">
            <v>0</v>
          </cell>
          <cell r="X76" t="str">
            <v>N/A</v>
          </cell>
          <cell r="Y76" t="str">
            <v>N/A</v>
          </cell>
          <cell r="Z76">
            <v>0</v>
          </cell>
          <cell r="AA76">
            <v>3807.1372814199999</v>
          </cell>
          <cell r="AB76">
            <v>17218215.84</v>
          </cell>
          <cell r="AC76">
            <v>863456.93</v>
          </cell>
        </row>
        <row r="77">
          <cell r="A77" t="str">
            <v>OCT</v>
          </cell>
          <cell r="B77" t="str">
            <v>Mass Market</v>
          </cell>
          <cell r="C77">
            <v>405857712</v>
          </cell>
          <cell r="D77">
            <v>405857712</v>
          </cell>
          <cell r="E77">
            <v>57231804.605599992</v>
          </cell>
          <cell r="F77">
            <v>14468639.630400002</v>
          </cell>
          <cell r="G77">
            <v>5402879.7300000004</v>
          </cell>
          <cell r="H77">
            <v>0</v>
          </cell>
          <cell r="I77">
            <v>334053.85427348199</v>
          </cell>
          <cell r="J77">
            <v>90824.41</v>
          </cell>
          <cell r="K77">
            <v>24095.37</v>
          </cell>
          <cell r="L77">
            <v>4589.1473811000005</v>
          </cell>
          <cell r="M77">
            <v>0</v>
          </cell>
          <cell r="N77">
            <v>1728133316.3078108</v>
          </cell>
          <cell r="O77">
            <v>529212096.80000007</v>
          </cell>
          <cell r="P77">
            <v>167294197.26000017</v>
          </cell>
          <cell r="Q77">
            <v>23824173.988299999</v>
          </cell>
          <cell r="R77">
            <v>0</v>
          </cell>
          <cell r="S77">
            <v>15871656.841610486</v>
          </cell>
          <cell r="T77">
            <v>1469490.27</v>
          </cell>
          <cell r="U77">
            <v>215091.09</v>
          </cell>
          <cell r="V77">
            <v>183487.74789999999</v>
          </cell>
          <cell r="W77">
            <v>0</v>
          </cell>
          <cell r="X77">
            <v>36767455.030000001</v>
          </cell>
          <cell r="Y77">
            <v>5402879.7300000004</v>
          </cell>
          <cell r="Z77">
            <v>0</v>
          </cell>
          <cell r="AA77">
            <v>66729.039999999994</v>
          </cell>
          <cell r="AB77">
            <v>361917899.5399999</v>
          </cell>
          <cell r="AC77">
            <v>1254399.18</v>
          </cell>
        </row>
        <row r="78">
          <cell r="A78" t="str">
            <v>OCT</v>
          </cell>
          <cell r="B78" t="str">
            <v>Ag &amp; Food Processing</v>
          </cell>
          <cell r="C78">
            <v>47523134</v>
          </cell>
          <cell r="D78">
            <v>47523134</v>
          </cell>
          <cell r="E78">
            <v>3177291.7113000001</v>
          </cell>
          <cell r="F78">
            <v>920672.86919999996</v>
          </cell>
          <cell r="G78">
            <v>2533098.41</v>
          </cell>
          <cell r="H78">
            <v>0</v>
          </cell>
          <cell r="I78">
            <v>22797.08846466984</v>
          </cell>
          <cell r="J78">
            <v>1930.54</v>
          </cell>
          <cell r="K78">
            <v>1667.56</v>
          </cell>
          <cell r="L78">
            <v>2101.4169999999999</v>
          </cell>
          <cell r="M78">
            <v>0</v>
          </cell>
          <cell r="N78">
            <v>164346860.9940128</v>
          </cell>
          <cell r="O78">
            <v>4850348.96</v>
          </cell>
          <cell r="P78">
            <v>2613440.12</v>
          </cell>
          <cell r="Q78">
            <v>44189303.529999994</v>
          </cell>
          <cell r="R78">
            <v>0</v>
          </cell>
          <cell r="S78">
            <v>3082951.7327311719</v>
          </cell>
          <cell r="T78">
            <v>96484.5</v>
          </cell>
          <cell r="U78">
            <v>103187.04</v>
          </cell>
          <cell r="V78">
            <v>1739203.2</v>
          </cell>
          <cell r="W78">
            <v>0</v>
          </cell>
          <cell r="X78">
            <v>544305.79</v>
          </cell>
          <cell r="Y78">
            <v>2533098.41</v>
          </cell>
          <cell r="Z78">
            <v>0</v>
          </cell>
          <cell r="AA78">
            <v>262.98</v>
          </cell>
          <cell r="AB78">
            <v>2236908.84</v>
          </cell>
          <cell r="AC78">
            <v>-6702.54</v>
          </cell>
        </row>
        <row r="79">
          <cell r="A79" t="str">
            <v>OCT</v>
          </cell>
          <cell r="B79" t="str">
            <v>Schools &amp; Colleges</v>
          </cell>
          <cell r="C79">
            <v>47568591</v>
          </cell>
          <cell r="D79">
            <v>47568591</v>
          </cell>
          <cell r="E79">
            <v>2000036.9049</v>
          </cell>
          <cell r="F79">
            <v>342866.31159999996</v>
          </cell>
          <cell r="G79">
            <v>1854676.5</v>
          </cell>
          <cell r="H79">
            <v>0</v>
          </cell>
          <cell r="I79">
            <v>28892.278794176014</v>
          </cell>
          <cell r="J79">
            <v>115.91</v>
          </cell>
          <cell r="K79">
            <v>1.9299999999999926</v>
          </cell>
          <cell r="L79">
            <v>1393.354</v>
          </cell>
          <cell r="M79">
            <v>0</v>
          </cell>
          <cell r="N79">
            <v>128046825.56012681</v>
          </cell>
          <cell r="O79">
            <v>297949.65999999997</v>
          </cell>
          <cell r="P79">
            <v>96469.1</v>
          </cell>
          <cell r="Q79">
            <v>6227079.2080000006</v>
          </cell>
          <cell r="R79">
            <v>0</v>
          </cell>
          <cell r="S79">
            <v>2635794.0523105087</v>
          </cell>
          <cell r="T79">
            <v>-38.54</v>
          </cell>
          <cell r="U79">
            <v>0</v>
          </cell>
          <cell r="V79">
            <v>311405.09999999998</v>
          </cell>
          <cell r="W79">
            <v>0</v>
          </cell>
          <cell r="X79">
            <v>92759.5</v>
          </cell>
          <cell r="Y79">
            <v>1854676.5</v>
          </cell>
          <cell r="Z79">
            <v>0</v>
          </cell>
          <cell r="AA79">
            <v>113.98</v>
          </cell>
          <cell r="AB79">
            <v>201480.56</v>
          </cell>
          <cell r="AC79">
            <v>-38.54</v>
          </cell>
        </row>
        <row r="80">
          <cell r="A80" t="str">
            <v>OCT</v>
          </cell>
          <cell r="B80" t="str">
            <v>Retail Stores</v>
          </cell>
          <cell r="C80">
            <v>20850872</v>
          </cell>
          <cell r="D80">
            <v>20850872</v>
          </cell>
          <cell r="E80">
            <v>1307896.9495999999</v>
          </cell>
          <cell r="F80">
            <v>356265.6164</v>
          </cell>
          <cell r="G80">
            <v>116382.66</v>
          </cell>
          <cell r="H80">
            <v>0</v>
          </cell>
          <cell r="I80">
            <v>21271.596533140018</v>
          </cell>
          <cell r="J80">
            <v>130.38</v>
          </cell>
          <cell r="K80">
            <v>46.15</v>
          </cell>
          <cell r="L80">
            <v>217.64</v>
          </cell>
          <cell r="M80">
            <v>0</v>
          </cell>
          <cell r="N80">
            <v>125946107.22913301</v>
          </cell>
          <cell r="O80">
            <v>751011.7</v>
          </cell>
          <cell r="P80">
            <v>168704.22</v>
          </cell>
          <cell r="Q80">
            <v>1349388.6809999999</v>
          </cell>
          <cell r="R80">
            <v>0</v>
          </cell>
          <cell r="S80">
            <v>17583.588</v>
          </cell>
          <cell r="T80">
            <v>3484.84</v>
          </cell>
          <cell r="U80">
            <v>316.95999999999998</v>
          </cell>
          <cell r="V80">
            <v>-791.3</v>
          </cell>
          <cell r="W80">
            <v>0</v>
          </cell>
          <cell r="X80">
            <v>82451.63</v>
          </cell>
          <cell r="Y80">
            <v>116382.66</v>
          </cell>
          <cell r="Z80">
            <v>0</v>
          </cell>
          <cell r="AA80">
            <v>84.23</v>
          </cell>
          <cell r="AB80">
            <v>582307.48</v>
          </cell>
          <cell r="AC80">
            <v>3167.88</v>
          </cell>
        </row>
        <row r="81">
          <cell r="A81" t="str">
            <v>OCT</v>
          </cell>
          <cell r="B81" t="str">
            <v>Fab, Prcss &amp; Hvy Indl Mfg</v>
          </cell>
          <cell r="C81">
            <v>121849249</v>
          </cell>
          <cell r="D81">
            <v>121849249</v>
          </cell>
          <cell r="E81">
            <v>3984395.5692000007</v>
          </cell>
          <cell r="F81">
            <v>627839.52279999992</v>
          </cell>
          <cell r="G81">
            <v>9603097.6099999994</v>
          </cell>
          <cell r="H81">
            <v>0</v>
          </cell>
          <cell r="I81">
            <v>69225.227525006732</v>
          </cell>
          <cell r="J81">
            <v>540.24</v>
          </cell>
          <cell r="K81">
            <v>147.75</v>
          </cell>
          <cell r="L81">
            <v>10405.830999999998</v>
          </cell>
          <cell r="M81">
            <v>0</v>
          </cell>
          <cell r="N81">
            <v>475376401.45399302</v>
          </cell>
          <cell r="O81">
            <v>4186073.13</v>
          </cell>
          <cell r="P81">
            <v>1237547.19</v>
          </cell>
          <cell r="Q81">
            <v>105838181.09199999</v>
          </cell>
          <cell r="R81">
            <v>0</v>
          </cell>
          <cell r="S81">
            <v>18198035.099455945</v>
          </cell>
          <cell r="T81">
            <v>1412430.04</v>
          </cell>
          <cell r="U81">
            <v>528162.6</v>
          </cell>
          <cell r="V81">
            <v>577704.37600000005</v>
          </cell>
          <cell r="W81">
            <v>0</v>
          </cell>
          <cell r="X81">
            <v>1196464.79</v>
          </cell>
          <cell r="Y81">
            <v>9603097.6099999994</v>
          </cell>
          <cell r="Z81">
            <v>0</v>
          </cell>
          <cell r="AA81">
            <v>392.49</v>
          </cell>
          <cell r="AB81">
            <v>2948525.94</v>
          </cell>
          <cell r="AC81">
            <v>884267.44</v>
          </cell>
        </row>
        <row r="82">
          <cell r="A82" t="str">
            <v>OCT</v>
          </cell>
          <cell r="B82" t="str">
            <v>Hi-Tech Facilities</v>
          </cell>
          <cell r="C82">
            <v>11759803</v>
          </cell>
          <cell r="D82">
            <v>11759803</v>
          </cell>
          <cell r="E82">
            <v>1487697.4783000001</v>
          </cell>
          <cell r="F82">
            <v>200363.86720000001</v>
          </cell>
          <cell r="G82">
            <v>1018077.23</v>
          </cell>
          <cell r="H82">
            <v>0</v>
          </cell>
          <cell r="I82">
            <v>6532.0886490478697</v>
          </cell>
          <cell r="J82">
            <v>141.86000000000001</v>
          </cell>
          <cell r="K82">
            <v>81.489999999999995</v>
          </cell>
          <cell r="L82">
            <v>1432.114</v>
          </cell>
          <cell r="M82">
            <v>0</v>
          </cell>
          <cell r="N82">
            <v>44364926.587099597</v>
          </cell>
          <cell r="O82">
            <v>1406748.58</v>
          </cell>
          <cell r="P82">
            <v>714066.7</v>
          </cell>
          <cell r="Q82">
            <v>16511953.752</v>
          </cell>
          <cell r="R82">
            <v>0</v>
          </cell>
          <cell r="S82">
            <v>25523.813309561065</v>
          </cell>
          <cell r="T82">
            <v>11088</v>
          </cell>
          <cell r="U82">
            <v>0</v>
          </cell>
          <cell r="V82">
            <v>213843.61</v>
          </cell>
          <cell r="W82">
            <v>0</v>
          </cell>
          <cell r="X82">
            <v>133105.94</v>
          </cell>
          <cell r="Y82">
            <v>1018077.23</v>
          </cell>
          <cell r="Z82">
            <v>0</v>
          </cell>
          <cell r="AA82">
            <v>60.37</v>
          </cell>
          <cell r="AB82">
            <v>692681.88</v>
          </cell>
          <cell r="AC82">
            <v>11088</v>
          </cell>
        </row>
        <row r="83">
          <cell r="A83" t="str">
            <v>OCT</v>
          </cell>
          <cell r="B83" t="str">
            <v>Medical Facilities</v>
          </cell>
          <cell r="C83">
            <v>21407152</v>
          </cell>
          <cell r="D83">
            <v>21407152</v>
          </cell>
          <cell r="E83">
            <v>678753.1666</v>
          </cell>
          <cell r="F83">
            <v>67934.724399999992</v>
          </cell>
          <cell r="G83">
            <v>395024.46</v>
          </cell>
          <cell r="H83">
            <v>0</v>
          </cell>
          <cell r="I83">
            <v>27753.153177169657</v>
          </cell>
          <cell r="J83">
            <v>0</v>
          </cell>
          <cell r="K83">
            <v>0</v>
          </cell>
          <cell r="L83">
            <v>274.19</v>
          </cell>
          <cell r="M83">
            <v>0</v>
          </cell>
          <cell r="N83">
            <v>68661112.057484001</v>
          </cell>
          <cell r="O83">
            <v>0</v>
          </cell>
          <cell r="P83">
            <v>0</v>
          </cell>
          <cell r="Q83">
            <v>2006808.3</v>
          </cell>
          <cell r="R83">
            <v>0</v>
          </cell>
          <cell r="S83">
            <v>494605</v>
          </cell>
          <cell r="T83">
            <v>0</v>
          </cell>
          <cell r="U83">
            <v>0</v>
          </cell>
          <cell r="V83">
            <v>6978.3</v>
          </cell>
          <cell r="W83">
            <v>0</v>
          </cell>
          <cell r="X83">
            <v>0</v>
          </cell>
          <cell r="Y83">
            <v>395024.46</v>
          </cell>
          <cell r="Z83">
            <v>0</v>
          </cell>
          <cell r="AA83">
            <v>0</v>
          </cell>
          <cell r="AB83">
            <v>0</v>
          </cell>
          <cell r="AC83">
            <v>0</v>
          </cell>
        </row>
        <row r="84">
          <cell r="A84" t="str">
            <v>OCT</v>
          </cell>
          <cell r="B84" t="str">
            <v>Large Commercial</v>
          </cell>
          <cell r="C84">
            <v>68595302</v>
          </cell>
          <cell r="D84">
            <v>68595302</v>
          </cell>
          <cell r="E84">
            <v>3534675.5632000021</v>
          </cell>
          <cell r="F84">
            <v>633715.09879999992</v>
          </cell>
          <cell r="G84">
            <v>2145849.13</v>
          </cell>
          <cell r="H84">
            <v>0</v>
          </cell>
          <cell r="I84">
            <v>73838.296918087362</v>
          </cell>
          <cell r="J84">
            <v>450.84</v>
          </cell>
          <cell r="K84">
            <v>71.849999999999994</v>
          </cell>
          <cell r="L84">
            <v>2531.181</v>
          </cell>
          <cell r="M84">
            <v>0</v>
          </cell>
          <cell r="N84">
            <v>219609296.0400379</v>
          </cell>
          <cell r="O84">
            <v>3320585.53</v>
          </cell>
          <cell r="P84">
            <v>333109.7</v>
          </cell>
          <cell r="Q84">
            <v>16644988.735999998</v>
          </cell>
          <cell r="R84">
            <v>0</v>
          </cell>
          <cell r="S84">
            <v>2224825.1578322467</v>
          </cell>
          <cell r="T84">
            <v>3919.3</v>
          </cell>
          <cell r="U84">
            <v>0</v>
          </cell>
          <cell r="V84">
            <v>119682.2</v>
          </cell>
          <cell r="W84">
            <v>0</v>
          </cell>
          <cell r="X84">
            <v>301335.14</v>
          </cell>
          <cell r="Y84">
            <v>2145849.13</v>
          </cell>
          <cell r="Z84">
            <v>0</v>
          </cell>
          <cell r="AA84">
            <v>378.99</v>
          </cell>
          <cell r="AB84">
            <v>2987475.83</v>
          </cell>
          <cell r="AC84">
            <v>3919.3</v>
          </cell>
        </row>
        <row r="85">
          <cell r="A85" t="str">
            <v>OCT</v>
          </cell>
          <cell r="B85" t="str">
            <v>Hospitality Facilities</v>
          </cell>
          <cell r="C85">
            <v>11793097</v>
          </cell>
          <cell r="D85">
            <v>11793097</v>
          </cell>
          <cell r="E85">
            <v>1067633.6415000001</v>
          </cell>
          <cell r="F85">
            <v>162782.30600000001</v>
          </cell>
          <cell r="G85">
            <v>91972.58</v>
          </cell>
          <cell r="H85">
            <v>0</v>
          </cell>
          <cell r="I85">
            <v>7577.0826254285475</v>
          </cell>
          <cell r="J85">
            <v>22.82</v>
          </cell>
          <cell r="K85">
            <v>16.59</v>
          </cell>
          <cell r="L85">
            <v>69.941000000000003</v>
          </cell>
          <cell r="M85">
            <v>0</v>
          </cell>
          <cell r="N85">
            <v>37330060.295922801</v>
          </cell>
          <cell r="O85">
            <v>141391.38</v>
          </cell>
          <cell r="P85">
            <v>128501.8</v>
          </cell>
          <cell r="Q85">
            <v>763433.78100000008</v>
          </cell>
          <cell r="R85">
            <v>0</v>
          </cell>
          <cell r="S85">
            <v>33302.25</v>
          </cell>
          <cell r="T85">
            <v>1675.94</v>
          </cell>
          <cell r="U85">
            <v>605.08000000000004</v>
          </cell>
          <cell r="V85">
            <v>9978.92</v>
          </cell>
          <cell r="W85">
            <v>0</v>
          </cell>
          <cell r="X85">
            <v>25778.52</v>
          </cell>
          <cell r="Y85">
            <v>91972.58</v>
          </cell>
          <cell r="Z85">
            <v>0</v>
          </cell>
          <cell r="AA85">
            <v>6.23</v>
          </cell>
          <cell r="AB85">
            <v>12889.58</v>
          </cell>
          <cell r="AC85">
            <v>1070.8599999999999</v>
          </cell>
        </row>
        <row r="86">
          <cell r="A86" t="str">
            <v>OCT</v>
          </cell>
          <cell r="B86" t="str">
            <v>Res New Construction</v>
          </cell>
          <cell r="C86">
            <v>26264217</v>
          </cell>
          <cell r="D86">
            <v>26264217</v>
          </cell>
          <cell r="E86">
            <v>1877234.6732000001</v>
          </cell>
          <cell r="F86">
            <v>250867.17879999999</v>
          </cell>
          <cell r="G86">
            <v>2259130</v>
          </cell>
          <cell r="H86">
            <v>0</v>
          </cell>
          <cell r="I86">
            <v>9015.1305056540205</v>
          </cell>
          <cell r="J86">
            <v>14.65</v>
          </cell>
          <cell r="K86">
            <v>14.47</v>
          </cell>
          <cell r="L86">
            <v>1159.7464096000001</v>
          </cell>
          <cell r="M86">
            <v>0</v>
          </cell>
          <cell r="N86">
            <v>13357136.488374671</v>
          </cell>
          <cell r="O86">
            <v>14300.8</v>
          </cell>
          <cell r="P86">
            <v>13700</v>
          </cell>
          <cell r="Q86">
            <v>1419518.4</v>
          </cell>
          <cell r="R86">
            <v>0</v>
          </cell>
          <cell r="S86">
            <v>2454487.1347570699</v>
          </cell>
          <cell r="T86">
            <v>3174.98</v>
          </cell>
          <cell r="U86">
            <v>3128.61</v>
          </cell>
          <cell r="V86">
            <v>424736.8</v>
          </cell>
          <cell r="W86">
            <v>0</v>
          </cell>
          <cell r="X86">
            <v>140730</v>
          </cell>
          <cell r="Y86">
            <v>2259130</v>
          </cell>
          <cell r="Z86">
            <v>0</v>
          </cell>
          <cell r="AA86">
            <v>0.18</v>
          </cell>
          <cell r="AB86">
            <v>600.79999999999995</v>
          </cell>
          <cell r="AC86">
            <v>46.37</v>
          </cell>
        </row>
        <row r="87">
          <cell r="A87" t="str">
            <v>OCT</v>
          </cell>
          <cell r="B87" t="str">
            <v>Education &amp; Training</v>
          </cell>
          <cell r="C87">
            <v>41154602</v>
          </cell>
          <cell r="D87">
            <v>41154602</v>
          </cell>
          <cell r="E87">
            <v>7296079.3965999996</v>
          </cell>
          <cell r="F87">
            <v>900690.55440000002</v>
          </cell>
          <cell r="G87" t="str">
            <v>N/A</v>
          </cell>
          <cell r="H87">
            <v>0</v>
          </cell>
          <cell r="I87" t="str">
            <v>N/A</v>
          </cell>
          <cell r="J87" t="str">
            <v>N/A</v>
          </cell>
          <cell r="K87" t="str">
            <v>N/A</v>
          </cell>
          <cell r="L87" t="str">
            <v>N/A</v>
          </cell>
          <cell r="M87">
            <v>0</v>
          </cell>
          <cell r="N87" t="str">
            <v>N/A</v>
          </cell>
          <cell r="O87" t="str">
            <v>N/A</v>
          </cell>
          <cell r="P87" t="str">
            <v>N/A</v>
          </cell>
          <cell r="Q87" t="str">
            <v>N/A</v>
          </cell>
          <cell r="R87">
            <v>0</v>
          </cell>
          <cell r="S87" t="str">
            <v>N/A</v>
          </cell>
          <cell r="T87" t="str">
            <v>N/A</v>
          </cell>
          <cell r="U87" t="str">
            <v>N/A</v>
          </cell>
          <cell r="V87" t="str">
            <v>N/A</v>
          </cell>
          <cell r="W87">
            <v>0</v>
          </cell>
          <cell r="X87" t="str">
            <v>N/A</v>
          </cell>
          <cell r="Y87" t="str">
            <v>N/A</v>
          </cell>
          <cell r="Z87">
            <v>0</v>
          </cell>
          <cell r="AA87" t="str">
            <v>N/A</v>
          </cell>
          <cell r="AB87" t="str">
            <v>N/A</v>
          </cell>
          <cell r="AC87" t="str">
            <v>N/A</v>
          </cell>
        </row>
        <row r="88">
          <cell r="A88" t="str">
            <v>OCT</v>
          </cell>
          <cell r="B88" t="str">
            <v>Codes &amp; Standards</v>
          </cell>
          <cell r="C88">
            <v>4635754</v>
          </cell>
          <cell r="D88">
            <v>4635754</v>
          </cell>
          <cell r="E88">
            <v>939511.62</v>
          </cell>
          <cell r="F88">
            <v>129229.86</v>
          </cell>
          <cell r="G88" t="str">
            <v>N/A</v>
          </cell>
          <cell r="H88">
            <v>0</v>
          </cell>
          <cell r="I88" t="str">
            <v>N/A</v>
          </cell>
          <cell r="J88" t="str">
            <v>N/A</v>
          </cell>
          <cell r="K88" t="str">
            <v>N/A</v>
          </cell>
          <cell r="L88" t="str">
            <v>N/A</v>
          </cell>
          <cell r="M88">
            <v>0</v>
          </cell>
          <cell r="N88" t="str">
            <v>N/A</v>
          </cell>
          <cell r="O88" t="str">
            <v>N/A</v>
          </cell>
          <cell r="P88" t="str">
            <v>N/A</v>
          </cell>
          <cell r="Q88" t="str">
            <v>N/A</v>
          </cell>
          <cell r="R88">
            <v>0</v>
          </cell>
          <cell r="S88" t="str">
            <v>N/A</v>
          </cell>
          <cell r="T88" t="str">
            <v>N/A</v>
          </cell>
          <cell r="U88" t="str">
            <v>N/A</v>
          </cell>
          <cell r="V88" t="str">
            <v>N/A</v>
          </cell>
          <cell r="W88">
            <v>0</v>
          </cell>
          <cell r="X88" t="str">
            <v>N/A</v>
          </cell>
          <cell r="Y88" t="str">
            <v>N/A</v>
          </cell>
          <cell r="Z88">
            <v>0</v>
          </cell>
          <cell r="AA88" t="str">
            <v>N/A</v>
          </cell>
          <cell r="AB88" t="str">
            <v>N/A</v>
          </cell>
          <cell r="AC88" t="str">
            <v>N/A</v>
          </cell>
        </row>
        <row r="89">
          <cell r="A89" t="str">
            <v>OCT</v>
          </cell>
          <cell r="B89" t="str">
            <v>Emerging Technologies</v>
          </cell>
          <cell r="C89">
            <v>11260376</v>
          </cell>
          <cell r="D89">
            <v>11260376</v>
          </cell>
          <cell r="E89">
            <v>792969.61</v>
          </cell>
          <cell r="F89">
            <v>92067.39</v>
          </cell>
          <cell r="G89" t="str">
            <v>N/A</v>
          </cell>
          <cell r="H89">
            <v>0</v>
          </cell>
          <cell r="I89" t="str">
            <v>N/A</v>
          </cell>
          <cell r="J89" t="str">
            <v>N/A</v>
          </cell>
          <cell r="K89" t="str">
            <v>N/A</v>
          </cell>
          <cell r="L89" t="str">
            <v>N/A</v>
          </cell>
          <cell r="M89">
            <v>0</v>
          </cell>
          <cell r="N89" t="str">
            <v>N/A</v>
          </cell>
          <cell r="O89" t="str">
            <v>N/A</v>
          </cell>
          <cell r="P89" t="str">
            <v>N/A</v>
          </cell>
          <cell r="Q89" t="str">
            <v>N/A</v>
          </cell>
          <cell r="R89">
            <v>0</v>
          </cell>
          <cell r="S89" t="str">
            <v>N/A</v>
          </cell>
          <cell r="T89" t="str">
            <v>N/A</v>
          </cell>
          <cell r="U89" t="str">
            <v>N/A</v>
          </cell>
          <cell r="V89" t="str">
            <v>N/A</v>
          </cell>
          <cell r="W89">
            <v>0</v>
          </cell>
          <cell r="X89" t="str">
            <v>N/A</v>
          </cell>
          <cell r="Y89" t="str">
            <v>N/A</v>
          </cell>
          <cell r="Z89">
            <v>0</v>
          </cell>
          <cell r="AA89" t="str">
            <v>N/A</v>
          </cell>
          <cell r="AB89" t="str">
            <v>N/A</v>
          </cell>
          <cell r="AC89" t="str">
            <v>N/A</v>
          </cell>
        </row>
        <row r="90">
          <cell r="A90" t="str">
            <v>OCT</v>
          </cell>
          <cell r="B90" t="str">
            <v>Statewide Marketing &amp; Info</v>
          </cell>
          <cell r="C90">
            <v>26948382</v>
          </cell>
          <cell r="D90">
            <v>26948382</v>
          </cell>
          <cell r="E90">
            <v>31.590000000000298</v>
          </cell>
          <cell r="F90">
            <v>-827.13</v>
          </cell>
          <cell r="G90" t="str">
            <v>N/A</v>
          </cell>
          <cell r="H90">
            <v>0</v>
          </cell>
          <cell r="I90" t="str">
            <v>N/A</v>
          </cell>
          <cell r="J90" t="str">
            <v>N/A</v>
          </cell>
          <cell r="K90" t="str">
            <v>N/A</v>
          </cell>
          <cell r="L90" t="str">
            <v>N/A</v>
          </cell>
          <cell r="M90">
            <v>0</v>
          </cell>
          <cell r="N90" t="str">
            <v>N/A</v>
          </cell>
          <cell r="O90" t="str">
            <v>N/A</v>
          </cell>
          <cell r="P90" t="str">
            <v>N/A</v>
          </cell>
          <cell r="Q90" t="str">
            <v>N/A</v>
          </cell>
          <cell r="R90">
            <v>0</v>
          </cell>
          <cell r="S90" t="str">
            <v>N/A</v>
          </cell>
          <cell r="T90" t="str">
            <v>N/A</v>
          </cell>
          <cell r="U90" t="str">
            <v>N/A</v>
          </cell>
          <cell r="V90" t="str">
            <v>N/A</v>
          </cell>
          <cell r="W90">
            <v>0</v>
          </cell>
          <cell r="X90" t="str">
            <v>N/A</v>
          </cell>
          <cell r="Y90" t="str">
            <v>N/A</v>
          </cell>
          <cell r="Z90">
            <v>0</v>
          </cell>
          <cell r="AA90" t="str">
            <v>N/A</v>
          </cell>
          <cell r="AB90" t="str">
            <v>N/A</v>
          </cell>
          <cell r="AC90" t="str">
            <v>N/A</v>
          </cell>
        </row>
        <row r="91">
          <cell r="A91" t="str">
            <v>OCT</v>
          </cell>
          <cell r="B91" t="str">
            <v>Low Income EE (3)  (1 YR Budgets/Goals)</v>
          </cell>
          <cell r="C91">
            <v>90094498</v>
          </cell>
          <cell r="D91">
            <v>90094498</v>
          </cell>
          <cell r="E91">
            <v>68291263.909999996</v>
          </cell>
          <cell r="F91">
            <v>8032721.6799999988</v>
          </cell>
          <cell r="G91" t="str">
            <v>N/A</v>
          </cell>
          <cell r="H91">
            <v>0</v>
          </cell>
          <cell r="I91">
            <v>5551</v>
          </cell>
          <cell r="J91">
            <v>4800.8246831400002</v>
          </cell>
          <cell r="K91">
            <v>582.87790675999895</v>
          </cell>
          <cell r="L91" t="str">
            <v>N/A</v>
          </cell>
          <cell r="M91">
            <v>0</v>
          </cell>
          <cell r="N91">
            <v>26282000</v>
          </cell>
          <cell r="O91">
            <v>21879552.849999998</v>
          </cell>
          <cell r="P91">
            <v>2847883.2600000054</v>
          </cell>
          <cell r="Q91" t="str">
            <v>N/A</v>
          </cell>
          <cell r="R91">
            <v>0</v>
          </cell>
          <cell r="S91">
            <v>1370000</v>
          </cell>
          <cell r="T91">
            <v>1109436.92</v>
          </cell>
          <cell r="U91">
            <v>133973.37</v>
          </cell>
          <cell r="V91" t="str">
            <v>N/A</v>
          </cell>
          <cell r="W91">
            <v>0</v>
          </cell>
          <cell r="X91" t="str">
            <v>N/A</v>
          </cell>
          <cell r="Y91" t="str">
            <v>N/A</v>
          </cell>
          <cell r="Z91">
            <v>0</v>
          </cell>
          <cell r="AA91">
            <v>4217.9467763800012</v>
          </cell>
          <cell r="AB91">
            <v>19031669.589999992</v>
          </cell>
          <cell r="AC91">
            <v>975463.55</v>
          </cell>
        </row>
        <row r="92">
          <cell r="A92" t="str">
            <v>NOV</v>
          </cell>
          <cell r="B92" t="str">
            <v>Mass Market</v>
          </cell>
          <cell r="C92">
            <v>405857712</v>
          </cell>
          <cell r="D92">
            <v>405857712</v>
          </cell>
          <cell r="E92">
            <v>67391660.8292</v>
          </cell>
          <cell r="F92">
            <v>10159856.223600004</v>
          </cell>
          <cell r="G92">
            <v>6415905.4800000004</v>
          </cell>
          <cell r="H92">
            <v>0</v>
          </cell>
          <cell r="I92">
            <v>334053.85427348199</v>
          </cell>
          <cell r="J92">
            <v>119581.63</v>
          </cell>
          <cell r="K92">
            <v>28757.22</v>
          </cell>
          <cell r="L92">
            <v>5475.3430135999997</v>
          </cell>
          <cell r="M92">
            <v>0</v>
          </cell>
          <cell r="N92">
            <v>1728133316.3078108</v>
          </cell>
          <cell r="O92">
            <v>712281103.91999984</v>
          </cell>
          <cell r="P92">
            <v>183069007.11999977</v>
          </cell>
          <cell r="Q92">
            <v>23269994.955500003</v>
          </cell>
          <cell r="R92">
            <v>0</v>
          </cell>
          <cell r="S92">
            <v>15871656.841610486</v>
          </cell>
          <cell r="T92">
            <v>1632164.38</v>
          </cell>
          <cell r="U92">
            <v>162674.10999999999</v>
          </cell>
          <cell r="V92">
            <v>337780.93189999997</v>
          </cell>
          <cell r="W92">
            <v>0</v>
          </cell>
          <cell r="X92">
            <v>44198302.00999999</v>
          </cell>
          <cell r="Y92">
            <v>6415905.4800000004</v>
          </cell>
          <cell r="Z92">
            <v>0</v>
          </cell>
          <cell r="AA92">
            <v>90824.41</v>
          </cell>
          <cell r="AB92">
            <v>529212096.80000007</v>
          </cell>
          <cell r="AC92">
            <v>1469490.27</v>
          </cell>
        </row>
        <row r="93">
          <cell r="A93" t="str">
            <v>NOV</v>
          </cell>
          <cell r="B93" t="str">
            <v>Ag &amp; Food Processing</v>
          </cell>
          <cell r="C93">
            <v>47523134</v>
          </cell>
          <cell r="D93">
            <v>47523134</v>
          </cell>
          <cell r="E93">
            <v>4128066.4166000001</v>
          </cell>
          <cell r="F93">
            <v>950774.70529999991</v>
          </cell>
          <cell r="G93">
            <v>3463654.76</v>
          </cell>
          <cell r="H93">
            <v>0</v>
          </cell>
          <cell r="I93">
            <v>22797.08846466984</v>
          </cell>
          <cell r="J93">
            <v>2192.31</v>
          </cell>
          <cell r="K93">
            <v>261.77</v>
          </cell>
          <cell r="L93">
            <v>3108.6139999999996</v>
          </cell>
          <cell r="M93">
            <v>0</v>
          </cell>
          <cell r="N93">
            <v>164346860.9940128</v>
          </cell>
          <cell r="O93">
            <v>7193432.6100000003</v>
          </cell>
          <cell r="P93">
            <v>2343083.65</v>
          </cell>
          <cell r="Q93">
            <v>17622189.770999998</v>
          </cell>
          <cell r="R93">
            <v>0</v>
          </cell>
          <cell r="S93">
            <v>3082951.7327311719</v>
          </cell>
          <cell r="T93">
            <v>301417.74</v>
          </cell>
          <cell r="U93">
            <v>204933.24</v>
          </cell>
          <cell r="V93">
            <v>1684693.88</v>
          </cell>
          <cell r="W93">
            <v>0</v>
          </cell>
          <cell r="X93">
            <v>1010857.47</v>
          </cell>
          <cell r="Y93">
            <v>3463654.76</v>
          </cell>
          <cell r="Z93">
            <v>0</v>
          </cell>
          <cell r="AA93">
            <v>1930.54</v>
          </cell>
          <cell r="AB93">
            <v>4850348.96</v>
          </cell>
          <cell r="AC93">
            <v>96484.5</v>
          </cell>
        </row>
        <row r="94">
          <cell r="A94" t="str">
            <v>NOV</v>
          </cell>
          <cell r="B94" t="str">
            <v>Schools &amp; Colleges</v>
          </cell>
          <cell r="C94">
            <v>47568591</v>
          </cell>
          <cell r="D94">
            <v>47568591</v>
          </cell>
          <cell r="E94">
            <v>2550104.7418</v>
          </cell>
          <cell r="F94">
            <v>550067.83689999999</v>
          </cell>
          <cell r="G94">
            <v>2799649.3</v>
          </cell>
          <cell r="H94">
            <v>0</v>
          </cell>
          <cell r="I94">
            <v>28892.278794176014</v>
          </cell>
          <cell r="J94">
            <v>134.11000000000001</v>
          </cell>
          <cell r="K94">
            <v>18.2</v>
          </cell>
          <cell r="L94">
            <v>2666.0880000000002</v>
          </cell>
          <cell r="M94">
            <v>0</v>
          </cell>
          <cell r="N94">
            <v>128046825.56012681</v>
          </cell>
          <cell r="O94">
            <v>307728.65999999997</v>
          </cell>
          <cell r="P94">
            <v>9779</v>
          </cell>
          <cell r="Q94">
            <v>8465101.1280000005</v>
          </cell>
          <cell r="R94">
            <v>0</v>
          </cell>
          <cell r="S94">
            <v>2635794.0523105087</v>
          </cell>
          <cell r="T94">
            <v>-9.14</v>
          </cell>
          <cell r="U94">
            <v>29.4</v>
          </cell>
          <cell r="V94">
            <v>454939.28</v>
          </cell>
          <cell r="W94">
            <v>0</v>
          </cell>
          <cell r="X94">
            <v>256685.41</v>
          </cell>
          <cell r="Y94">
            <v>2799649.3</v>
          </cell>
          <cell r="Z94">
            <v>0</v>
          </cell>
          <cell r="AA94">
            <v>115.91</v>
          </cell>
          <cell r="AB94">
            <v>297949.65999999997</v>
          </cell>
          <cell r="AC94">
            <v>-38.54</v>
          </cell>
        </row>
        <row r="95">
          <cell r="A95" t="str">
            <v>NOV</v>
          </cell>
          <cell r="B95" t="str">
            <v>Retail Stores</v>
          </cell>
          <cell r="C95">
            <v>20850872</v>
          </cell>
          <cell r="D95">
            <v>20850872</v>
          </cell>
          <cell r="E95">
            <v>2082988.1972000001</v>
          </cell>
          <cell r="F95">
            <v>775091.2476</v>
          </cell>
          <cell r="G95">
            <v>283813.69</v>
          </cell>
          <cell r="H95">
            <v>0</v>
          </cell>
          <cell r="I95">
            <v>21271.596533140018</v>
          </cell>
          <cell r="J95">
            <v>567.29</v>
          </cell>
          <cell r="K95">
            <v>436.91</v>
          </cell>
          <cell r="L95">
            <v>634.41199999999992</v>
          </cell>
          <cell r="M95">
            <v>0</v>
          </cell>
          <cell r="N95">
            <v>125946107.22913301</v>
          </cell>
          <cell r="O95">
            <v>1521522.74</v>
          </cell>
          <cell r="P95">
            <v>770511.04</v>
          </cell>
          <cell r="Q95">
            <v>2850685.176</v>
          </cell>
          <cell r="R95">
            <v>0</v>
          </cell>
          <cell r="S95">
            <v>17583.588</v>
          </cell>
          <cell r="T95">
            <v>3543.35</v>
          </cell>
          <cell r="U95">
            <v>58.509999999999764</v>
          </cell>
          <cell r="V95">
            <v>825.7</v>
          </cell>
          <cell r="W95">
            <v>0</v>
          </cell>
          <cell r="X95">
            <v>144624.71</v>
          </cell>
          <cell r="Y95">
            <v>283813.69</v>
          </cell>
          <cell r="Z95">
            <v>0</v>
          </cell>
          <cell r="AA95">
            <v>130.38</v>
          </cell>
          <cell r="AB95">
            <v>751011.7</v>
          </cell>
          <cell r="AC95">
            <v>3484.84</v>
          </cell>
        </row>
        <row r="96">
          <cell r="A96" t="str">
            <v>NOV</v>
          </cell>
          <cell r="B96" t="str">
            <v>Fab, Prcss &amp; Hvy Indl Mfg</v>
          </cell>
          <cell r="C96">
            <v>121849249</v>
          </cell>
          <cell r="D96">
            <v>121849249</v>
          </cell>
          <cell r="E96">
            <v>5530647.4443999995</v>
          </cell>
          <cell r="F96">
            <v>1546251.8752000001</v>
          </cell>
          <cell r="G96">
            <v>10409649.98</v>
          </cell>
          <cell r="H96">
            <v>0</v>
          </cell>
          <cell r="I96">
            <v>69225.227525006732</v>
          </cell>
          <cell r="J96">
            <v>1671.11</v>
          </cell>
          <cell r="K96">
            <v>1130.8699999999999</v>
          </cell>
          <cell r="L96">
            <v>10558.698</v>
          </cell>
          <cell r="M96">
            <v>0</v>
          </cell>
          <cell r="N96">
            <v>475376401.45399302</v>
          </cell>
          <cell r="O96">
            <v>14180391.530000001</v>
          </cell>
          <cell r="P96">
            <v>9994318.4000000022</v>
          </cell>
          <cell r="Q96">
            <v>98060853.628000021</v>
          </cell>
          <cell r="R96">
            <v>0</v>
          </cell>
          <cell r="S96">
            <v>18198035.099455945</v>
          </cell>
          <cell r="T96">
            <v>1414176.6</v>
          </cell>
          <cell r="U96">
            <v>1746.5600000000559</v>
          </cell>
          <cell r="V96">
            <v>4915533.7439999999</v>
          </cell>
          <cell r="W96">
            <v>0</v>
          </cell>
          <cell r="X96">
            <v>2240772.9700000002</v>
          </cell>
          <cell r="Y96">
            <v>10409649.98</v>
          </cell>
          <cell r="Z96">
            <v>0</v>
          </cell>
          <cell r="AA96">
            <v>540.24</v>
          </cell>
          <cell r="AB96">
            <v>4186073.13</v>
          </cell>
          <cell r="AC96">
            <v>1412430.04</v>
          </cell>
        </row>
        <row r="97">
          <cell r="A97" t="str">
            <v>NOV</v>
          </cell>
          <cell r="B97" t="str">
            <v>Hi-Tech Facilities</v>
          </cell>
          <cell r="C97">
            <v>11759803</v>
          </cell>
          <cell r="D97">
            <v>11759803</v>
          </cell>
          <cell r="E97">
            <v>1759342.7905999997</v>
          </cell>
          <cell r="F97">
            <v>271645.31230000005</v>
          </cell>
          <cell r="G97">
            <v>1366150.31</v>
          </cell>
          <cell r="H97">
            <v>0</v>
          </cell>
          <cell r="I97">
            <v>6532.0886490478697</v>
          </cell>
          <cell r="J97">
            <v>155.97999999999999</v>
          </cell>
          <cell r="K97">
            <v>14.12</v>
          </cell>
          <cell r="L97">
            <v>1828.6489999999999</v>
          </cell>
          <cell r="M97">
            <v>0</v>
          </cell>
          <cell r="N97">
            <v>44364926.587099597</v>
          </cell>
          <cell r="O97">
            <v>1567046.57</v>
          </cell>
          <cell r="P97">
            <v>160297.99</v>
          </cell>
          <cell r="Q97">
            <v>21352669.561000001</v>
          </cell>
          <cell r="R97">
            <v>0</v>
          </cell>
          <cell r="S97">
            <v>25523.813309561065</v>
          </cell>
          <cell r="T97">
            <v>11088</v>
          </cell>
          <cell r="U97">
            <v>0</v>
          </cell>
          <cell r="V97">
            <v>226731.95</v>
          </cell>
          <cell r="W97">
            <v>0</v>
          </cell>
          <cell r="X97">
            <v>177019.61</v>
          </cell>
          <cell r="Y97">
            <v>1366150.31</v>
          </cell>
          <cell r="Z97">
            <v>0</v>
          </cell>
          <cell r="AA97">
            <v>141.86000000000001</v>
          </cell>
          <cell r="AB97">
            <v>1406748.58</v>
          </cell>
          <cell r="AC97">
            <v>11088</v>
          </cell>
        </row>
        <row r="98">
          <cell r="A98" t="str">
            <v>NOV</v>
          </cell>
          <cell r="B98" t="str">
            <v>Medical Facilities</v>
          </cell>
          <cell r="C98">
            <v>21407152</v>
          </cell>
          <cell r="D98">
            <v>21407152</v>
          </cell>
          <cell r="E98">
            <v>757341.75120000006</v>
          </cell>
          <cell r="F98">
            <v>78588.584600000017</v>
          </cell>
          <cell r="G98">
            <v>420616.44</v>
          </cell>
          <cell r="H98">
            <v>0</v>
          </cell>
          <cell r="I98">
            <v>27753.153177169657</v>
          </cell>
          <cell r="J98">
            <v>0</v>
          </cell>
          <cell r="K98">
            <v>0</v>
          </cell>
          <cell r="L98">
            <v>277.79800000000006</v>
          </cell>
          <cell r="M98">
            <v>0</v>
          </cell>
          <cell r="N98">
            <v>68661112.057484001</v>
          </cell>
          <cell r="O98">
            <v>0</v>
          </cell>
          <cell r="P98">
            <v>0</v>
          </cell>
          <cell r="Q98">
            <v>2174455.56</v>
          </cell>
          <cell r="R98">
            <v>0</v>
          </cell>
          <cell r="S98">
            <v>494605</v>
          </cell>
          <cell r="T98">
            <v>0</v>
          </cell>
          <cell r="U98">
            <v>0</v>
          </cell>
          <cell r="V98">
            <v>8059.8</v>
          </cell>
          <cell r="W98">
            <v>0</v>
          </cell>
          <cell r="X98">
            <v>0</v>
          </cell>
          <cell r="Y98">
            <v>420616.44</v>
          </cell>
          <cell r="Z98">
            <v>0</v>
          </cell>
          <cell r="AA98">
            <v>0</v>
          </cell>
          <cell r="AB98">
            <v>0</v>
          </cell>
          <cell r="AC98">
            <v>0</v>
          </cell>
        </row>
        <row r="99">
          <cell r="A99" t="str">
            <v>NOV</v>
          </cell>
          <cell r="B99" t="str">
            <v>Large Commercial</v>
          </cell>
          <cell r="C99">
            <v>68595302</v>
          </cell>
          <cell r="D99">
            <v>68595302</v>
          </cell>
          <cell r="E99">
            <v>4591858.4023999991</v>
          </cell>
          <cell r="F99">
            <v>1057182.8391999998</v>
          </cell>
          <cell r="G99">
            <v>2094277.94</v>
          </cell>
          <cell r="H99">
            <v>0</v>
          </cell>
          <cell r="I99">
            <v>73838.296918087362</v>
          </cell>
          <cell r="J99">
            <v>671.49</v>
          </cell>
          <cell r="K99">
            <v>220.65</v>
          </cell>
          <cell r="L99">
            <v>2662.9490000000001</v>
          </cell>
          <cell r="M99">
            <v>0</v>
          </cell>
          <cell r="N99">
            <v>219609296.0400379</v>
          </cell>
          <cell r="O99">
            <v>4426696.3499999996</v>
          </cell>
          <cell r="P99">
            <v>1106110.82</v>
          </cell>
          <cell r="Q99">
            <v>16828186.783999998</v>
          </cell>
          <cell r="R99">
            <v>0</v>
          </cell>
          <cell r="S99">
            <v>2224825.1578322467</v>
          </cell>
          <cell r="T99">
            <v>8984.06</v>
          </cell>
          <cell r="U99">
            <v>5064.76</v>
          </cell>
          <cell r="V99">
            <v>46401.68</v>
          </cell>
          <cell r="W99">
            <v>0</v>
          </cell>
          <cell r="X99">
            <v>838482.27</v>
          </cell>
          <cell r="Y99">
            <v>2094277.94</v>
          </cell>
          <cell r="Z99">
            <v>0</v>
          </cell>
          <cell r="AA99">
            <v>450.84</v>
          </cell>
          <cell r="AB99">
            <v>3320585.53</v>
          </cell>
          <cell r="AC99">
            <v>3919.3</v>
          </cell>
        </row>
        <row r="100">
          <cell r="A100" t="str">
            <v>NOV</v>
          </cell>
          <cell r="B100" t="str">
            <v>Hospitality Facilities</v>
          </cell>
          <cell r="C100">
            <v>11793097</v>
          </cell>
          <cell r="D100">
            <v>11793097</v>
          </cell>
          <cell r="E100">
            <v>1172656.2930000001</v>
          </cell>
          <cell r="F100">
            <v>105022.65150000001</v>
          </cell>
          <cell r="G100">
            <v>170246.39</v>
          </cell>
          <cell r="H100">
            <v>0</v>
          </cell>
          <cell r="I100">
            <v>7577.0826254285475</v>
          </cell>
          <cell r="J100">
            <v>40.4</v>
          </cell>
          <cell r="K100">
            <v>17.579999999999998</v>
          </cell>
          <cell r="L100">
            <v>71.984999999999999</v>
          </cell>
          <cell r="M100">
            <v>0</v>
          </cell>
          <cell r="N100">
            <v>37330060.295922801</v>
          </cell>
          <cell r="O100">
            <v>277420.71999999997</v>
          </cell>
          <cell r="P100">
            <v>136029.34</v>
          </cell>
          <cell r="Q100">
            <v>1128932.4409999999</v>
          </cell>
          <cell r="R100">
            <v>0</v>
          </cell>
          <cell r="S100">
            <v>33302.25</v>
          </cell>
          <cell r="T100">
            <v>2813.49</v>
          </cell>
          <cell r="U100">
            <v>1137.55</v>
          </cell>
          <cell r="V100">
            <v>41279.919999999998</v>
          </cell>
          <cell r="W100">
            <v>0</v>
          </cell>
          <cell r="X100">
            <v>38021.26</v>
          </cell>
          <cell r="Y100">
            <v>170246.39</v>
          </cell>
          <cell r="Z100">
            <v>0</v>
          </cell>
          <cell r="AA100">
            <v>22.82</v>
          </cell>
          <cell r="AB100">
            <v>141391.38</v>
          </cell>
          <cell r="AC100">
            <v>1675.94</v>
          </cell>
        </row>
        <row r="101">
          <cell r="A101" t="str">
            <v>NOV</v>
          </cell>
          <cell r="B101" t="str">
            <v>Res New Construction</v>
          </cell>
          <cell r="C101">
            <v>26264217</v>
          </cell>
          <cell r="D101">
            <v>26264217</v>
          </cell>
          <cell r="E101">
            <v>1990262.4524000003</v>
          </cell>
          <cell r="F101">
            <v>113027.77919999999</v>
          </cell>
          <cell r="G101">
            <v>2577925</v>
          </cell>
          <cell r="H101">
            <v>0</v>
          </cell>
          <cell r="I101">
            <v>9015.1305056540205</v>
          </cell>
          <cell r="J101">
            <v>38.770000000000003</v>
          </cell>
          <cell r="K101">
            <v>24.12</v>
          </cell>
          <cell r="L101">
            <v>1206.2935696000002</v>
          </cell>
          <cell r="M101">
            <v>0</v>
          </cell>
          <cell r="N101">
            <v>13357136.488374671</v>
          </cell>
          <cell r="O101">
            <v>36762.400000000001</v>
          </cell>
          <cell r="P101">
            <v>22461.599999999999</v>
          </cell>
          <cell r="Q101">
            <v>1659011.2</v>
          </cell>
          <cell r="R101">
            <v>0</v>
          </cell>
          <cell r="S101">
            <v>2454487.1347570699</v>
          </cell>
          <cell r="T101">
            <v>7798.98</v>
          </cell>
          <cell r="U101">
            <v>4624</v>
          </cell>
          <cell r="V101">
            <v>449065.6</v>
          </cell>
          <cell r="W101">
            <v>0</v>
          </cell>
          <cell r="X101">
            <v>168305</v>
          </cell>
          <cell r="Y101">
            <v>2577925</v>
          </cell>
          <cell r="Z101">
            <v>0</v>
          </cell>
          <cell r="AA101">
            <v>14.65</v>
          </cell>
          <cell r="AB101">
            <v>14300.8</v>
          </cell>
          <cell r="AC101">
            <v>3174.98</v>
          </cell>
        </row>
        <row r="102">
          <cell r="A102" t="str">
            <v>NOV</v>
          </cell>
          <cell r="B102" t="str">
            <v>Education &amp; Training</v>
          </cell>
          <cell r="C102">
            <v>41154602</v>
          </cell>
          <cell r="D102">
            <v>41154602</v>
          </cell>
          <cell r="E102">
            <v>8447311.8112000003</v>
          </cell>
          <cell r="F102">
            <v>1151232.4146</v>
          </cell>
          <cell r="G102" t="str">
            <v>N/A</v>
          </cell>
          <cell r="H102">
            <v>0</v>
          </cell>
          <cell r="I102" t="str">
            <v>N/A</v>
          </cell>
          <cell r="J102" t="str">
            <v>N/A</v>
          </cell>
          <cell r="K102" t="str">
            <v>N/A</v>
          </cell>
          <cell r="L102" t="str">
            <v>N/A</v>
          </cell>
          <cell r="M102">
            <v>0</v>
          </cell>
          <cell r="N102" t="str">
            <v>N/A</v>
          </cell>
          <cell r="O102" t="str">
            <v>N/A</v>
          </cell>
          <cell r="P102" t="str">
            <v>N/A</v>
          </cell>
          <cell r="Q102" t="str">
            <v>N/A</v>
          </cell>
          <cell r="R102">
            <v>0</v>
          </cell>
          <cell r="S102" t="str">
            <v>N/A</v>
          </cell>
          <cell r="T102" t="str">
            <v>N/A</v>
          </cell>
          <cell r="U102" t="str">
            <v>N/A</v>
          </cell>
          <cell r="V102" t="str">
            <v>N/A</v>
          </cell>
          <cell r="W102">
            <v>0</v>
          </cell>
          <cell r="X102" t="str">
            <v>N/A</v>
          </cell>
          <cell r="Y102" t="str">
            <v>N/A</v>
          </cell>
          <cell r="Z102">
            <v>0</v>
          </cell>
          <cell r="AA102" t="str">
            <v>N/A</v>
          </cell>
          <cell r="AB102" t="str">
            <v>N/A</v>
          </cell>
          <cell r="AC102" t="str">
            <v>N/A</v>
          </cell>
        </row>
        <row r="103">
          <cell r="A103" t="str">
            <v>NOV</v>
          </cell>
          <cell r="B103" t="str">
            <v>Codes &amp; Standards</v>
          </cell>
          <cell r="C103">
            <v>4635754</v>
          </cell>
          <cell r="D103">
            <v>4635754</v>
          </cell>
          <cell r="E103">
            <v>1070394.8400000001</v>
          </cell>
          <cell r="F103">
            <v>130883.22</v>
          </cell>
          <cell r="G103" t="str">
            <v>N/A</v>
          </cell>
          <cell r="H103">
            <v>0</v>
          </cell>
          <cell r="I103" t="str">
            <v>N/A</v>
          </cell>
          <cell r="J103" t="str">
            <v>N/A</v>
          </cell>
          <cell r="K103" t="str">
            <v>N/A</v>
          </cell>
          <cell r="L103" t="str">
            <v>N/A</v>
          </cell>
          <cell r="M103">
            <v>0</v>
          </cell>
          <cell r="N103" t="str">
            <v>N/A</v>
          </cell>
          <cell r="O103" t="str">
            <v>N/A</v>
          </cell>
          <cell r="P103" t="str">
            <v>N/A</v>
          </cell>
          <cell r="Q103" t="str">
            <v>N/A</v>
          </cell>
          <cell r="R103">
            <v>0</v>
          </cell>
          <cell r="S103" t="str">
            <v>N/A</v>
          </cell>
          <cell r="T103" t="str">
            <v>N/A</v>
          </cell>
          <cell r="U103" t="str">
            <v>N/A</v>
          </cell>
          <cell r="V103" t="str">
            <v>N/A</v>
          </cell>
          <cell r="W103">
            <v>0</v>
          </cell>
          <cell r="X103" t="str">
            <v>N/A</v>
          </cell>
          <cell r="Y103" t="str">
            <v>N/A</v>
          </cell>
          <cell r="Z103">
            <v>0</v>
          </cell>
          <cell r="AA103" t="str">
            <v>N/A</v>
          </cell>
          <cell r="AB103" t="str">
            <v>N/A</v>
          </cell>
          <cell r="AC103" t="str">
            <v>N/A</v>
          </cell>
        </row>
        <row r="104">
          <cell r="A104" t="str">
            <v>NOV</v>
          </cell>
          <cell r="B104" t="str">
            <v>Emerging Technologies</v>
          </cell>
          <cell r="C104">
            <v>11260376</v>
          </cell>
          <cell r="D104">
            <v>11260376</v>
          </cell>
          <cell r="E104">
            <v>909850.23</v>
          </cell>
          <cell r="F104">
            <v>116880.62</v>
          </cell>
          <cell r="G104" t="str">
            <v>N/A</v>
          </cell>
          <cell r="H104">
            <v>0</v>
          </cell>
          <cell r="I104" t="str">
            <v>N/A</v>
          </cell>
          <cell r="J104" t="str">
            <v>N/A</v>
          </cell>
          <cell r="K104" t="str">
            <v>N/A</v>
          </cell>
          <cell r="L104" t="str">
            <v>N/A</v>
          </cell>
          <cell r="M104">
            <v>0</v>
          </cell>
          <cell r="N104" t="str">
            <v>N/A</v>
          </cell>
          <cell r="O104" t="str">
            <v>N/A</v>
          </cell>
          <cell r="P104" t="str">
            <v>N/A</v>
          </cell>
          <cell r="Q104" t="str">
            <v>N/A</v>
          </cell>
          <cell r="R104">
            <v>0</v>
          </cell>
          <cell r="S104" t="str">
            <v>N/A</v>
          </cell>
          <cell r="T104" t="str">
            <v>N/A</v>
          </cell>
          <cell r="U104" t="str">
            <v>N/A</v>
          </cell>
          <cell r="V104" t="str">
            <v>N/A</v>
          </cell>
          <cell r="W104">
            <v>0</v>
          </cell>
          <cell r="X104" t="str">
            <v>N/A</v>
          </cell>
          <cell r="Y104" t="str">
            <v>N/A</v>
          </cell>
          <cell r="Z104">
            <v>0</v>
          </cell>
          <cell r="AA104" t="str">
            <v>N/A</v>
          </cell>
          <cell r="AB104" t="str">
            <v>N/A</v>
          </cell>
          <cell r="AC104" t="str">
            <v>N/A</v>
          </cell>
        </row>
        <row r="105">
          <cell r="A105" t="str">
            <v>NOV</v>
          </cell>
          <cell r="B105" t="str">
            <v>Statewide Marketing &amp; Info</v>
          </cell>
          <cell r="C105">
            <v>26948382</v>
          </cell>
          <cell r="D105">
            <v>26948382</v>
          </cell>
          <cell r="E105">
            <v>31.59</v>
          </cell>
          <cell r="F105">
            <v>0</v>
          </cell>
          <cell r="G105" t="str">
            <v>N/A</v>
          </cell>
          <cell r="H105">
            <v>0</v>
          </cell>
          <cell r="I105" t="str">
            <v>N/A</v>
          </cell>
          <cell r="J105" t="str">
            <v>N/A</v>
          </cell>
          <cell r="K105" t="str">
            <v>N/A</v>
          </cell>
          <cell r="L105" t="str">
            <v>N/A</v>
          </cell>
          <cell r="M105">
            <v>0</v>
          </cell>
          <cell r="N105" t="str">
            <v>N/A</v>
          </cell>
          <cell r="O105" t="str">
            <v>N/A</v>
          </cell>
          <cell r="P105" t="str">
            <v>N/A</v>
          </cell>
          <cell r="Q105" t="str">
            <v>N/A</v>
          </cell>
          <cell r="R105">
            <v>0</v>
          </cell>
          <cell r="S105" t="str">
            <v>N/A</v>
          </cell>
          <cell r="T105" t="str">
            <v>N/A</v>
          </cell>
          <cell r="U105" t="str">
            <v>N/A</v>
          </cell>
          <cell r="V105" t="str">
            <v>N/A</v>
          </cell>
          <cell r="W105">
            <v>0</v>
          </cell>
          <cell r="X105" t="str">
            <v>N/A</v>
          </cell>
          <cell r="Y105" t="str">
            <v>N/A</v>
          </cell>
          <cell r="Z105">
            <v>0</v>
          </cell>
          <cell r="AA105" t="str">
            <v>N/A</v>
          </cell>
          <cell r="AB105" t="str">
            <v>N/A</v>
          </cell>
          <cell r="AC105" t="str">
            <v>N/A</v>
          </cell>
        </row>
        <row r="106">
          <cell r="A106" t="str">
            <v>NOV</v>
          </cell>
          <cell r="B106" t="str">
            <v>Low Income EE (3)  (1 YR Budgets/Goals)</v>
          </cell>
          <cell r="C106">
            <v>90094498</v>
          </cell>
          <cell r="D106">
            <v>90094498</v>
          </cell>
          <cell r="E106">
            <v>74998760.829999998</v>
          </cell>
          <cell r="F106">
            <v>6707496.9200000009</v>
          </cell>
          <cell r="G106" t="str">
            <v>N/A</v>
          </cell>
          <cell r="H106">
            <v>0</v>
          </cell>
          <cell r="I106">
            <v>5551</v>
          </cell>
          <cell r="J106">
            <v>5179.7727630100007</v>
          </cell>
          <cell r="K106">
            <v>378.94807987000058</v>
          </cell>
          <cell r="L106" t="str">
            <v>N/A</v>
          </cell>
          <cell r="M106">
            <v>0</v>
          </cell>
          <cell r="N106">
            <v>26282000</v>
          </cell>
          <cell r="O106">
            <v>23791394.990000002</v>
          </cell>
          <cell r="P106">
            <v>1911842.14</v>
          </cell>
          <cell r="Q106" t="str">
            <v>N/A</v>
          </cell>
          <cell r="R106">
            <v>0</v>
          </cell>
          <cell r="S106">
            <v>1370000</v>
          </cell>
          <cell r="T106">
            <v>1200944.03</v>
          </cell>
          <cell r="U106">
            <v>91507.10999999987</v>
          </cell>
          <cell r="V106" t="str">
            <v>N/A</v>
          </cell>
          <cell r="W106">
            <v>0</v>
          </cell>
          <cell r="X106" t="str">
            <v>N/A</v>
          </cell>
          <cell r="Y106" t="str">
            <v>N/A</v>
          </cell>
          <cell r="Z106">
            <v>0</v>
          </cell>
          <cell r="AA106">
            <v>4800.8246831400002</v>
          </cell>
          <cell r="AB106">
            <v>21879552.849999998</v>
          </cell>
          <cell r="AC106">
            <v>1109436.92</v>
          </cell>
        </row>
        <row r="107">
          <cell r="A107" t="str">
            <v>DEC</v>
          </cell>
          <cell r="B107" t="str">
            <v>Mass Market</v>
          </cell>
          <cell r="C107">
            <v>405857712</v>
          </cell>
          <cell r="D107">
            <v>405857712</v>
          </cell>
          <cell r="E107">
            <v>83705229.187600002</v>
          </cell>
          <cell r="F107">
            <v>16313568.358399998</v>
          </cell>
          <cell r="G107">
            <v>5635371.4000000004</v>
          </cell>
          <cell r="H107">
            <v>0</v>
          </cell>
          <cell r="I107">
            <v>334053.85427348199</v>
          </cell>
          <cell r="J107">
            <v>134550.84813269999</v>
          </cell>
          <cell r="K107">
            <v>14969.218132699985</v>
          </cell>
          <cell r="L107">
            <v>3818.0863101</v>
          </cell>
          <cell r="M107">
            <v>0</v>
          </cell>
          <cell r="N107">
            <v>1728133316.3078108</v>
          </cell>
          <cell r="O107">
            <v>787764525.20319998</v>
          </cell>
          <cell r="P107">
            <v>75483421.283200145</v>
          </cell>
          <cell r="Q107">
            <v>18481395.405099999</v>
          </cell>
          <cell r="R107">
            <v>0</v>
          </cell>
          <cell r="S107">
            <v>15871656.841610486</v>
          </cell>
          <cell r="T107">
            <v>3054884.9718999998</v>
          </cell>
          <cell r="U107">
            <v>1422720.5918999999</v>
          </cell>
          <cell r="V107">
            <v>91714.428799999994</v>
          </cell>
          <cell r="W107">
            <v>0</v>
          </cell>
          <cell r="X107">
            <v>52171257.509999998</v>
          </cell>
          <cell r="Y107">
            <v>5635371.4000000004</v>
          </cell>
          <cell r="Z107">
            <v>0</v>
          </cell>
          <cell r="AA107">
            <v>119581.63</v>
          </cell>
          <cell r="AB107">
            <v>712281103.91999984</v>
          </cell>
          <cell r="AC107">
            <v>1632164.38</v>
          </cell>
        </row>
        <row r="108">
          <cell r="A108" t="str">
            <v>DEC</v>
          </cell>
          <cell r="B108" t="str">
            <v>Ag &amp; Food Processing</v>
          </cell>
          <cell r="C108">
            <v>47523134</v>
          </cell>
          <cell r="D108">
            <v>47523134</v>
          </cell>
          <cell r="E108">
            <v>6374090.0773</v>
          </cell>
          <cell r="F108">
            <v>2246023.6607000004</v>
          </cell>
          <cell r="G108">
            <v>3187790.57</v>
          </cell>
          <cell r="H108">
            <v>0</v>
          </cell>
          <cell r="I108">
            <v>22797.08846466984</v>
          </cell>
          <cell r="J108">
            <v>3307.567</v>
          </cell>
          <cell r="K108">
            <v>1115.2570000000001</v>
          </cell>
          <cell r="L108">
            <v>3512.3609999999999</v>
          </cell>
          <cell r="M108">
            <v>0</v>
          </cell>
          <cell r="N108">
            <v>164346860.9940128</v>
          </cell>
          <cell r="O108">
            <v>10418546.109999999</v>
          </cell>
          <cell r="P108">
            <v>3225113.5</v>
          </cell>
          <cell r="Q108">
            <v>21501861.487</v>
          </cell>
          <cell r="R108">
            <v>0</v>
          </cell>
          <cell r="S108">
            <v>3082951.7327311719</v>
          </cell>
          <cell r="T108">
            <v>1320746.1399999999</v>
          </cell>
          <cell r="U108">
            <v>1019328.4</v>
          </cell>
          <cell r="V108">
            <v>1101306.22</v>
          </cell>
          <cell r="W108">
            <v>0</v>
          </cell>
          <cell r="X108">
            <v>2206246.11</v>
          </cell>
          <cell r="Y108">
            <v>3187790.57</v>
          </cell>
          <cell r="Z108">
            <v>0</v>
          </cell>
          <cell r="AA108">
            <v>2192.31</v>
          </cell>
          <cell r="AB108">
            <v>7193432.6100000003</v>
          </cell>
          <cell r="AC108">
            <v>301417.74</v>
          </cell>
        </row>
        <row r="109">
          <cell r="A109" t="str">
            <v>DEC</v>
          </cell>
          <cell r="B109" t="str">
            <v>Schools &amp; Colleges</v>
          </cell>
          <cell r="C109">
            <v>47568591</v>
          </cell>
          <cell r="D109">
            <v>47568591</v>
          </cell>
          <cell r="E109">
            <v>4516542.9128999999</v>
          </cell>
          <cell r="F109">
            <v>1966438.1711000002</v>
          </cell>
          <cell r="G109">
            <v>3043061.19</v>
          </cell>
          <cell r="H109">
            <v>0</v>
          </cell>
          <cell r="I109">
            <v>28892.278794176014</v>
          </cell>
          <cell r="J109">
            <v>298.20499999999998</v>
          </cell>
          <cell r="K109">
            <v>164.095</v>
          </cell>
          <cell r="L109">
            <v>3935.1039999999998</v>
          </cell>
          <cell r="M109">
            <v>0</v>
          </cell>
          <cell r="N109">
            <v>128046825.56012681</v>
          </cell>
          <cell r="O109">
            <v>1441889.26</v>
          </cell>
          <cell r="P109">
            <v>1134160.6000000001</v>
          </cell>
          <cell r="Q109">
            <v>9117320.1279999986</v>
          </cell>
          <cell r="R109">
            <v>0</v>
          </cell>
          <cell r="S109">
            <v>2635794.0523105087</v>
          </cell>
          <cell r="T109">
            <v>80034.86</v>
          </cell>
          <cell r="U109">
            <v>80044</v>
          </cell>
          <cell r="V109">
            <v>462348.36</v>
          </cell>
          <cell r="W109">
            <v>0</v>
          </cell>
          <cell r="X109">
            <v>874642.96</v>
          </cell>
          <cell r="Y109">
            <v>3043061.19</v>
          </cell>
          <cell r="Z109">
            <v>0</v>
          </cell>
          <cell r="AA109">
            <v>134.11000000000001</v>
          </cell>
          <cell r="AB109">
            <v>307728.65999999997</v>
          </cell>
          <cell r="AC109">
            <v>-9.14</v>
          </cell>
        </row>
        <row r="110">
          <cell r="A110" t="str">
            <v>DEC</v>
          </cell>
          <cell r="B110" t="str">
            <v>Retail Stores</v>
          </cell>
          <cell r="C110">
            <v>20850872</v>
          </cell>
          <cell r="D110">
            <v>20850872</v>
          </cell>
          <cell r="E110">
            <v>3142025.6816000002</v>
          </cell>
          <cell r="F110">
            <v>1059037.4844000002</v>
          </cell>
          <cell r="G110">
            <v>272074.81</v>
          </cell>
          <cell r="H110">
            <v>0</v>
          </cell>
          <cell r="I110">
            <v>21271.596533140018</v>
          </cell>
          <cell r="J110">
            <v>796.04600000000005</v>
          </cell>
          <cell r="K110">
            <v>228.75600000000009</v>
          </cell>
          <cell r="L110">
            <v>529.43200000000002</v>
          </cell>
          <cell r="M110">
            <v>0</v>
          </cell>
          <cell r="N110">
            <v>125946107.22913301</v>
          </cell>
          <cell r="O110">
            <v>2115449.2000000002</v>
          </cell>
          <cell r="P110">
            <v>593926.46</v>
          </cell>
          <cell r="Q110">
            <v>3370742.1289999997</v>
          </cell>
          <cell r="R110">
            <v>0</v>
          </cell>
          <cell r="S110">
            <v>17583.588</v>
          </cell>
          <cell r="T110">
            <v>6986.51</v>
          </cell>
          <cell r="U110">
            <v>3443.16</v>
          </cell>
          <cell r="V110">
            <v>1183.22</v>
          </cell>
          <cell r="W110">
            <v>0</v>
          </cell>
          <cell r="X110">
            <v>258388.52</v>
          </cell>
          <cell r="Y110">
            <v>272074.81</v>
          </cell>
          <cell r="Z110">
            <v>0</v>
          </cell>
          <cell r="AA110">
            <v>567.29</v>
          </cell>
          <cell r="AB110">
            <v>1521522.74</v>
          </cell>
          <cell r="AC110">
            <v>3543.35</v>
          </cell>
        </row>
        <row r="111">
          <cell r="A111" t="str">
            <v>DEC</v>
          </cell>
          <cell r="B111" t="str">
            <v>Fab, Prcss &amp; Hvy Indl Mfg</v>
          </cell>
          <cell r="C111">
            <v>121849249</v>
          </cell>
          <cell r="D111">
            <v>121849249</v>
          </cell>
          <cell r="E111">
            <v>10314198.5132</v>
          </cell>
          <cell r="F111">
            <v>4783551.0687999995</v>
          </cell>
          <cell r="G111">
            <v>8823807.8800000008</v>
          </cell>
          <cell r="H111">
            <v>0</v>
          </cell>
          <cell r="I111">
            <v>69225.227525006732</v>
          </cell>
          <cell r="J111">
            <v>3771.4679999999998</v>
          </cell>
          <cell r="K111">
            <v>2100.3580000000002</v>
          </cell>
          <cell r="L111">
            <v>8550.5370000000003</v>
          </cell>
          <cell r="M111">
            <v>0</v>
          </cell>
          <cell r="N111">
            <v>475376401.45399302</v>
          </cell>
          <cell r="O111">
            <v>34448673.093999997</v>
          </cell>
          <cell r="P111">
            <v>20268281.563999996</v>
          </cell>
          <cell r="Q111">
            <v>76091752.098000005</v>
          </cell>
          <cell r="R111">
            <v>0</v>
          </cell>
          <cell r="S111">
            <v>18198035.099455945</v>
          </cell>
          <cell r="T111">
            <v>3301966.22</v>
          </cell>
          <cell r="U111">
            <v>1887789.62</v>
          </cell>
          <cell r="V111">
            <v>4321845.1279999996</v>
          </cell>
          <cell r="W111">
            <v>0</v>
          </cell>
          <cell r="X111">
            <v>5360233.57</v>
          </cell>
          <cell r="Y111">
            <v>8823807.8800000008</v>
          </cell>
          <cell r="Z111">
            <v>0</v>
          </cell>
          <cell r="AA111">
            <v>1671.11</v>
          </cell>
          <cell r="AB111">
            <v>14180391.530000001</v>
          </cell>
          <cell r="AC111">
            <v>1414176.6</v>
          </cell>
        </row>
        <row r="112">
          <cell r="A112" t="str">
            <v>DEC</v>
          </cell>
          <cell r="B112" t="str">
            <v>Hi-Tech Facilities</v>
          </cell>
          <cell r="C112">
            <v>11759803</v>
          </cell>
          <cell r="D112">
            <v>11759803</v>
          </cell>
          <cell r="E112">
            <v>2222920.8943000003</v>
          </cell>
          <cell r="F112">
            <v>463578.10369999998</v>
          </cell>
          <cell r="G112">
            <v>1963539.69</v>
          </cell>
          <cell r="H112">
            <v>0</v>
          </cell>
          <cell r="I112">
            <v>6532.0886490478697</v>
          </cell>
          <cell r="J112">
            <v>261.48199999999997</v>
          </cell>
          <cell r="K112">
            <v>105.50199999999998</v>
          </cell>
          <cell r="L112">
            <v>2133.1709999999998</v>
          </cell>
          <cell r="M112">
            <v>0</v>
          </cell>
          <cell r="N112">
            <v>44364926.587099597</v>
          </cell>
          <cell r="O112">
            <v>2523705.67</v>
          </cell>
          <cell r="P112">
            <v>956659.1</v>
          </cell>
          <cell r="Q112">
            <v>24206216.894000001</v>
          </cell>
          <cell r="R112">
            <v>0</v>
          </cell>
          <cell r="S112">
            <v>25523.813309561065</v>
          </cell>
          <cell r="T112">
            <v>38484.949999999997</v>
          </cell>
          <cell r="U112">
            <v>27396.95</v>
          </cell>
          <cell r="V112">
            <v>493980.4</v>
          </cell>
          <cell r="W112">
            <v>0</v>
          </cell>
          <cell r="X112">
            <v>311596.42</v>
          </cell>
          <cell r="Y112">
            <v>1963539.69</v>
          </cell>
          <cell r="Z112">
            <v>0</v>
          </cell>
          <cell r="AA112">
            <v>155.97999999999999</v>
          </cell>
          <cell r="AB112">
            <v>1567046.57</v>
          </cell>
          <cell r="AC112">
            <v>11088</v>
          </cell>
        </row>
        <row r="113">
          <cell r="A113" t="str">
            <v>DEC</v>
          </cell>
          <cell r="B113" t="str">
            <v>Medical Facilities</v>
          </cell>
          <cell r="C113">
            <v>21407152</v>
          </cell>
          <cell r="D113">
            <v>21407152</v>
          </cell>
          <cell r="E113">
            <v>914670.98860000004</v>
          </cell>
          <cell r="F113">
            <v>157329.23740000001</v>
          </cell>
          <cell r="G113">
            <v>478444.44</v>
          </cell>
          <cell r="H113">
            <v>0</v>
          </cell>
          <cell r="I113">
            <v>27753.153177169657</v>
          </cell>
          <cell r="J113">
            <v>0</v>
          </cell>
          <cell r="K113">
            <v>0</v>
          </cell>
          <cell r="L113">
            <v>343.22280000000001</v>
          </cell>
          <cell r="M113">
            <v>0</v>
          </cell>
          <cell r="N113">
            <v>68661112.057484001</v>
          </cell>
          <cell r="O113">
            <v>0</v>
          </cell>
          <cell r="P113">
            <v>0</v>
          </cell>
          <cell r="Q113">
            <v>2467718.824</v>
          </cell>
          <cell r="R113">
            <v>0</v>
          </cell>
          <cell r="S113">
            <v>494605</v>
          </cell>
          <cell r="T113">
            <v>0</v>
          </cell>
          <cell r="U113">
            <v>0</v>
          </cell>
          <cell r="V113">
            <v>25149.53</v>
          </cell>
          <cell r="W113">
            <v>0</v>
          </cell>
          <cell r="X113">
            <v>16035</v>
          </cell>
          <cell r="Y113">
            <v>478444.44</v>
          </cell>
          <cell r="Z113">
            <v>0</v>
          </cell>
          <cell r="AA113">
            <v>0</v>
          </cell>
          <cell r="AB113">
            <v>0</v>
          </cell>
          <cell r="AC113">
            <v>0</v>
          </cell>
        </row>
        <row r="114">
          <cell r="A114" t="str">
            <v>DEC</v>
          </cell>
          <cell r="B114" t="str">
            <v>Large Commercial</v>
          </cell>
          <cell r="C114">
            <v>68595302</v>
          </cell>
          <cell r="D114">
            <v>68595302</v>
          </cell>
          <cell r="E114">
            <v>6407950.9772000005</v>
          </cell>
          <cell r="F114">
            <v>1816092.5747999998</v>
          </cell>
          <cell r="G114">
            <v>2209841.46</v>
          </cell>
          <cell r="H114">
            <v>0</v>
          </cell>
          <cell r="I114">
            <v>73838.296918087362</v>
          </cell>
          <cell r="J114">
            <v>858.02</v>
          </cell>
          <cell r="K114">
            <v>186.53</v>
          </cell>
          <cell r="L114">
            <v>2866.11</v>
          </cell>
          <cell r="M114">
            <v>0</v>
          </cell>
          <cell r="N114">
            <v>219609296.0400379</v>
          </cell>
          <cell r="O114">
            <v>5672999.6500000004</v>
          </cell>
          <cell r="P114">
            <v>1246303.3</v>
          </cell>
          <cell r="Q114">
            <v>18133806.164000001</v>
          </cell>
          <cell r="R114">
            <v>0</v>
          </cell>
          <cell r="S114">
            <v>2224825.1578322467</v>
          </cell>
          <cell r="T114">
            <v>79994.16</v>
          </cell>
          <cell r="U114">
            <v>71010.100000000006</v>
          </cell>
          <cell r="V114">
            <v>42907.28</v>
          </cell>
          <cell r="W114">
            <v>0</v>
          </cell>
          <cell r="X114">
            <v>1301257.6399999999</v>
          </cell>
          <cell r="Y114">
            <v>2209841.46</v>
          </cell>
          <cell r="Z114">
            <v>0</v>
          </cell>
          <cell r="AA114">
            <v>671.49</v>
          </cell>
          <cell r="AB114">
            <v>4426696.3499999996</v>
          </cell>
          <cell r="AC114">
            <v>8984.06</v>
          </cell>
        </row>
        <row r="115">
          <cell r="A115" t="str">
            <v>DEC</v>
          </cell>
          <cell r="B115" t="str">
            <v>Hospitality Facilities</v>
          </cell>
          <cell r="C115">
            <v>11793097</v>
          </cell>
          <cell r="D115">
            <v>11793097</v>
          </cell>
          <cell r="E115">
            <v>1598026.5715000001</v>
          </cell>
          <cell r="F115">
            <v>425370.27850000001</v>
          </cell>
          <cell r="G115">
            <v>143944.22</v>
          </cell>
          <cell r="H115">
            <v>0</v>
          </cell>
          <cell r="I115">
            <v>7577.0826254285475</v>
          </cell>
          <cell r="J115">
            <v>62.559000000000005</v>
          </cell>
          <cell r="K115">
            <v>22.159000000000006</v>
          </cell>
          <cell r="L115">
            <v>71.984999999999999</v>
          </cell>
          <cell r="M115">
            <v>0</v>
          </cell>
          <cell r="N115">
            <v>37330060.295922801</v>
          </cell>
          <cell r="O115">
            <v>395766.85</v>
          </cell>
          <cell r="P115">
            <v>118346.13</v>
          </cell>
          <cell r="Q115">
            <v>968624.321</v>
          </cell>
          <cell r="R115">
            <v>0</v>
          </cell>
          <cell r="S115">
            <v>33302.25</v>
          </cell>
          <cell r="T115">
            <v>16872.503000000001</v>
          </cell>
          <cell r="U115">
            <v>14059.013000000001</v>
          </cell>
          <cell r="V115">
            <v>39307.32</v>
          </cell>
          <cell r="W115">
            <v>0</v>
          </cell>
          <cell r="X115">
            <v>67613.94</v>
          </cell>
          <cell r="Y115">
            <v>143944.22</v>
          </cell>
          <cell r="Z115">
            <v>0</v>
          </cell>
          <cell r="AA115">
            <v>40.4</v>
          </cell>
          <cell r="AB115">
            <v>277420.71999999997</v>
          </cell>
          <cell r="AC115">
            <v>2813.49</v>
          </cell>
        </row>
        <row r="116">
          <cell r="A116" t="str">
            <v>DEC</v>
          </cell>
          <cell r="B116" t="str">
            <v>Res New Construction</v>
          </cell>
          <cell r="C116">
            <v>26264217</v>
          </cell>
          <cell r="D116">
            <v>26264217</v>
          </cell>
          <cell r="E116">
            <v>2402364.3272000002</v>
          </cell>
          <cell r="F116">
            <v>412101.87480000005</v>
          </cell>
          <cell r="G116">
            <v>2426515</v>
          </cell>
          <cell r="H116">
            <v>0</v>
          </cell>
          <cell r="I116">
            <v>9015.1305056540205</v>
          </cell>
          <cell r="J116">
            <v>56.656323199999996</v>
          </cell>
          <cell r="K116">
            <v>17.886323199999993</v>
          </cell>
          <cell r="L116">
            <v>1095.6832672</v>
          </cell>
          <cell r="M116">
            <v>0</v>
          </cell>
          <cell r="N116">
            <v>13357136.488374671</v>
          </cell>
          <cell r="O116">
            <v>81976</v>
          </cell>
          <cell r="P116">
            <v>45213.599999999999</v>
          </cell>
          <cell r="Q116">
            <v>1414298.4</v>
          </cell>
          <cell r="R116">
            <v>0</v>
          </cell>
          <cell r="S116">
            <v>2454487.1347570699</v>
          </cell>
          <cell r="T116">
            <v>11307.776</v>
          </cell>
          <cell r="U116">
            <v>3508.7960000000003</v>
          </cell>
          <cell r="V116">
            <v>432518.40000000002</v>
          </cell>
          <cell r="W116">
            <v>0</v>
          </cell>
          <cell r="X116">
            <v>204515</v>
          </cell>
          <cell r="Y116">
            <v>2426515</v>
          </cell>
          <cell r="Z116">
            <v>0</v>
          </cell>
          <cell r="AA116">
            <v>38.770000000000003</v>
          </cell>
          <cell r="AB116">
            <v>36762.400000000001</v>
          </cell>
          <cell r="AC116">
            <v>7798.98</v>
          </cell>
        </row>
        <row r="117">
          <cell r="A117" t="str">
            <v>DEC</v>
          </cell>
          <cell r="B117" t="str">
            <v>Education &amp; Training</v>
          </cell>
          <cell r="C117">
            <v>41154602</v>
          </cell>
          <cell r="D117">
            <v>41154602</v>
          </cell>
          <cell r="E117">
            <v>9755857.8486000001</v>
          </cell>
          <cell r="F117">
            <v>1308546.0374</v>
          </cell>
          <cell r="G117" t="str">
            <v>N/A</v>
          </cell>
          <cell r="H117">
            <v>0</v>
          </cell>
          <cell r="I117" t="str">
            <v>N/A</v>
          </cell>
          <cell r="J117" t="str">
            <v>N/A</v>
          </cell>
          <cell r="K117" t="str">
            <v>N/A</v>
          </cell>
          <cell r="L117" t="str">
            <v>N/A</v>
          </cell>
          <cell r="M117">
            <v>0</v>
          </cell>
          <cell r="N117" t="str">
            <v>N/A</v>
          </cell>
          <cell r="O117" t="str">
            <v>N/A</v>
          </cell>
          <cell r="P117" t="str">
            <v>N/A</v>
          </cell>
          <cell r="Q117" t="str">
            <v>N/A</v>
          </cell>
          <cell r="R117">
            <v>0</v>
          </cell>
          <cell r="S117" t="str">
            <v>N/A</v>
          </cell>
          <cell r="T117" t="str">
            <v>N/A</v>
          </cell>
          <cell r="U117" t="str">
            <v>N/A</v>
          </cell>
          <cell r="V117" t="str">
            <v>N/A</v>
          </cell>
          <cell r="W117">
            <v>0</v>
          </cell>
          <cell r="X117" t="str">
            <v>N/A</v>
          </cell>
          <cell r="Y117" t="str">
            <v>N/A</v>
          </cell>
          <cell r="Z117">
            <v>0</v>
          </cell>
          <cell r="AA117" t="str">
            <v>N/A</v>
          </cell>
          <cell r="AB117" t="str">
            <v>N/A</v>
          </cell>
          <cell r="AC117" t="str">
            <v>N/A</v>
          </cell>
        </row>
        <row r="118">
          <cell r="A118" t="str">
            <v>DEC</v>
          </cell>
          <cell r="B118" t="str">
            <v>Codes &amp; Standards</v>
          </cell>
          <cell r="C118">
            <v>4635754</v>
          </cell>
          <cell r="D118">
            <v>4635754</v>
          </cell>
          <cell r="E118">
            <v>1006937.13</v>
          </cell>
          <cell r="F118">
            <v>-63457.71</v>
          </cell>
          <cell r="G118" t="str">
            <v>N/A</v>
          </cell>
          <cell r="H118">
            <v>0</v>
          </cell>
          <cell r="I118" t="str">
            <v>N/A</v>
          </cell>
          <cell r="J118">
            <v>11490</v>
          </cell>
          <cell r="K118" t="str">
            <v>N/A</v>
          </cell>
          <cell r="L118" t="str">
            <v>N/A</v>
          </cell>
          <cell r="M118">
            <v>0</v>
          </cell>
          <cell r="N118" t="str">
            <v>N/A</v>
          </cell>
          <cell r="O118">
            <v>38000000</v>
          </cell>
          <cell r="P118" t="str">
            <v>N/A</v>
          </cell>
          <cell r="Q118" t="str">
            <v>N/A</v>
          </cell>
          <cell r="R118">
            <v>0</v>
          </cell>
          <cell r="S118" t="str">
            <v>N/A</v>
          </cell>
          <cell r="T118">
            <v>950000</v>
          </cell>
          <cell r="U118" t="str">
            <v>N/A</v>
          </cell>
          <cell r="V118" t="str">
            <v>N/A</v>
          </cell>
          <cell r="W118">
            <v>0</v>
          </cell>
          <cell r="X118" t="str">
            <v>N/A</v>
          </cell>
          <cell r="Y118" t="str">
            <v>N/A</v>
          </cell>
          <cell r="Z118">
            <v>0</v>
          </cell>
          <cell r="AA118" t="str">
            <v>N/A</v>
          </cell>
          <cell r="AB118" t="str">
            <v>N/A</v>
          </cell>
          <cell r="AC118" t="str">
            <v>N/A</v>
          </cell>
        </row>
        <row r="119">
          <cell r="A119" t="str">
            <v>DEC</v>
          </cell>
          <cell r="B119" t="str">
            <v>Emerging Technologies</v>
          </cell>
          <cell r="C119">
            <v>11260376</v>
          </cell>
          <cell r="D119">
            <v>11260376</v>
          </cell>
          <cell r="E119">
            <v>1171262.0900000001</v>
          </cell>
          <cell r="F119">
            <v>261411.86</v>
          </cell>
          <cell r="G119" t="str">
            <v>N/A</v>
          </cell>
          <cell r="H119">
            <v>0</v>
          </cell>
          <cell r="I119" t="str">
            <v>N/A</v>
          </cell>
          <cell r="J119" t="str">
            <v>N/A</v>
          </cell>
          <cell r="K119" t="str">
            <v>N/A</v>
          </cell>
          <cell r="L119" t="str">
            <v>N/A</v>
          </cell>
          <cell r="M119">
            <v>0</v>
          </cell>
          <cell r="N119" t="str">
            <v>N/A</v>
          </cell>
          <cell r="O119" t="str">
            <v>N/A</v>
          </cell>
          <cell r="P119" t="str">
            <v>N/A</v>
          </cell>
          <cell r="Q119" t="str">
            <v>N/A</v>
          </cell>
          <cell r="R119">
            <v>0</v>
          </cell>
          <cell r="S119" t="str">
            <v>N/A</v>
          </cell>
          <cell r="T119" t="str">
            <v>N/A</v>
          </cell>
          <cell r="U119" t="str">
            <v>N/A</v>
          </cell>
          <cell r="V119" t="str">
            <v>N/A</v>
          </cell>
          <cell r="W119">
            <v>0</v>
          </cell>
          <cell r="X119" t="str">
            <v>N/A</v>
          </cell>
          <cell r="Y119" t="str">
            <v>N/A</v>
          </cell>
          <cell r="Z119">
            <v>0</v>
          </cell>
          <cell r="AA119" t="str">
            <v>N/A</v>
          </cell>
          <cell r="AB119" t="str">
            <v>N/A</v>
          </cell>
          <cell r="AC119" t="str">
            <v>N/A</v>
          </cell>
        </row>
        <row r="120">
          <cell r="A120" t="str">
            <v>DEC</v>
          </cell>
          <cell r="B120" t="str">
            <v>Statewide Marketing &amp; Info</v>
          </cell>
          <cell r="C120">
            <v>26948382</v>
          </cell>
          <cell r="D120">
            <v>26948382</v>
          </cell>
          <cell r="E120">
            <v>8700334.5899999999</v>
          </cell>
          <cell r="F120">
            <v>8700303</v>
          </cell>
          <cell r="G120" t="str">
            <v>N/A</v>
          </cell>
          <cell r="H120">
            <v>0</v>
          </cell>
          <cell r="I120" t="str">
            <v>N/A</v>
          </cell>
          <cell r="J120" t="str">
            <v>N/A</v>
          </cell>
          <cell r="K120" t="str">
            <v>N/A</v>
          </cell>
          <cell r="L120" t="str">
            <v>N/A</v>
          </cell>
          <cell r="M120">
            <v>0</v>
          </cell>
          <cell r="N120" t="str">
            <v>N/A</v>
          </cell>
          <cell r="O120" t="str">
            <v>N/A</v>
          </cell>
          <cell r="P120" t="str">
            <v>N/A</v>
          </cell>
          <cell r="Q120" t="str">
            <v>N/A</v>
          </cell>
          <cell r="R120">
            <v>0</v>
          </cell>
          <cell r="S120" t="str">
            <v>N/A</v>
          </cell>
          <cell r="T120" t="str">
            <v>N/A</v>
          </cell>
          <cell r="U120" t="str">
            <v>N/A</v>
          </cell>
          <cell r="V120" t="str">
            <v>N/A</v>
          </cell>
          <cell r="W120">
            <v>0</v>
          </cell>
          <cell r="X120" t="str">
            <v>N/A</v>
          </cell>
          <cell r="Y120" t="str">
            <v>N/A</v>
          </cell>
          <cell r="Z120">
            <v>0</v>
          </cell>
          <cell r="AA120" t="str">
            <v>N/A</v>
          </cell>
          <cell r="AB120" t="str">
            <v>N/A</v>
          </cell>
          <cell r="AC120" t="str">
            <v>N/A</v>
          </cell>
        </row>
        <row r="121">
          <cell r="A121" t="str">
            <v>DEC</v>
          </cell>
          <cell r="B121" t="str">
            <v>Low Income EE (3)  (1 YR Budgets/Goals)</v>
          </cell>
          <cell r="C121">
            <v>90094498</v>
          </cell>
          <cell r="D121">
            <v>90094498</v>
          </cell>
          <cell r="E121">
            <v>87130107.710000008</v>
          </cell>
          <cell r="F121">
            <v>12131346.880000001</v>
          </cell>
          <cell r="G121" t="str">
            <v>N/A</v>
          </cell>
          <cell r="H121">
            <v>0</v>
          </cell>
          <cell r="I121">
            <v>5551</v>
          </cell>
          <cell r="J121">
            <v>5754.9372810000013</v>
          </cell>
          <cell r="K121">
            <v>575.1645179900006</v>
          </cell>
          <cell r="L121" t="str">
            <v>N/A</v>
          </cell>
          <cell r="M121">
            <v>0</v>
          </cell>
          <cell r="N121">
            <v>26282000</v>
          </cell>
          <cell r="O121">
            <v>26629309.779999994</v>
          </cell>
          <cell r="P121">
            <v>2837914.7899999917</v>
          </cell>
          <cell r="Q121" t="str">
            <v>N/A</v>
          </cell>
          <cell r="R121">
            <v>0</v>
          </cell>
          <cell r="S121">
            <v>1370000</v>
          </cell>
          <cell r="T121">
            <v>1391585.57</v>
          </cell>
          <cell r="U121">
            <v>190641.54</v>
          </cell>
          <cell r="V121" t="str">
            <v>N/A</v>
          </cell>
          <cell r="W121">
            <v>0</v>
          </cell>
          <cell r="X121" t="str">
            <v>N/A</v>
          </cell>
          <cell r="Y121" t="str">
            <v>N/A</v>
          </cell>
          <cell r="Z121">
            <v>0</v>
          </cell>
          <cell r="AA121">
            <v>5179.7727630100007</v>
          </cell>
          <cell r="AB121">
            <v>23791394.990000002</v>
          </cell>
          <cell r="AC121">
            <v>1200944.03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Definition"/>
      <sheetName val="Definitions"/>
      <sheetName val="SPC"/>
      <sheetName val="Express"/>
      <sheetName val="IEEP"/>
      <sheetName val="SBD"/>
      <sheetName val="AGEE"/>
      <sheetName val="LEEP"/>
      <sheetName val="MAP"/>
      <sheetName val="HEEP"/>
      <sheetName val="EEDR"/>
      <sheetName val="CHEEP"/>
      <sheetName val="CPEEP"/>
      <sheetName val="Ent Cntr"/>
    </sheetNames>
    <sheetDataSet>
      <sheetData sheetId="0" refreshError="1">
        <row r="2">
          <cell r="A2" t="str">
            <v>Paid</v>
          </cell>
        </row>
        <row r="3">
          <cell r="A3" t="str">
            <v>Paid Incremental</v>
          </cell>
        </row>
        <row r="4">
          <cell r="A4" t="str">
            <v>Firm</v>
          </cell>
        </row>
        <row r="5">
          <cell r="A5" t="str">
            <v>Firm Pending</v>
          </cell>
        </row>
        <row r="6">
          <cell r="A6" t="str">
            <v>Reservation</v>
          </cell>
        </row>
        <row r="7">
          <cell r="A7" t="str">
            <v>Waitlist</v>
          </cell>
        </row>
        <row r="8">
          <cell r="A8" t="str">
            <v>Reservation Expired</v>
          </cell>
        </row>
        <row r="9">
          <cell r="A9" t="str">
            <v>2009 Plus</v>
          </cell>
        </row>
        <row r="10">
          <cell r="A10" t="str">
            <v>Rejected</v>
          </cell>
        </row>
        <row r="11">
          <cell r="A11" t="str">
            <v>Exception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Done"/>
      <sheetName val="Years"/>
      <sheetName val="2.1 Done"/>
      <sheetName val="3.1 Done"/>
      <sheetName val="4.1 Done"/>
      <sheetName val="5.1 Done"/>
      <sheetName val="6.1 Done"/>
      <sheetName val="7.1 Done"/>
      <sheetName val="5.2 Done"/>
      <sheetName val="1.3 Done"/>
      <sheetName val="2.3 Done"/>
      <sheetName val="3.3 Done"/>
      <sheetName val="4.3 Done"/>
      <sheetName val="7.3 Done"/>
      <sheetName val="1.4 Done"/>
      <sheetName val="2.4 Done"/>
      <sheetName val="3.4 Done"/>
      <sheetName val="4.4 Done"/>
      <sheetName val="7.4 Done"/>
      <sheetName val="TA 2.1 Done"/>
      <sheetName val="TA 3.1 Done"/>
      <sheetName val="TA 4.1 Done"/>
      <sheetName val="TA 5.1 Done"/>
      <sheetName val="TA 7.1 Done"/>
      <sheetName val="TA 2.2 Done"/>
      <sheetName val="TA 3.2 Done"/>
      <sheetName val="TA 4.2 Done"/>
      <sheetName val="TA 7.2 Done"/>
      <sheetName val="TA 2.4A Done"/>
      <sheetName val="TA 2.4B Done"/>
      <sheetName val="TA 3.4A Done"/>
      <sheetName val="TA 3.4B Done"/>
      <sheetName val="TA 6.1 Done"/>
      <sheetName val="TA 6.2 Done"/>
      <sheetName val="TA 6.3 Done"/>
      <sheetName val="TA 8.1 Done"/>
      <sheetName val="TA 8.2 Done"/>
      <sheetName val="TA 8.3 Done"/>
      <sheetName val="99 $EE"/>
      <sheetName val="99 $EE Commitments"/>
      <sheetName val="99 $&quot;Bridge&quot;"/>
      <sheetName val="99 $LI"/>
      <sheetName val="00 $EE"/>
      <sheetName val="PY99 E-4 DONE"/>
      <sheetName val="PY99 E-1"/>
      <sheetName val="Calculation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acts"/>
      <sheetName val="Month"/>
      <sheetName val="Program Inputs"/>
      <sheetName val="BCD Inputs"/>
      <sheetName val="DR Inputs"/>
      <sheetName val="Financial Inputs"/>
      <sheetName val="CSI Inputs"/>
      <sheetName val="Pipeline Inputs"/>
      <sheetName val="Overview Data"/>
      <sheetName val="Financials Data"/>
      <sheetName val="Financial Analysis Data"/>
      <sheetName val="IQP Data"/>
      <sheetName val="CSI Data"/>
      <sheetName val="DR Data"/>
      <sheetName val="EE BCD and Segment Data"/>
      <sheetName val="Pipeline Data"/>
      <sheetName val="EE Overview"/>
      <sheetName val="Financials"/>
      <sheetName val="Financials (2)"/>
      <sheetName val="IQP"/>
      <sheetName val="CSI"/>
      <sheetName val="DR"/>
      <sheetName val="DR 2"/>
      <sheetName val="Pipeline"/>
      <sheetName val="EE BCD"/>
      <sheetName val="Segments"/>
      <sheetName val="DR BCD"/>
      <sheetName val="Business"/>
      <sheetName val="Residential"/>
      <sheetName val="Partnerships"/>
      <sheetName val="Targets"/>
      <sheetName val="Proje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B9" t="str">
            <v>Express Efficiency</v>
          </cell>
          <cell r="C9">
            <v>19834716</v>
          </cell>
          <cell r="D9">
            <v>6384529.3804429788</v>
          </cell>
          <cell r="E9">
            <v>0.32188660429738336</v>
          </cell>
          <cell r="F9">
            <v>13450186.619557021</v>
          </cell>
          <cell r="G9">
            <v>121000000</v>
          </cell>
          <cell r="H9">
            <v>49663125.57694044</v>
          </cell>
          <cell r="I9">
            <v>0.41043905435487965</v>
          </cell>
          <cell r="J9">
            <v>0.12855673714196195</v>
          </cell>
          <cell r="K9">
            <v>21200</v>
          </cell>
          <cell r="L9">
            <v>11687.347445341957</v>
          </cell>
          <cell r="M9">
            <v>0.55128997383688472</v>
          </cell>
        </row>
        <row r="12">
          <cell r="B12" t="str">
            <v>Agricultural Energy Efficiency</v>
          </cell>
          <cell r="C12">
            <v>3270876</v>
          </cell>
          <cell r="D12">
            <v>2014213.0210207</v>
          </cell>
          <cell r="E12">
            <v>0.61580231748947378</v>
          </cell>
          <cell r="F12">
            <v>1256662.9789793</v>
          </cell>
          <cell r="G12">
            <v>22100000</v>
          </cell>
          <cell r="H12">
            <v>6725131.5000000028</v>
          </cell>
          <cell r="I12">
            <v>0.30430459276018113</v>
          </cell>
          <cell r="J12">
            <v>0.29950537339243094</v>
          </cell>
          <cell r="K12">
            <v>3170</v>
          </cell>
          <cell r="L12">
            <v>1696.2284999999997</v>
          </cell>
          <cell r="M12">
            <v>0.53508785488958976</v>
          </cell>
        </row>
        <row r="13">
          <cell r="B13" t="str">
            <v>Savings by Design</v>
          </cell>
          <cell r="C13">
            <v>10109196</v>
          </cell>
          <cell r="D13">
            <v>4185702.85</v>
          </cell>
          <cell r="E13">
            <v>0.41404903515571367</v>
          </cell>
          <cell r="F13">
            <v>5923493.1500000004</v>
          </cell>
          <cell r="G13">
            <v>33700000</v>
          </cell>
          <cell r="H13">
            <v>37869512.999999993</v>
          </cell>
          <cell r="I13">
            <v>1.1237244213649848</v>
          </cell>
          <cell r="J13">
            <v>0.11052961916885493</v>
          </cell>
          <cell r="K13">
            <v>8230</v>
          </cell>
          <cell r="L13">
            <v>6482.7</v>
          </cell>
          <cell r="M13">
            <v>0.78769137302551639</v>
          </cell>
        </row>
        <row r="17">
          <cell r="B17" t="str">
            <v>Hospital Facility Energy Efficiency Program</v>
          </cell>
          <cell r="C17">
            <v>28224</v>
          </cell>
          <cell r="D17">
            <v>73868.01999999999</v>
          </cell>
          <cell r="E17">
            <v>2.6172059240362806</v>
          </cell>
          <cell r="F17">
            <v>-45644.01999999999</v>
          </cell>
          <cell r="G17">
            <v>1500000</v>
          </cell>
          <cell r="H17">
            <v>0</v>
          </cell>
          <cell r="I17">
            <v>0</v>
          </cell>
          <cell r="J17" t="str">
            <v>-</v>
          </cell>
          <cell r="K17">
            <v>500</v>
          </cell>
          <cell r="L17">
            <v>0</v>
          </cell>
          <cell r="M17">
            <v>0</v>
          </cell>
        </row>
        <row r="24">
          <cell r="B24" t="str">
            <v>Comprehensive HVAC Program - Residential</v>
          </cell>
          <cell r="C24">
            <v>11357424</v>
          </cell>
          <cell r="D24">
            <v>2216409.7090431154</v>
          </cell>
          <cell r="E24">
            <v>0.19515074096407031</v>
          </cell>
          <cell r="F24">
            <v>9141014.2909568846</v>
          </cell>
          <cell r="G24">
            <v>2000000</v>
          </cell>
          <cell r="H24">
            <v>4152812.155984669</v>
          </cell>
          <cell r="I24">
            <v>2.0764060779923343</v>
          </cell>
          <cell r="J24">
            <v>0.53371296986044026</v>
          </cell>
          <cell r="K24">
            <v>2240</v>
          </cell>
          <cell r="L24">
            <v>3612.1066275122125</v>
          </cell>
          <cell r="M24">
            <v>1.6125476015679521</v>
          </cell>
        </row>
        <row r="25">
          <cell r="B25" t="str">
            <v>Comprehensive HVAC Program - Non-Residential</v>
          </cell>
          <cell r="C25">
            <v>12285900</v>
          </cell>
          <cell r="D25">
            <v>692006.34543989669</v>
          </cell>
          <cell r="E25">
            <v>5.6325246456498647E-2</v>
          </cell>
          <cell r="F25">
            <v>11593893.654560104</v>
          </cell>
          <cell r="G25">
            <v>21600000</v>
          </cell>
          <cell r="H25">
            <v>10090169.030650023</v>
          </cell>
          <cell r="I25">
            <v>0.46713745512268628</v>
          </cell>
          <cell r="J25">
            <v>6.8582235177413742E-2</v>
          </cell>
          <cell r="K25">
            <v>20300</v>
          </cell>
          <cell r="L25">
            <v>5757.7303679000361</v>
          </cell>
          <cell r="M25">
            <v>0.283632037827588</v>
          </cell>
        </row>
      </sheetData>
      <sheetData sheetId="29"/>
      <sheetData sheetId="30">
        <row r="12">
          <cell r="I12">
            <v>0</v>
          </cell>
          <cell r="J12">
            <v>0</v>
          </cell>
          <cell r="L12">
            <v>48</v>
          </cell>
          <cell r="N12">
            <v>0</v>
          </cell>
          <cell r="O12">
            <v>0</v>
          </cell>
        </row>
        <row r="13">
          <cell r="B13" t="str">
            <v>Long Beach Partnership</v>
          </cell>
          <cell r="C13">
            <v>115200</v>
          </cell>
          <cell r="D13">
            <v>432.27</v>
          </cell>
          <cell r="E13">
            <v>3.75234375E-3</v>
          </cell>
          <cell r="F13">
            <v>114767.73</v>
          </cell>
          <cell r="G13">
            <v>323600</v>
          </cell>
          <cell r="H13">
            <v>0</v>
          </cell>
          <cell r="I13">
            <v>0</v>
          </cell>
          <cell r="J13">
            <v>0</v>
          </cell>
          <cell r="K13" t="str">
            <v>-</v>
          </cell>
          <cell r="L13">
            <v>54.72</v>
          </cell>
          <cell r="M13">
            <v>0</v>
          </cell>
          <cell r="N13">
            <v>0</v>
          </cell>
          <cell r="O13">
            <v>0</v>
          </cell>
        </row>
        <row r="14">
          <cell r="I14">
            <v>0</v>
          </cell>
          <cell r="J14">
            <v>0</v>
          </cell>
          <cell r="L14">
            <v>169</v>
          </cell>
          <cell r="N14">
            <v>0</v>
          </cell>
          <cell r="O14">
            <v>0</v>
          </cell>
        </row>
        <row r="15">
          <cell r="I15">
            <v>0</v>
          </cell>
          <cell r="J15">
            <v>0</v>
          </cell>
          <cell r="L15">
            <v>189.99999999999997</v>
          </cell>
          <cell r="N15">
            <v>0</v>
          </cell>
          <cell r="O15">
            <v>0</v>
          </cell>
        </row>
        <row r="16">
          <cell r="B16" t="str">
            <v>Orange County Partnership</v>
          </cell>
          <cell r="C16">
            <v>174000</v>
          </cell>
          <cell r="D16">
            <v>432.27</v>
          </cell>
          <cell r="E16">
            <v>2.4843103448275862E-3</v>
          </cell>
          <cell r="F16">
            <v>173567.73</v>
          </cell>
          <cell r="G16">
            <v>2337410</v>
          </cell>
          <cell r="H16">
            <v>0</v>
          </cell>
          <cell r="I16">
            <v>0</v>
          </cell>
          <cell r="J16">
            <v>0</v>
          </cell>
          <cell r="K16" t="str">
            <v>-</v>
          </cell>
          <cell r="L16">
            <v>109</v>
          </cell>
          <cell r="M16">
            <v>0</v>
          </cell>
          <cell r="N16">
            <v>0</v>
          </cell>
          <cell r="O16">
            <v>0</v>
          </cell>
        </row>
        <row r="17">
          <cell r="I17">
            <v>0</v>
          </cell>
          <cell r="J17">
            <v>0</v>
          </cell>
          <cell r="L17">
            <v>36</v>
          </cell>
          <cell r="N17">
            <v>0</v>
          </cell>
          <cell r="O17">
            <v>0</v>
          </cell>
        </row>
        <row r="18">
          <cell r="I18">
            <v>664847</v>
          </cell>
          <cell r="J18">
            <v>0.45067009390330121</v>
          </cell>
          <cell r="L18">
            <v>238</v>
          </cell>
          <cell r="N18">
            <v>92.7</v>
          </cell>
          <cell r="O18">
            <v>0.38949579831932774</v>
          </cell>
        </row>
        <row r="19">
          <cell r="I19">
            <v>0</v>
          </cell>
          <cell r="J19">
            <v>0</v>
          </cell>
          <cell r="L19">
            <v>12</v>
          </cell>
          <cell r="N19">
            <v>0</v>
          </cell>
          <cell r="O19">
            <v>0</v>
          </cell>
        </row>
        <row r="20">
          <cell r="I20">
            <v>0</v>
          </cell>
          <cell r="J20">
            <v>0</v>
          </cell>
          <cell r="L20">
            <v>43</v>
          </cell>
          <cell r="N20">
            <v>0</v>
          </cell>
          <cell r="O20">
            <v>0</v>
          </cell>
        </row>
        <row r="21">
          <cell r="I21">
            <v>0</v>
          </cell>
          <cell r="J21">
            <v>0</v>
          </cell>
          <cell r="L21">
            <v>76</v>
          </cell>
          <cell r="N21">
            <v>0</v>
          </cell>
          <cell r="O21">
            <v>0</v>
          </cell>
        </row>
        <row r="22">
          <cell r="I22">
            <v>0</v>
          </cell>
          <cell r="J22">
            <v>0</v>
          </cell>
          <cell r="L22">
            <v>216.64000000000001</v>
          </cell>
          <cell r="N22">
            <v>0</v>
          </cell>
          <cell r="O22">
            <v>0</v>
          </cell>
        </row>
        <row r="23">
          <cell r="I23">
            <v>5690125.7000000002</v>
          </cell>
          <cell r="J23">
            <v>0.71037774032459433</v>
          </cell>
          <cell r="L23">
            <v>2185.1880000000001</v>
          </cell>
          <cell r="N23">
            <v>1534.61</v>
          </cell>
          <cell r="O23">
            <v>0.70227824791276527</v>
          </cell>
        </row>
        <row r="24">
          <cell r="I24">
            <v>0</v>
          </cell>
          <cell r="J24">
            <v>0</v>
          </cell>
          <cell r="L24">
            <v>26</v>
          </cell>
          <cell r="N24">
            <v>0</v>
          </cell>
          <cell r="O24">
            <v>0</v>
          </cell>
        </row>
        <row r="25">
          <cell r="I25">
            <v>259184</v>
          </cell>
          <cell r="J25">
            <v>0.23562181818181818</v>
          </cell>
          <cell r="L25">
            <v>217</v>
          </cell>
          <cell r="N25">
            <v>30.03</v>
          </cell>
          <cell r="O25">
            <v>0.13838709677419356</v>
          </cell>
        </row>
        <row r="26">
          <cell r="I26">
            <v>0</v>
          </cell>
          <cell r="J26">
            <v>0</v>
          </cell>
          <cell r="L26">
            <v>142</v>
          </cell>
          <cell r="N26">
            <v>0</v>
          </cell>
          <cell r="O26">
            <v>0</v>
          </cell>
        </row>
        <row r="27">
          <cell r="I27">
            <v>0</v>
          </cell>
          <cell r="J27">
            <v>0</v>
          </cell>
          <cell r="L27">
            <v>204</v>
          </cell>
          <cell r="N27">
            <v>0</v>
          </cell>
          <cell r="O27">
            <v>0</v>
          </cell>
        </row>
        <row r="28">
          <cell r="I28">
            <v>0</v>
          </cell>
          <cell r="J28">
            <v>0</v>
          </cell>
          <cell r="L28">
            <v>395</v>
          </cell>
          <cell r="N28">
            <v>0</v>
          </cell>
          <cell r="O28">
            <v>0</v>
          </cell>
        </row>
        <row r="29">
          <cell r="I29">
            <v>342855.55320000002</v>
          </cell>
          <cell r="J29">
            <v>0.15338506568433247</v>
          </cell>
          <cell r="L29">
            <v>438</v>
          </cell>
          <cell r="N29">
            <v>71.318400000000011</v>
          </cell>
          <cell r="O29">
            <v>0.16282739726027401</v>
          </cell>
        </row>
        <row r="30">
          <cell r="I30">
            <v>6957012.2532000002</v>
          </cell>
          <cell r="J30">
            <v>0.29217691096350717</v>
          </cell>
          <cell r="L30">
            <v>4799.5480000000007</v>
          </cell>
          <cell r="N30">
            <v>1728.6584</v>
          </cell>
          <cell r="O30">
            <v>0.36017108277696147</v>
          </cell>
        </row>
        <row r="33">
          <cell r="B33" t="str">
            <v>California Community Colleges</v>
          </cell>
          <cell r="C33">
            <v>1380504</v>
          </cell>
          <cell r="D33">
            <v>193052.59848697318</v>
          </cell>
          <cell r="E33">
            <v>0.1398421145371351</v>
          </cell>
          <cell r="F33">
            <v>1187451.4015130268</v>
          </cell>
          <cell r="G33">
            <v>5363886</v>
          </cell>
          <cell r="H33">
            <v>0</v>
          </cell>
          <cell r="I33">
            <v>398664</v>
          </cell>
          <cell r="J33">
            <v>7.4323727238050918E-2</v>
          </cell>
          <cell r="K33">
            <v>0.4842488875016886</v>
          </cell>
          <cell r="L33">
            <v>797</v>
          </cell>
          <cell r="M33">
            <v>0</v>
          </cell>
          <cell r="N33">
            <v>20</v>
          </cell>
          <cell r="O33">
            <v>2.5094102885821833E-2</v>
          </cell>
        </row>
        <row r="34">
          <cell r="I34">
            <v>1265684</v>
          </cell>
          <cell r="J34">
            <v>0.7518925273757805</v>
          </cell>
          <cell r="L34">
            <v>249</v>
          </cell>
          <cell r="N34">
            <v>164</v>
          </cell>
          <cell r="O34">
            <v>0.65863453815261042</v>
          </cell>
        </row>
        <row r="35">
          <cell r="B35" t="str">
            <v>SCE-SCG County of Los Angeles Partnership</v>
          </cell>
          <cell r="C35">
            <v>1317744</v>
          </cell>
          <cell r="D35">
            <v>83732.153101201664</v>
          </cell>
          <cell r="E35">
            <v>6.3542048456454114E-2</v>
          </cell>
          <cell r="F35">
            <v>1234011.8468987984</v>
          </cell>
          <cell r="G35">
            <v>1800000</v>
          </cell>
          <cell r="H35">
            <v>0</v>
          </cell>
          <cell r="I35">
            <v>0</v>
          </cell>
          <cell r="J35">
            <v>0</v>
          </cell>
          <cell r="K35" t="str">
            <v>-</v>
          </cell>
          <cell r="L35">
            <v>100</v>
          </cell>
          <cell r="M35">
            <v>0</v>
          </cell>
          <cell r="N35">
            <v>0</v>
          </cell>
          <cell r="O35">
            <v>0</v>
          </cell>
        </row>
        <row r="36">
          <cell r="I36">
            <v>0</v>
          </cell>
          <cell r="J36">
            <v>0</v>
          </cell>
          <cell r="L36">
            <v>120</v>
          </cell>
          <cell r="N36">
            <v>0</v>
          </cell>
          <cell r="O36">
            <v>0</v>
          </cell>
        </row>
        <row r="37">
          <cell r="B37" t="str">
            <v>Santa Ana Partnership</v>
          </cell>
          <cell r="C37">
            <v>376500</v>
          </cell>
          <cell r="D37">
            <v>58873.422314629039</v>
          </cell>
          <cell r="E37">
            <v>0.1563703115926402</v>
          </cell>
          <cell r="F37">
            <v>317626.57768537098</v>
          </cell>
          <cell r="G37">
            <v>830012</v>
          </cell>
          <cell r="H37">
            <v>0</v>
          </cell>
          <cell r="I37">
            <v>0</v>
          </cell>
          <cell r="J37">
            <v>0</v>
          </cell>
          <cell r="K37" t="str">
            <v>-</v>
          </cell>
          <cell r="L37">
            <v>134</v>
          </cell>
          <cell r="M37">
            <v>0</v>
          </cell>
          <cell r="N37">
            <v>0</v>
          </cell>
          <cell r="O37">
            <v>0</v>
          </cell>
        </row>
      </sheetData>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nput"/>
      <sheetName val="Output"/>
      <sheetName val="Calculations"/>
      <sheetName val="CostG"/>
      <sheetName val="CostE"/>
      <sheetName val="PolicyManual"/>
      <sheetName val="Partnerships"/>
      <sheetName val="Month"/>
      <sheetName val="Business"/>
    </sheetNames>
    <sheetDataSet>
      <sheetData sheetId="0" refreshError="1"/>
      <sheetData sheetId="1"/>
      <sheetData sheetId="2" refreshError="1"/>
      <sheetData sheetId="3" refreshError="1">
        <row r="8">
          <cell r="K8">
            <v>300</v>
          </cell>
        </row>
      </sheetData>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Portfolio"/>
      <sheetName val="Ag"/>
      <sheetName val="Com"/>
      <sheetName val="Industrial"/>
      <sheetName val="Public"/>
      <sheetName val="Res - SF"/>
      <sheetName val="Res - MF"/>
      <sheetName val="MDA Table"/>
      <sheetName val="EE Reporting"/>
      <sheetName val="WE&amp;T"/>
      <sheetName val="Emerg Tech"/>
      <sheetName val="C&amp;S"/>
    </sheetNames>
    <sheetDataSet>
      <sheetData sheetId="0"/>
      <sheetData sheetId="1"/>
      <sheetData sheetId="2"/>
      <sheetData sheetId="3"/>
      <sheetData sheetId="4"/>
      <sheetData sheetId="5"/>
      <sheetData sheetId="6"/>
      <sheetData sheetId="7"/>
      <sheetData sheetId="8">
        <row r="2">
          <cell r="C2" t="str">
            <v>Data Point</v>
          </cell>
          <cell r="D2" t="str">
            <v>Agricultural</v>
          </cell>
          <cell r="E2" t="str">
            <v>Commercial</v>
          </cell>
          <cell r="F2" t="str">
            <v>Industrial</v>
          </cell>
          <cell r="G2" t="str">
            <v>Public</v>
          </cell>
          <cell r="H2" t="str">
            <v>Res - Single Fam</v>
          </cell>
          <cell r="I2" t="str">
            <v>Res - Multi-Fam</v>
          </cell>
        </row>
        <row r="3">
          <cell r="C3" t="str">
            <v>Total # of Sector Customers</v>
          </cell>
          <cell r="G3">
            <v>75222</v>
          </cell>
          <cell r="H3">
            <v>4503484</v>
          </cell>
          <cell r="I3">
            <v>2203804</v>
          </cell>
        </row>
        <row r="4">
          <cell r="C4" t="str">
            <v>Total # of Large Customers</v>
          </cell>
          <cell r="D4">
            <v>3742</v>
          </cell>
          <cell r="E4">
            <v>12135</v>
          </cell>
          <cell r="F4">
            <v>2451</v>
          </cell>
        </row>
        <row r="5">
          <cell r="C5" t="str">
            <v>Total # of Medium Customers</v>
          </cell>
          <cell r="D5">
            <v>31659</v>
          </cell>
          <cell r="E5">
            <v>116106</v>
          </cell>
          <cell r="F5">
            <v>11472</v>
          </cell>
        </row>
        <row r="6">
          <cell r="C6" t="str">
            <v>Total # of Small Customers</v>
          </cell>
          <cell r="D6">
            <v>82386</v>
          </cell>
          <cell r="E6">
            <v>511501</v>
          </cell>
          <cell r="F6">
            <v>48953</v>
          </cell>
        </row>
        <row r="7">
          <cell r="C7" t="str">
            <v>Total # of DAC Customers</v>
          </cell>
          <cell r="H7">
            <v>545519</v>
          </cell>
          <cell r="I7">
            <v>265155</v>
          </cell>
        </row>
        <row r="8">
          <cell r="C8" t="str">
            <v>Total # of HTR Customers</v>
          </cell>
          <cell r="E8">
            <v>260770</v>
          </cell>
          <cell r="H8">
            <v>677272</v>
          </cell>
          <cell r="I8">
            <v>214995</v>
          </cell>
        </row>
        <row r="9">
          <cell r="C9" t="str">
            <v># of Participating Customers</v>
          </cell>
          <cell r="G9">
            <v>1398</v>
          </cell>
          <cell r="H9">
            <v>50904</v>
          </cell>
          <cell r="I9">
            <v>6317</v>
          </cell>
        </row>
        <row r="10">
          <cell r="C10" t="str">
            <v># of Participating Large Customers</v>
          </cell>
          <cell r="D10">
            <v>308</v>
          </cell>
          <cell r="E10">
            <v>4602</v>
          </cell>
          <cell r="F10">
            <v>149</v>
          </cell>
        </row>
        <row r="11">
          <cell r="C11" t="str">
            <v># of Participating Medium Customers</v>
          </cell>
          <cell r="D11">
            <v>770</v>
          </cell>
          <cell r="E11">
            <v>5805</v>
          </cell>
          <cell r="F11">
            <v>224</v>
          </cell>
        </row>
        <row r="12">
          <cell r="C12" t="str">
            <v># of Participating Small Customers</v>
          </cell>
          <cell r="D12">
            <v>510</v>
          </cell>
          <cell r="E12">
            <v>4602</v>
          </cell>
          <cell r="F12">
            <v>185</v>
          </cell>
        </row>
        <row r="13">
          <cell r="C13" t="str">
            <v># of Participating DAC Customers</v>
          </cell>
          <cell r="H13">
            <v>11957</v>
          </cell>
          <cell r="I13">
            <v>2313</v>
          </cell>
        </row>
        <row r="14">
          <cell r="C14" t="str">
            <v># of Participating HTR Customers</v>
          </cell>
          <cell r="E14">
            <v>4702</v>
          </cell>
          <cell r="H14">
            <v>13005</v>
          </cell>
          <cell r="I14">
            <v>1984</v>
          </cell>
        </row>
        <row r="15">
          <cell r="C15" t="str">
            <v>Total # of Projects</v>
          </cell>
          <cell r="I15">
            <v>9482</v>
          </cell>
        </row>
        <row r="16">
          <cell r="C16" t="str">
            <v>Total annual sector demand (kW)</v>
          </cell>
          <cell r="E16">
            <v>113689046.06550001</v>
          </cell>
        </row>
        <row r="17">
          <cell r="C17" t="str">
            <v>Total annual sector elec usage (kWh)</v>
          </cell>
          <cell r="E17">
            <v>33942505759.975399</v>
          </cell>
        </row>
        <row r="18">
          <cell r="C18" t="str">
            <v>Total annual sector gas usage (therms)</v>
          </cell>
          <cell r="E18">
            <v>1099729865.5796299</v>
          </cell>
        </row>
        <row r="19">
          <cell r="C19" t="str">
            <v>Total sector energy usage (Btu)</v>
          </cell>
          <cell r="G19">
            <v>3613159459.6049199</v>
          </cell>
        </row>
        <row r="20">
          <cell r="C20" t="str">
            <v>Total sq. ft. of all sector customers</v>
          </cell>
          <cell r="I20">
            <v>2006709876.5690236</v>
          </cell>
        </row>
        <row r="21">
          <cell r="C21" t="str">
            <v>Sq. ft. of participating customers</v>
          </cell>
          <cell r="I21">
            <v>5752047.9544853</v>
          </cell>
        </row>
        <row r="22">
          <cell r="C22" t="str">
            <v>Sq. ft. of benchmarked customers</v>
          </cell>
          <cell r="E22">
            <v>909519271</v>
          </cell>
          <cell r="I22">
            <v>389722.41958519997</v>
          </cell>
        </row>
        <row r="23">
          <cell r="C23" t="str">
            <v>Sq. ft. of benchmarked large customers</v>
          </cell>
        </row>
        <row r="24">
          <cell r="C24" t="str">
            <v>Sq. ft. of benchmarked medium customers</v>
          </cell>
        </row>
        <row r="25">
          <cell r="C25" t="str">
            <v>Sq. ft. of benchmarked small customers</v>
          </cell>
        </row>
        <row r="26">
          <cell r="C26" t="str">
            <v>Total # of benchmarked customers</v>
          </cell>
          <cell r="G26">
            <v>479</v>
          </cell>
          <cell r="I26">
            <v>428</v>
          </cell>
        </row>
        <row r="27">
          <cell r="C27" t="str">
            <v># of benchmarked large customers</v>
          </cell>
          <cell r="E27">
            <v>415</v>
          </cell>
        </row>
        <row r="28">
          <cell r="C28" t="str">
            <v># of benchmarked medium customers</v>
          </cell>
          <cell r="E28">
            <v>642</v>
          </cell>
        </row>
        <row r="29">
          <cell r="C29" t="str">
            <v># of benchmarked small customers</v>
          </cell>
          <cell r="E29">
            <v>481</v>
          </cell>
        </row>
        <row r="30">
          <cell r="C30" t="str">
            <v># of benchmarked DAC customers</v>
          </cell>
        </row>
        <row r="31">
          <cell r="C31" t="str">
            <v># of benchmarked HTR customers</v>
          </cell>
          <cell r="E31">
            <v>433</v>
          </cell>
          <cell r="I31">
            <v>56</v>
          </cell>
        </row>
        <row r="33">
          <cell r="A33" t="str">
            <v>Index</v>
          </cell>
          <cell r="B33" t="str">
            <v>Segment</v>
          </cell>
          <cell r="C33" t="str">
            <v>Metric Description</v>
          </cell>
          <cell r="D33" t="str">
            <v>Data Type</v>
          </cell>
          <cell r="E33" t="str">
            <v>PG&amp;E Source</v>
          </cell>
          <cell r="F33" t="str">
            <v>Metric</v>
          </cell>
          <cell r="G33" t="str">
            <v>Numerator</v>
          </cell>
          <cell r="H33" t="str">
            <v>Denominator</v>
          </cell>
          <cell r="I33" t="str">
            <v>Numerator Description</v>
          </cell>
          <cell r="J33" t="str">
            <v>Denominator Description</v>
          </cell>
        </row>
        <row r="34">
          <cell r="A34">
            <v>13</v>
          </cell>
          <cell r="B34" t="str">
            <v>Portfolio</v>
          </cell>
          <cell r="C34" t="str">
            <v>First year annual kW gross in Disadvantaged Communities</v>
          </cell>
          <cell r="D34" t="str">
            <v>Metric</v>
          </cell>
          <cell r="E34" t="str">
            <v>MDA Team</v>
          </cell>
          <cell r="F34">
            <v>21120</v>
          </cell>
          <cell r="I34" t="str">
            <v>N/A</v>
          </cell>
          <cell r="J34" t="str">
            <v>N/A</v>
          </cell>
        </row>
        <row r="35">
          <cell r="A35">
            <v>14</v>
          </cell>
          <cell r="B35" t="str">
            <v>Portfolio</v>
          </cell>
          <cell r="C35" t="str">
            <v>First year annual kW net in Disadvantaged Communities</v>
          </cell>
          <cell r="D35" t="str">
            <v>Metric</v>
          </cell>
          <cell r="E35" t="str">
            <v>MDA Team</v>
          </cell>
          <cell r="F35">
            <v>13440</v>
          </cell>
          <cell r="I35" t="str">
            <v>N/A</v>
          </cell>
          <cell r="J35" t="str">
            <v>N/A</v>
          </cell>
        </row>
        <row r="36">
          <cell r="A36">
            <v>15</v>
          </cell>
          <cell r="B36" t="str">
            <v>Portfolio</v>
          </cell>
          <cell r="C36" t="str">
            <v>First year annual kWh gross in Disadvantaged Communities</v>
          </cell>
          <cell r="D36" t="str">
            <v>Metric</v>
          </cell>
          <cell r="E36" t="str">
            <v>MDA Team</v>
          </cell>
          <cell r="F36">
            <v>93840000</v>
          </cell>
          <cell r="I36" t="str">
            <v>N/A</v>
          </cell>
          <cell r="J36" t="str">
            <v>N/A</v>
          </cell>
        </row>
        <row r="37">
          <cell r="A37">
            <v>16</v>
          </cell>
          <cell r="B37" t="str">
            <v>Portfolio</v>
          </cell>
          <cell r="C37" t="str">
            <v>First year annual kWh net in Disadvantaged Communities</v>
          </cell>
          <cell r="D37" t="str">
            <v>Metric</v>
          </cell>
          <cell r="E37" t="str">
            <v>MDA Team</v>
          </cell>
          <cell r="F37">
            <v>58850000</v>
          </cell>
          <cell r="I37" t="str">
            <v>N/A</v>
          </cell>
          <cell r="J37" t="str">
            <v>N/A</v>
          </cell>
        </row>
        <row r="38">
          <cell r="A38">
            <v>17</v>
          </cell>
          <cell r="B38" t="str">
            <v>Portfolio</v>
          </cell>
          <cell r="C38" t="str">
            <v>First year annual Therm gross in Disadvantaged Communities</v>
          </cell>
          <cell r="D38" t="str">
            <v>Metric</v>
          </cell>
          <cell r="E38" t="str">
            <v>MDA Team</v>
          </cell>
          <cell r="F38">
            <v>2040000</v>
          </cell>
          <cell r="I38" t="str">
            <v>N/A</v>
          </cell>
          <cell r="J38" t="str">
            <v>N/A</v>
          </cell>
        </row>
        <row r="39">
          <cell r="A39">
            <v>18</v>
          </cell>
          <cell r="B39" t="str">
            <v>Portfolio</v>
          </cell>
          <cell r="C39" t="str">
            <v>First year annual Therm net in Disadvantaged Communities</v>
          </cell>
          <cell r="D39" t="str">
            <v>Metric</v>
          </cell>
          <cell r="E39" t="str">
            <v>MDA Team</v>
          </cell>
          <cell r="F39">
            <v>1180000</v>
          </cell>
          <cell r="I39" t="str">
            <v>N/A</v>
          </cell>
          <cell r="J39" t="str">
            <v>N/A</v>
          </cell>
        </row>
        <row r="40">
          <cell r="A40">
            <v>19</v>
          </cell>
          <cell r="B40" t="str">
            <v>Portfolio</v>
          </cell>
          <cell r="C40" t="str">
            <v>Lifecycle ex-ante kW gross in Disadvantaged Communities</v>
          </cell>
          <cell r="D40" t="str">
            <v>Metric</v>
          </cell>
          <cell r="E40" t="str">
            <v>MDA Team</v>
          </cell>
          <cell r="F40">
            <v>205010</v>
          </cell>
          <cell r="I40" t="str">
            <v>N/A</v>
          </cell>
          <cell r="J40" t="str">
            <v>N/A</v>
          </cell>
        </row>
        <row r="41">
          <cell r="A41">
            <v>20</v>
          </cell>
          <cell r="B41" t="str">
            <v>Portfolio</v>
          </cell>
          <cell r="C41" t="str">
            <v>Lifecycle ex-ante kW net in Disadvantaged Communities</v>
          </cell>
          <cell r="D41" t="str">
            <v>Metric</v>
          </cell>
          <cell r="E41" t="str">
            <v>MDA Team</v>
          </cell>
          <cell r="F41">
            <v>132130</v>
          </cell>
          <cell r="I41" t="str">
            <v>N/A</v>
          </cell>
          <cell r="J41" t="str">
            <v>N/A</v>
          </cell>
        </row>
        <row r="42">
          <cell r="A42">
            <v>21</v>
          </cell>
          <cell r="B42" t="str">
            <v>Portfolio</v>
          </cell>
          <cell r="C42" t="str">
            <v>Lifecycle ex-ante kWh gross in Disadvantaged Communities</v>
          </cell>
          <cell r="D42" t="str">
            <v>Metric</v>
          </cell>
          <cell r="E42" t="str">
            <v>MDA Team</v>
          </cell>
          <cell r="F42">
            <v>1044750000</v>
          </cell>
          <cell r="I42" t="str">
            <v>N/A</v>
          </cell>
          <cell r="J42" t="str">
            <v>N/A</v>
          </cell>
        </row>
        <row r="43">
          <cell r="A43">
            <v>22</v>
          </cell>
          <cell r="B43" t="str">
            <v>Portfolio</v>
          </cell>
          <cell r="C43" t="str">
            <v>Lifecycle ex-ante kWh net in Disadvantaged Communities</v>
          </cell>
          <cell r="D43" t="str">
            <v>Metric</v>
          </cell>
          <cell r="E43" t="str">
            <v>MDA Team</v>
          </cell>
          <cell r="F43">
            <v>652530000</v>
          </cell>
          <cell r="I43" t="str">
            <v>N/A</v>
          </cell>
          <cell r="J43" t="str">
            <v>N/A</v>
          </cell>
        </row>
        <row r="44">
          <cell r="A44">
            <v>23</v>
          </cell>
          <cell r="B44" t="str">
            <v>Portfolio</v>
          </cell>
          <cell r="C44" t="str">
            <v>Lifecycle ex-ante Therm gross in Disadvantaged Communities</v>
          </cell>
          <cell r="D44" t="str">
            <v>Metric</v>
          </cell>
          <cell r="E44" t="str">
            <v>MDA Team</v>
          </cell>
          <cell r="F44">
            <v>26320000</v>
          </cell>
          <cell r="I44" t="str">
            <v>N/A</v>
          </cell>
          <cell r="J44" t="str">
            <v>N/A</v>
          </cell>
        </row>
        <row r="45">
          <cell r="A45">
            <v>24</v>
          </cell>
          <cell r="B45" t="str">
            <v>Portfolio</v>
          </cell>
          <cell r="C45" t="str">
            <v>Lifecycle ex-ante Therm net in Disadvantaged Communities</v>
          </cell>
          <cell r="D45" t="str">
            <v>Metric</v>
          </cell>
          <cell r="E45" t="str">
            <v>MDA Team</v>
          </cell>
          <cell r="F45">
            <v>15230000</v>
          </cell>
          <cell r="I45" t="str">
            <v>N/A</v>
          </cell>
          <cell r="J45" t="str">
            <v>N/A</v>
          </cell>
        </row>
        <row r="46">
          <cell r="A46">
            <v>25</v>
          </cell>
          <cell r="B46" t="str">
            <v>Portfolio</v>
          </cell>
          <cell r="C46" t="str">
            <v>First year annual kW gross in Hard-to-Reach Markets</v>
          </cell>
          <cell r="D46" t="str">
            <v>Metric</v>
          </cell>
          <cell r="E46" t="str">
            <v>MDA Team</v>
          </cell>
          <cell r="F46">
            <v>35780</v>
          </cell>
          <cell r="I46" t="str">
            <v>N/A</v>
          </cell>
          <cell r="J46" t="str">
            <v>N/A</v>
          </cell>
        </row>
        <row r="47">
          <cell r="A47">
            <v>26</v>
          </cell>
          <cell r="B47" t="str">
            <v>Portfolio</v>
          </cell>
          <cell r="C47" t="str">
            <v>First year annual kW net in Hard-to-Reach Markets</v>
          </cell>
          <cell r="D47" t="str">
            <v>Metric</v>
          </cell>
          <cell r="E47" t="str">
            <v>MDA Team</v>
          </cell>
          <cell r="F47">
            <v>22660</v>
          </cell>
          <cell r="I47" t="str">
            <v>N/A</v>
          </cell>
          <cell r="J47" t="str">
            <v>N/A</v>
          </cell>
        </row>
        <row r="48">
          <cell r="A48">
            <v>27</v>
          </cell>
          <cell r="B48" t="str">
            <v>Portfolio</v>
          </cell>
          <cell r="C48" t="str">
            <v>First year annual kWh gross in Hard-to-Reach Markets</v>
          </cell>
          <cell r="D48" t="str">
            <v>Metric</v>
          </cell>
          <cell r="E48" t="str">
            <v>MDA Team</v>
          </cell>
          <cell r="F48">
            <v>166790000</v>
          </cell>
          <cell r="I48" t="str">
            <v>N/A</v>
          </cell>
          <cell r="J48" t="str">
            <v>N/A</v>
          </cell>
        </row>
        <row r="49">
          <cell r="A49">
            <v>28</v>
          </cell>
          <cell r="B49" t="str">
            <v>Portfolio</v>
          </cell>
          <cell r="C49" t="str">
            <v>First year annual kWh net in Hard-to-Reach Markets</v>
          </cell>
          <cell r="D49" t="str">
            <v>Metric</v>
          </cell>
          <cell r="E49" t="str">
            <v>MDA Team</v>
          </cell>
          <cell r="F49">
            <v>105290000</v>
          </cell>
          <cell r="I49" t="str">
            <v>N/A</v>
          </cell>
          <cell r="J49" t="str">
            <v>N/A</v>
          </cell>
        </row>
        <row r="50">
          <cell r="A50">
            <v>29</v>
          </cell>
          <cell r="B50" t="str">
            <v>Portfolio</v>
          </cell>
          <cell r="C50" t="str">
            <v>First year annual Therm gross in Hard-to-Reach Markets</v>
          </cell>
          <cell r="D50" t="str">
            <v>Metric</v>
          </cell>
          <cell r="E50" t="str">
            <v>MDA Team</v>
          </cell>
          <cell r="F50">
            <v>5570000</v>
          </cell>
          <cell r="I50" t="str">
            <v>N/A</v>
          </cell>
          <cell r="J50" t="str">
            <v>N/A</v>
          </cell>
        </row>
        <row r="51">
          <cell r="A51">
            <v>30</v>
          </cell>
          <cell r="B51" t="str">
            <v>Portfolio</v>
          </cell>
          <cell r="C51" t="str">
            <v>First year annual Therm net in Hard-to-Reach Markets</v>
          </cell>
          <cell r="D51" t="str">
            <v>Metric</v>
          </cell>
          <cell r="E51" t="str">
            <v>MDA Team</v>
          </cell>
          <cell r="F51">
            <v>3260000</v>
          </cell>
          <cell r="I51" t="str">
            <v>N/A</v>
          </cell>
          <cell r="J51" t="str">
            <v>N/A</v>
          </cell>
        </row>
        <row r="52">
          <cell r="A52">
            <v>31</v>
          </cell>
          <cell r="B52" t="str">
            <v>Portfolio</v>
          </cell>
          <cell r="C52" t="str">
            <v>Lifecycle ex-ante kW gross in Hard-to-Reach Markets</v>
          </cell>
          <cell r="D52" t="str">
            <v>Metric</v>
          </cell>
          <cell r="E52" t="str">
            <v>MDA Team</v>
          </cell>
          <cell r="F52">
            <v>568830</v>
          </cell>
          <cell r="I52" t="str">
            <v>N/A</v>
          </cell>
          <cell r="J52" t="str">
            <v>N/A</v>
          </cell>
        </row>
        <row r="53">
          <cell r="A53">
            <v>32</v>
          </cell>
          <cell r="B53" t="str">
            <v>Portfolio</v>
          </cell>
          <cell r="C53" t="str">
            <v>Lifecycle ex-ante kW net in Hard-to-Reach Markets</v>
          </cell>
          <cell r="D53" t="str">
            <v>Metric</v>
          </cell>
          <cell r="E53" t="str">
            <v>MDA Team</v>
          </cell>
          <cell r="F53">
            <v>419520</v>
          </cell>
          <cell r="I53" t="str">
            <v>N/A</v>
          </cell>
          <cell r="J53" t="str">
            <v>N/A</v>
          </cell>
        </row>
        <row r="54">
          <cell r="A54">
            <v>33</v>
          </cell>
          <cell r="B54" t="str">
            <v>Portfolio</v>
          </cell>
          <cell r="C54" t="str">
            <v>Lifecycle ex-ante kWh gross in Hard-to-Reach Markets</v>
          </cell>
          <cell r="D54" t="str">
            <v>Metric</v>
          </cell>
          <cell r="E54" t="str">
            <v>MDA Team</v>
          </cell>
          <cell r="F54">
            <v>1768050000</v>
          </cell>
          <cell r="I54" t="str">
            <v>N/A</v>
          </cell>
          <cell r="J54" t="str">
            <v>N/A</v>
          </cell>
        </row>
        <row r="55">
          <cell r="A55">
            <v>34</v>
          </cell>
          <cell r="B55" t="str">
            <v>Portfolio</v>
          </cell>
          <cell r="C55" t="str">
            <v>Lifecycle ex-ante kWh net in Hard-to-Reach Markets</v>
          </cell>
          <cell r="D55" t="str">
            <v>Metric</v>
          </cell>
          <cell r="E55" t="str">
            <v>MDA Team</v>
          </cell>
          <cell r="F55">
            <v>1110890000</v>
          </cell>
          <cell r="I55" t="str">
            <v>N/A</v>
          </cell>
          <cell r="J55" t="str">
            <v>N/A</v>
          </cell>
        </row>
        <row r="56">
          <cell r="A56">
            <v>35</v>
          </cell>
          <cell r="B56" t="str">
            <v>Portfolio</v>
          </cell>
          <cell r="C56" t="str">
            <v>Lifecycle ex-ante Therm gross in Hard-to-Reach Markets</v>
          </cell>
          <cell r="D56" t="str">
            <v>Metric</v>
          </cell>
          <cell r="E56" t="str">
            <v>MDA Team</v>
          </cell>
          <cell r="F56">
            <v>62850000</v>
          </cell>
          <cell r="I56" t="str">
            <v>N/A</v>
          </cell>
          <cell r="J56" t="str">
            <v>N/A</v>
          </cell>
        </row>
        <row r="57">
          <cell r="A57">
            <v>36</v>
          </cell>
          <cell r="B57" t="str">
            <v>Portfolio</v>
          </cell>
          <cell r="C57" t="str">
            <v>Lifecycle ex-ante Therm net in Hard-to-Reach Markets</v>
          </cell>
          <cell r="D57" t="str">
            <v>Metric</v>
          </cell>
          <cell r="E57" t="str">
            <v>MDA Team</v>
          </cell>
          <cell r="F57">
            <v>36410000</v>
          </cell>
          <cell r="I57" t="str">
            <v>N/A</v>
          </cell>
          <cell r="J57" t="str">
            <v>N/A</v>
          </cell>
        </row>
        <row r="58">
          <cell r="A58">
            <v>56</v>
          </cell>
          <cell r="B58" t="str">
            <v>Res - SF</v>
          </cell>
          <cell r="C58" t="str">
            <v>Average lifecycle ex-ante kW net savings per participant - Opt-in - Downstream</v>
          </cell>
          <cell r="D58" t="str">
            <v>Metric</v>
          </cell>
          <cell r="E58" t="str">
            <v>MDA Team</v>
          </cell>
          <cell r="G58" t="str">
            <v>Confirm method with Res</v>
          </cell>
          <cell r="I58" t="str">
            <v>Lifecycle ex-ante kW net from downstream</v>
          </cell>
          <cell r="J58" t="str">
            <v>Total number of downstream participants</v>
          </cell>
        </row>
        <row r="59">
          <cell r="A59">
            <v>57</v>
          </cell>
          <cell r="B59" t="str">
            <v>Res - SF</v>
          </cell>
          <cell r="C59" t="str">
            <v>Average lifecycle ex-ante kWh net savings per participant - Opt-in - Downstream</v>
          </cell>
          <cell r="D59" t="str">
            <v>Metric</v>
          </cell>
          <cell r="E59" t="str">
            <v>MDA Team</v>
          </cell>
          <cell r="G59" t="str">
            <v>Confirm method with Res</v>
          </cell>
          <cell r="I59" t="str">
            <v>Lifecycle ex-ante kWh net from downstream</v>
          </cell>
          <cell r="J59" t="str">
            <v>Total number of downstream participants</v>
          </cell>
        </row>
        <row r="60">
          <cell r="A60">
            <v>58</v>
          </cell>
          <cell r="B60" t="str">
            <v>Res - SF</v>
          </cell>
          <cell r="C60" t="str">
            <v>Average lifecycle ex-ante Therm net savings per participant - Opt-in - Downstream</v>
          </cell>
          <cell r="D60" t="str">
            <v>Metric</v>
          </cell>
          <cell r="E60" t="str">
            <v>MDA Team</v>
          </cell>
          <cell r="G60" t="str">
            <v>Confirm method with Res</v>
          </cell>
          <cell r="I60" t="str">
            <v>Lifecycle ex-ante therm net from downstream</v>
          </cell>
          <cell r="J60" t="str">
            <v>Total number of downstream participants</v>
          </cell>
        </row>
        <row r="61">
          <cell r="A61">
            <v>59</v>
          </cell>
          <cell r="B61" t="str">
            <v>Res - SF</v>
          </cell>
          <cell r="C61" t="str">
            <v>Average lifecycle ex-ante kW net savings per participant - Opt-in - Midstream</v>
          </cell>
          <cell r="D61" t="str">
            <v>Metric</v>
          </cell>
          <cell r="E61" t="str">
            <v>MDA Team</v>
          </cell>
          <cell r="G61" t="str">
            <v>Confirm method with Res</v>
          </cell>
          <cell r="I61" t="str">
            <v>Lifecycle ex-ante kW net from midstream</v>
          </cell>
          <cell r="J61" t="str">
            <v>Total number of midstream participants</v>
          </cell>
        </row>
        <row r="62">
          <cell r="A62">
            <v>60</v>
          </cell>
          <cell r="B62" t="str">
            <v>Res - SF</v>
          </cell>
          <cell r="C62" t="str">
            <v>Average lifecycle ex-ante kWh net savings per participant - Opt-in - Midstream</v>
          </cell>
          <cell r="D62" t="str">
            <v>Metric</v>
          </cell>
          <cell r="E62" t="str">
            <v>MDA Team</v>
          </cell>
          <cell r="G62" t="str">
            <v>Confirm method with Res</v>
          </cell>
          <cell r="I62" t="str">
            <v>Lifecycle ex-ante kWh net from midstream</v>
          </cell>
          <cell r="J62" t="str">
            <v>Total number of midstream participants</v>
          </cell>
        </row>
        <row r="63">
          <cell r="A63">
            <v>61</v>
          </cell>
          <cell r="B63" t="str">
            <v>Res - SF</v>
          </cell>
          <cell r="C63" t="str">
            <v>Average lifecycle ex-ante Therm net savings per participant - Opt-in - Midstream</v>
          </cell>
          <cell r="D63" t="str">
            <v>Metric</v>
          </cell>
          <cell r="E63" t="str">
            <v>MDA Team</v>
          </cell>
          <cell r="G63" t="str">
            <v>Confirm method with Res</v>
          </cell>
          <cell r="I63" t="str">
            <v>Lifecycle ex-ante therm net from midstream</v>
          </cell>
          <cell r="J63" t="str">
            <v>Total number of midstream participants</v>
          </cell>
        </row>
        <row r="64">
          <cell r="A64">
            <v>62</v>
          </cell>
          <cell r="B64" t="str">
            <v>Res - SF</v>
          </cell>
          <cell r="C64" t="str">
            <v>Average lifecycle ex-ante kW net savings per participant - Opt-out</v>
          </cell>
          <cell r="D64" t="str">
            <v>Metric</v>
          </cell>
          <cell r="E64" t="str">
            <v>MDA Team</v>
          </cell>
          <cell r="G64" t="str">
            <v>Confirm method with Res</v>
          </cell>
          <cell r="I64" t="str">
            <v>Lifecycle ex-ante kW net from opt-out</v>
          </cell>
          <cell r="J64" t="str">
            <v>Total number of opt-out participants</v>
          </cell>
        </row>
        <row r="65">
          <cell r="A65">
            <v>63</v>
          </cell>
          <cell r="B65" t="str">
            <v>Res - SF</v>
          </cell>
          <cell r="C65" t="str">
            <v>Average lifecycle ex-ante kWh net savings per participant - Opt-out</v>
          </cell>
          <cell r="D65" t="str">
            <v>Metric</v>
          </cell>
          <cell r="E65" t="str">
            <v>MDA Team</v>
          </cell>
          <cell r="G65" t="str">
            <v>Confirm method with Res</v>
          </cell>
          <cell r="I65" t="str">
            <v>Lifecycle ex-ante kWh net from opt-out</v>
          </cell>
          <cell r="J65" t="str">
            <v>Total number of opt-out participants</v>
          </cell>
        </row>
        <row r="66">
          <cell r="A66">
            <v>64</v>
          </cell>
          <cell r="B66" t="str">
            <v>Res - SF</v>
          </cell>
          <cell r="C66" t="str">
            <v>Average lifecycle ex-ante Therm net savings per participant - Opt-out</v>
          </cell>
          <cell r="D66" t="str">
            <v>Metric</v>
          </cell>
          <cell r="E66" t="str">
            <v>MDA Team</v>
          </cell>
          <cell r="G66" t="str">
            <v>Confirm method with Res</v>
          </cell>
          <cell r="I66" t="str">
            <v>Lifecycle ex-ante therm net from opt-out</v>
          </cell>
          <cell r="J66" t="str">
            <v>Total number of opt-out participants</v>
          </cell>
        </row>
        <row r="67">
          <cell r="A67">
            <v>65</v>
          </cell>
          <cell r="B67" t="str">
            <v>Res - SF</v>
          </cell>
          <cell r="C67" t="str">
            <v>Average lifecycle ex-ante kW net savings per participant - Opt-in - Upstream</v>
          </cell>
          <cell r="D67" t="str">
            <v>Metric</v>
          </cell>
          <cell r="E67" t="str">
            <v>MDA Team</v>
          </cell>
          <cell r="G67" t="str">
            <v>Confirm method with Res</v>
          </cell>
          <cell r="I67" t="str">
            <v>Lifecycle ex-ante kW net from upstream</v>
          </cell>
          <cell r="J67" t="str">
            <v>Total number of upstream participants</v>
          </cell>
        </row>
        <row r="68">
          <cell r="A68">
            <v>66</v>
          </cell>
          <cell r="B68" t="str">
            <v>Res - SF</v>
          </cell>
          <cell r="C68" t="str">
            <v>Average lifecycle ex-ante kWh net savings per participant - Opt-in - Upstream</v>
          </cell>
          <cell r="D68" t="str">
            <v>Metric</v>
          </cell>
          <cell r="E68" t="str">
            <v>MDA Team</v>
          </cell>
          <cell r="G68" t="str">
            <v>Confirm method with Res</v>
          </cell>
          <cell r="I68" t="str">
            <v>Lifecycle ex-ante kWh net from upstream</v>
          </cell>
          <cell r="J68" t="str">
            <v>Total number of upstream participants</v>
          </cell>
        </row>
        <row r="69">
          <cell r="A69">
            <v>67</v>
          </cell>
          <cell r="B69" t="str">
            <v>Res - SF</v>
          </cell>
          <cell r="C69" t="str">
            <v>Average lifecycle ex-ante Therm net savings per participant - Opt-in - Upstream</v>
          </cell>
          <cell r="D69" t="str">
            <v>Metric</v>
          </cell>
          <cell r="E69" t="str">
            <v>MDA Team</v>
          </cell>
          <cell r="G69" t="str">
            <v>Confirm method with Res</v>
          </cell>
          <cell r="I69" t="str">
            <v>Lifecycle ex-ante therm net from upstream</v>
          </cell>
          <cell r="J69" t="str">
            <v>Total number of upstream participants</v>
          </cell>
        </row>
        <row r="70">
          <cell r="A70">
            <v>68</v>
          </cell>
          <cell r="B70" t="str">
            <v>Res - SF</v>
          </cell>
          <cell r="C70" t="str">
            <v>Percent of participation relative to eligible population</v>
          </cell>
          <cell r="D70" t="str">
            <v>Metric</v>
          </cell>
          <cell r="E70" t="str">
            <v>MDA Team</v>
          </cell>
          <cell r="G70">
            <v>50904</v>
          </cell>
          <cell r="H70">
            <v>4503484</v>
          </cell>
          <cell r="I70" t="str">
            <v># of Participating Customers</v>
          </cell>
          <cell r="J70" t="str">
            <v>Total # of Sector Customers</v>
          </cell>
        </row>
        <row r="71">
          <cell r="A71">
            <v>69</v>
          </cell>
          <cell r="B71" t="str">
            <v>Res - SF</v>
          </cell>
          <cell r="C71" t="str">
            <v>Percent of participation in disadvantaged communities</v>
          </cell>
          <cell r="D71" t="str">
            <v>Metric</v>
          </cell>
          <cell r="E71" t="str">
            <v>MDA Team</v>
          </cell>
          <cell r="G71">
            <v>11957</v>
          </cell>
          <cell r="H71">
            <v>545519</v>
          </cell>
          <cell r="I71" t="str">
            <v># of Participating DAC Customers</v>
          </cell>
          <cell r="J71" t="str">
            <v>Total # of DAC Customers</v>
          </cell>
        </row>
        <row r="72">
          <cell r="A72">
            <v>70</v>
          </cell>
          <cell r="B72" t="str">
            <v>Res - SF</v>
          </cell>
          <cell r="C72" t="str">
            <v>Percent of participation by customers defined as “hard‐to‐reach”</v>
          </cell>
          <cell r="D72" t="str">
            <v>Metric</v>
          </cell>
          <cell r="E72" t="str">
            <v>MDA Team</v>
          </cell>
          <cell r="G72">
            <v>13005</v>
          </cell>
          <cell r="H72">
            <v>677272</v>
          </cell>
          <cell r="I72" t="str">
            <v># of Participating HTR Customers</v>
          </cell>
          <cell r="J72" t="str">
            <v>Total # of HTR Customers</v>
          </cell>
        </row>
        <row r="73">
          <cell r="A73">
            <v>77</v>
          </cell>
          <cell r="B73" t="str">
            <v>Res - SF</v>
          </cell>
          <cell r="C73" t="str">
            <v>Average electric and gas usage per household</v>
          </cell>
          <cell r="D73" t="str">
            <v>Indicator</v>
          </cell>
          <cell r="E73" t="str">
            <v>Unknown</v>
          </cell>
          <cell r="G73">
            <v>0</v>
          </cell>
          <cell r="H73">
            <v>4503484</v>
          </cell>
          <cell r="I73" t="str">
            <v>Total sector energy usage (Btu)</v>
          </cell>
          <cell r="J73" t="str">
            <v>Total # of sector customers</v>
          </cell>
        </row>
        <row r="74">
          <cell r="A74">
            <v>115</v>
          </cell>
          <cell r="B74" t="str">
            <v>Res - MF</v>
          </cell>
          <cell r="C74" t="str">
            <v>Lifecycle ex-ante kW net per project (building)</v>
          </cell>
          <cell r="D74" t="str">
            <v>Metric</v>
          </cell>
          <cell r="E74" t="str">
            <v>MDA Team</v>
          </cell>
          <cell r="H74">
            <v>2203804</v>
          </cell>
          <cell r="I74" t="str">
            <v>Lifecycle ex-ante kW net (Non-Audit)</v>
          </cell>
          <cell r="J74" t="str">
            <v>Total # of Sector Customers</v>
          </cell>
        </row>
        <row r="75">
          <cell r="A75">
            <v>116</v>
          </cell>
          <cell r="B75" t="str">
            <v>Res - MF</v>
          </cell>
          <cell r="C75" t="str">
            <v>Lifecycle ex-ante kWh net per project (building)</v>
          </cell>
          <cell r="D75" t="str">
            <v>Metric</v>
          </cell>
          <cell r="E75" t="str">
            <v>MDA Team</v>
          </cell>
          <cell r="H75">
            <v>2203804</v>
          </cell>
          <cell r="I75" t="str">
            <v>Lifecycle ex-ante kWh net (Non-Audit)</v>
          </cell>
          <cell r="J75" t="str">
            <v>Total # of Sector Customers</v>
          </cell>
        </row>
        <row r="76">
          <cell r="A76">
            <v>117</v>
          </cell>
          <cell r="B76" t="str">
            <v>Res - MF</v>
          </cell>
          <cell r="C76" t="str">
            <v>Lifecycle ex-ante Therm net per project (building)</v>
          </cell>
          <cell r="D76" t="str">
            <v>Metric</v>
          </cell>
          <cell r="E76" t="str">
            <v>MDA Team</v>
          </cell>
          <cell r="H76">
            <v>2203804</v>
          </cell>
          <cell r="I76" t="str">
            <v>Lifecycle ex-ante Therm net (Non-Audit)</v>
          </cell>
          <cell r="J76" t="str">
            <v>Total # of Sector Customers</v>
          </cell>
        </row>
        <row r="77">
          <cell r="A77">
            <v>118</v>
          </cell>
          <cell r="B77" t="str">
            <v>Res - MF</v>
          </cell>
          <cell r="C77" t="str">
            <v>Lifecycle ex-ante kW net per project (property)</v>
          </cell>
          <cell r="D77" t="str">
            <v>Metric</v>
          </cell>
          <cell r="E77" t="str">
            <v>N/A</v>
          </cell>
          <cell r="H77">
            <v>9482</v>
          </cell>
          <cell r="I77" t="str">
            <v>Lifecycle ex-ante kW net (Non-Audit)</v>
          </cell>
          <cell r="J77" t="str">
            <v>Total # of projects</v>
          </cell>
        </row>
        <row r="78">
          <cell r="A78">
            <v>119</v>
          </cell>
          <cell r="B78" t="str">
            <v>Res - MF</v>
          </cell>
          <cell r="C78" t="str">
            <v>Lifecycle ex-ante kWh net per project (property)</v>
          </cell>
          <cell r="D78" t="str">
            <v>Metric</v>
          </cell>
          <cell r="E78" t="str">
            <v>N/A</v>
          </cell>
          <cell r="H78">
            <v>9482</v>
          </cell>
          <cell r="I78" t="str">
            <v>Lifecycle ex-ante kWh net (Non-Audit)</v>
          </cell>
          <cell r="J78" t="str">
            <v>Total # of projects</v>
          </cell>
        </row>
        <row r="79">
          <cell r="A79">
            <v>120</v>
          </cell>
          <cell r="B79" t="str">
            <v>Res - MF</v>
          </cell>
          <cell r="C79" t="str">
            <v>Lifecycle ex-ante Therm net per project (property)</v>
          </cell>
          <cell r="D79" t="str">
            <v>Metric</v>
          </cell>
          <cell r="E79" t="str">
            <v>N/A</v>
          </cell>
          <cell r="H79">
            <v>9482</v>
          </cell>
          <cell r="I79" t="str">
            <v>Lifecycle ex-ante Therm net (Non-Audit)</v>
          </cell>
          <cell r="J79" t="str">
            <v>Total # of projects</v>
          </cell>
        </row>
        <row r="80">
          <cell r="A80">
            <v>121</v>
          </cell>
          <cell r="B80" t="str">
            <v>Res - MF</v>
          </cell>
          <cell r="C80" t="str">
            <v>Lifecycle ex-ante kW net per square foot</v>
          </cell>
          <cell r="D80" t="str">
            <v>Metric</v>
          </cell>
          <cell r="E80" t="str">
            <v>MDA Team</v>
          </cell>
          <cell r="H80">
            <v>5752047.9544853</v>
          </cell>
          <cell r="I80" t="str">
            <v>Lifecycle ex-ante kW net</v>
          </cell>
          <cell r="J80" t="str">
            <v>Sq. ft. of participating customers</v>
          </cell>
        </row>
        <row r="81">
          <cell r="A81">
            <v>122</v>
          </cell>
          <cell r="B81" t="str">
            <v>Res - MF</v>
          </cell>
          <cell r="C81" t="str">
            <v>Lifecycle ex-ante kWh net per square foot</v>
          </cell>
          <cell r="D81" t="str">
            <v>Metric</v>
          </cell>
          <cell r="E81" t="str">
            <v>MDA Team</v>
          </cell>
          <cell r="H81">
            <v>5752047.9544853</v>
          </cell>
          <cell r="I81" t="str">
            <v>Lifecycle ex-ante kWh net</v>
          </cell>
          <cell r="J81" t="str">
            <v>Sq. ft. of participating customers</v>
          </cell>
        </row>
        <row r="82">
          <cell r="A82">
            <v>123</v>
          </cell>
          <cell r="B82" t="str">
            <v>Res - MF</v>
          </cell>
          <cell r="C82" t="str">
            <v>Lifecycle ex-ante Therm net per square foot</v>
          </cell>
          <cell r="D82" t="str">
            <v>Metric</v>
          </cell>
          <cell r="E82" t="str">
            <v>MDA Team</v>
          </cell>
          <cell r="H82">
            <v>5752047.9544853</v>
          </cell>
          <cell r="I82" t="str">
            <v>Lifecycle ex-ante Therm net</v>
          </cell>
          <cell r="J82" t="str">
            <v>Sq. ft. of participating customers</v>
          </cell>
        </row>
        <row r="83">
          <cell r="A83">
            <v>124</v>
          </cell>
          <cell r="B83" t="str">
            <v>Res - MF</v>
          </cell>
          <cell r="C83" t="str">
            <v>Percent of participation relative to eligible population by property</v>
          </cell>
          <cell r="D83" t="str">
            <v>Metric</v>
          </cell>
          <cell r="E83" t="str">
            <v>MDA Team</v>
          </cell>
          <cell r="G83">
            <v>9482</v>
          </cell>
          <cell r="H83">
            <v>2203804</v>
          </cell>
          <cell r="I83" t="str">
            <v>Total # of projects</v>
          </cell>
          <cell r="J83" t="str">
            <v>Total # of Sector Customers</v>
          </cell>
        </row>
        <row r="84">
          <cell r="A84">
            <v>125</v>
          </cell>
          <cell r="B84" t="str">
            <v>Res - MF</v>
          </cell>
          <cell r="C84" t="str">
            <v>Percent of participation relative to eligible population by unit</v>
          </cell>
          <cell r="D84" t="str">
            <v>Metric</v>
          </cell>
          <cell r="E84" t="str">
            <v>MDA Team</v>
          </cell>
          <cell r="G84">
            <v>6317</v>
          </cell>
          <cell r="H84">
            <v>2203804</v>
          </cell>
          <cell r="I84" t="str">
            <v># of Participating Customers</v>
          </cell>
          <cell r="J84" t="str">
            <v>Total # of Sector Customers</v>
          </cell>
        </row>
        <row r="85">
          <cell r="A85">
            <v>126</v>
          </cell>
          <cell r="B85" t="str">
            <v>Res - MF</v>
          </cell>
          <cell r="C85" t="str">
            <v xml:space="preserve"> Percent of square feet of eligible population participating (by property)</v>
          </cell>
          <cell r="D85" t="str">
            <v>Metric</v>
          </cell>
          <cell r="E85" t="str">
            <v>MDA Team</v>
          </cell>
          <cell r="G85">
            <v>5752047.9544853</v>
          </cell>
          <cell r="H85">
            <v>2006709876.5690236</v>
          </cell>
          <cell r="I85" t="str">
            <v>Sq. ft. of participating customers</v>
          </cell>
          <cell r="J85" t="str">
            <v>Total sq. ft. of all sector customers</v>
          </cell>
        </row>
        <row r="86">
          <cell r="A86">
            <v>127</v>
          </cell>
          <cell r="B86" t="str">
            <v>Res - MF</v>
          </cell>
          <cell r="C86" t="str">
            <v>Percent of participation in disadvantaged communities</v>
          </cell>
          <cell r="D86" t="str">
            <v>Metric</v>
          </cell>
          <cell r="E86" t="str">
            <v>MDA Team</v>
          </cell>
          <cell r="G86">
            <v>2313</v>
          </cell>
          <cell r="H86">
            <v>265155</v>
          </cell>
          <cell r="I86" t="str">
            <v># of Participating DAC Customers</v>
          </cell>
          <cell r="J86" t="str">
            <v>Total # of DAC Customers</v>
          </cell>
        </row>
        <row r="87">
          <cell r="A87">
            <v>128</v>
          </cell>
          <cell r="B87" t="str">
            <v>Res - MF</v>
          </cell>
          <cell r="C87" t="str">
            <v xml:space="preserve"> Percent of participation by customers defined as “hard‐to‐reach”</v>
          </cell>
          <cell r="D87" t="str">
            <v>Metric</v>
          </cell>
          <cell r="E87" t="str">
            <v>MDA Team</v>
          </cell>
          <cell r="G87">
            <v>1984</v>
          </cell>
          <cell r="H87">
            <v>214995</v>
          </cell>
          <cell r="I87" t="str">
            <v># of Participating HTR Customers</v>
          </cell>
          <cell r="J87" t="str">
            <v>Total # of HTR Customers</v>
          </cell>
        </row>
        <row r="88">
          <cell r="A88">
            <v>129</v>
          </cell>
          <cell r="B88" t="str">
            <v>Res - MF</v>
          </cell>
          <cell r="C88" t="str">
            <v>Percent of benchmarked multi‐family properties relative to the eligible population</v>
          </cell>
          <cell r="D88" t="str">
            <v>Metric</v>
          </cell>
          <cell r="E88" t="str">
            <v>MDA Team</v>
          </cell>
          <cell r="G88">
            <v>428</v>
          </cell>
          <cell r="H88">
            <v>2203804</v>
          </cell>
          <cell r="I88" t="str">
            <v>Total # of benchmarked customers</v>
          </cell>
          <cell r="J88" t="str">
            <v>Total # of Sector Customers</v>
          </cell>
        </row>
        <row r="89">
          <cell r="A89">
            <v>130</v>
          </cell>
          <cell r="B89" t="str">
            <v>Res - MF</v>
          </cell>
          <cell r="C89" t="str">
            <v>Percent of benchmarking by properties defined as “hard‐to‐reach”</v>
          </cell>
          <cell r="D89" t="str">
            <v>Metric</v>
          </cell>
          <cell r="E89" t="str">
            <v>MDA Team</v>
          </cell>
          <cell r="G89">
            <v>56</v>
          </cell>
          <cell r="H89">
            <v>214995</v>
          </cell>
          <cell r="I89" t="str">
            <v># of benchmarked HTR customers</v>
          </cell>
          <cell r="J89" t="str">
            <v>Total # of HTR Customers</v>
          </cell>
        </row>
        <row r="90">
          <cell r="A90">
            <v>137</v>
          </cell>
          <cell r="B90" t="str">
            <v>Res - MF</v>
          </cell>
          <cell r="C90" t="str">
            <v>Average electric and gas usage per unit</v>
          </cell>
          <cell r="D90" t="str">
            <v>Indicator</v>
          </cell>
          <cell r="E90" t="str">
            <v>MDA Team</v>
          </cell>
          <cell r="G90">
            <v>0</v>
          </cell>
          <cell r="H90">
            <v>2006709876.5690236</v>
          </cell>
          <cell r="I90" t="str">
            <v>Total sector energy usage (Btu)</v>
          </cell>
          <cell r="J90" t="str">
            <v>Total sq. ft. of all sector customers</v>
          </cell>
        </row>
        <row r="91">
          <cell r="A91">
            <v>138</v>
          </cell>
          <cell r="B91" t="str">
            <v>Res - MF</v>
          </cell>
          <cell r="C91" t="str">
            <v>Average electric and gas usage per square foot</v>
          </cell>
          <cell r="D91" t="str">
            <v>Indicator</v>
          </cell>
          <cell r="E91" t="str">
            <v>MDA Team</v>
          </cell>
          <cell r="G91">
            <v>0</v>
          </cell>
          <cell r="H91">
            <v>2006709876.5690236</v>
          </cell>
          <cell r="I91" t="str">
            <v>Total sector energy usage (Btu)</v>
          </cell>
          <cell r="J91" t="str">
            <v>Total sq. ft. of all sector customers</v>
          </cell>
        </row>
        <row r="92">
          <cell r="A92">
            <v>151</v>
          </cell>
          <cell r="B92" t="str">
            <v>Commercial</v>
          </cell>
          <cell r="C92" t="str">
            <v xml:space="preserve">Percent first year annual kW gross </v>
          </cell>
          <cell r="D92" t="str">
            <v>Metric</v>
          </cell>
          <cell r="E92" t="str">
            <v>MDA Team</v>
          </cell>
          <cell r="H92">
            <v>113689046.06550001</v>
          </cell>
          <cell r="I92" t="str">
            <v>First year annual kW gross</v>
          </cell>
          <cell r="J92" t="str">
            <v>Total annual sector demand (kW)</v>
          </cell>
        </row>
        <row r="93">
          <cell r="A93">
            <v>152</v>
          </cell>
          <cell r="B93" t="str">
            <v>Commercial</v>
          </cell>
          <cell r="C93" t="str">
            <v>Percent first year annual kW net</v>
          </cell>
          <cell r="D93" t="str">
            <v>Metric</v>
          </cell>
          <cell r="E93" t="str">
            <v>MDA Team</v>
          </cell>
          <cell r="H93">
            <v>113689046.06550001</v>
          </cell>
          <cell r="I93" t="str">
            <v>First year annual kW net</v>
          </cell>
          <cell r="J93" t="str">
            <v>Total annual sector demand (kW)</v>
          </cell>
        </row>
        <row r="94">
          <cell r="A94">
            <v>153</v>
          </cell>
          <cell r="B94" t="str">
            <v>Commercial</v>
          </cell>
          <cell r="C94" t="str">
            <v>Percent first year annual kWh gross</v>
          </cell>
          <cell r="D94" t="str">
            <v>Metric</v>
          </cell>
          <cell r="E94" t="str">
            <v>MDA Team</v>
          </cell>
          <cell r="H94">
            <v>33942505759.975399</v>
          </cell>
          <cell r="I94" t="str">
            <v>First year annual kWh gross</v>
          </cell>
          <cell r="J94" t="str">
            <v>Total annual sector elec usage (kWh)</v>
          </cell>
        </row>
        <row r="95">
          <cell r="A95">
            <v>154</v>
          </cell>
          <cell r="B95" t="str">
            <v>Commercial</v>
          </cell>
          <cell r="C95" t="str">
            <v>Percent first year annual kWh net</v>
          </cell>
          <cell r="D95" t="str">
            <v>Metric</v>
          </cell>
          <cell r="E95" t="str">
            <v>MDA Team</v>
          </cell>
          <cell r="H95">
            <v>33942505759.975399</v>
          </cell>
          <cell r="I95" t="str">
            <v>First year annual kWh net</v>
          </cell>
          <cell r="J95" t="str">
            <v>Total annual sector elec usage (kWh)</v>
          </cell>
        </row>
        <row r="96">
          <cell r="A96">
            <v>155</v>
          </cell>
          <cell r="B96" t="str">
            <v>Commercial</v>
          </cell>
          <cell r="C96" t="str">
            <v>Percent first year annual Therm gross</v>
          </cell>
          <cell r="D96" t="str">
            <v>Metric</v>
          </cell>
          <cell r="E96" t="str">
            <v>MDA Team</v>
          </cell>
          <cell r="H96">
            <v>1099729865.5796299</v>
          </cell>
          <cell r="I96" t="str">
            <v>First year annual Therm gross</v>
          </cell>
          <cell r="J96" t="str">
            <v>Total annual sector gas usage (therms)</v>
          </cell>
        </row>
        <row r="97">
          <cell r="A97">
            <v>156</v>
          </cell>
          <cell r="B97" t="str">
            <v>Commercial</v>
          </cell>
          <cell r="C97" t="str">
            <v>Percent first year annual Therm net</v>
          </cell>
          <cell r="D97" t="str">
            <v>Metric</v>
          </cell>
          <cell r="E97" t="str">
            <v>MDA Team</v>
          </cell>
          <cell r="H97">
            <v>1099729865.5796299</v>
          </cell>
          <cell r="I97" t="str">
            <v>First year annual Therm net</v>
          </cell>
          <cell r="J97" t="str">
            <v>Total annual sector gas usage (therms)</v>
          </cell>
        </row>
        <row r="98">
          <cell r="A98">
            <v>157</v>
          </cell>
          <cell r="B98" t="str">
            <v>Commercial</v>
          </cell>
          <cell r="C98" t="str">
            <v>Percent lifecycle ex-ante kW gross</v>
          </cell>
          <cell r="D98" t="str">
            <v>Metric</v>
          </cell>
          <cell r="E98" t="str">
            <v>MDA Team</v>
          </cell>
          <cell r="H98">
            <v>113689046.06550001</v>
          </cell>
          <cell r="I98" t="str">
            <v>Lifecycle ex-ante kW gross</v>
          </cell>
          <cell r="J98" t="str">
            <v>Total annual sector demand (kW)</v>
          </cell>
        </row>
        <row r="99">
          <cell r="A99">
            <v>158</v>
          </cell>
          <cell r="B99" t="str">
            <v>Commercial</v>
          </cell>
          <cell r="C99" t="str">
            <v>Percent lifecycle ex-ante kW net</v>
          </cell>
          <cell r="D99" t="str">
            <v>Metric</v>
          </cell>
          <cell r="E99" t="str">
            <v>MDA Team</v>
          </cell>
          <cell r="H99">
            <v>113689046.06550001</v>
          </cell>
          <cell r="I99" t="str">
            <v>Lifecycle ex-ante kW net</v>
          </cell>
          <cell r="J99" t="str">
            <v>Total annual sector demand (kW)</v>
          </cell>
        </row>
        <row r="100">
          <cell r="A100">
            <v>159</v>
          </cell>
          <cell r="B100" t="str">
            <v>Commercial</v>
          </cell>
          <cell r="C100" t="str">
            <v>Percent lifecycle ex-ante kWh gross</v>
          </cell>
          <cell r="D100" t="str">
            <v>Metric</v>
          </cell>
          <cell r="E100" t="str">
            <v>MDA Team</v>
          </cell>
          <cell r="H100">
            <v>33942505759.975399</v>
          </cell>
          <cell r="I100" t="str">
            <v>Lifecycle ex-ante kWh gross</v>
          </cell>
          <cell r="J100" t="str">
            <v>Total annual sector elec usage (kWh)</v>
          </cell>
        </row>
        <row r="101">
          <cell r="A101">
            <v>160</v>
          </cell>
          <cell r="B101" t="str">
            <v>Commercial</v>
          </cell>
          <cell r="C101" t="str">
            <v>Percent lifecycle ex-ante kWh net</v>
          </cell>
          <cell r="D101" t="str">
            <v>Metric</v>
          </cell>
          <cell r="E101" t="str">
            <v>MDA Team</v>
          </cell>
          <cell r="H101">
            <v>33942505759.975399</v>
          </cell>
          <cell r="I101" t="str">
            <v>Lifecycle ex-ante kWh net</v>
          </cell>
          <cell r="J101" t="str">
            <v>Total annual sector elec usage (kWh)</v>
          </cell>
        </row>
        <row r="102">
          <cell r="A102">
            <v>161</v>
          </cell>
          <cell r="B102" t="str">
            <v>Commercial</v>
          </cell>
          <cell r="C102" t="str">
            <v>Percent lifecycle ex-ante Therm gross</v>
          </cell>
          <cell r="D102" t="str">
            <v>Metric</v>
          </cell>
          <cell r="E102" t="str">
            <v>MDA Team</v>
          </cell>
          <cell r="H102">
            <v>1099729865.5796299</v>
          </cell>
          <cell r="I102" t="str">
            <v>Lifecycle ex-ante Therm gross</v>
          </cell>
          <cell r="J102" t="str">
            <v>Total annual sector gas usage (therms)</v>
          </cell>
        </row>
        <row r="103">
          <cell r="A103">
            <v>162</v>
          </cell>
          <cell r="B103" t="str">
            <v>Commercial</v>
          </cell>
          <cell r="C103" t="str">
            <v>Percent lifecycle ex-ante Therm net</v>
          </cell>
          <cell r="D103" t="str">
            <v>Metric</v>
          </cell>
          <cell r="E103" t="str">
            <v>MDA Team</v>
          </cell>
          <cell r="H103">
            <v>1099729865.5796299</v>
          </cell>
          <cell r="I103" t="str">
            <v>Lifecycle ex-ante Therm net</v>
          </cell>
          <cell r="J103" t="str">
            <v>Total annual sector gas usage (therms)</v>
          </cell>
        </row>
        <row r="104">
          <cell r="A104">
            <v>165</v>
          </cell>
          <cell r="B104" t="str">
            <v>Commercial</v>
          </cell>
          <cell r="C104" t="str">
            <v>Percent lifecycle gross kWh</v>
          </cell>
          <cell r="D104" t="str">
            <v>Metric</v>
          </cell>
          <cell r="E104" t="str">
            <v>MDA Team</v>
          </cell>
          <cell r="H104">
            <v>5406749213.2316599</v>
          </cell>
          <cell r="I104" t="str">
            <v>Lifecycle gross kWh</v>
          </cell>
          <cell r="J104" t="str">
            <v>Annual sector elec usage of participants</v>
          </cell>
        </row>
        <row r="105">
          <cell r="A105">
            <v>166</v>
          </cell>
          <cell r="B105" t="str">
            <v>Commercial</v>
          </cell>
          <cell r="C105" t="str">
            <v>Percent lifecycle gross Therms</v>
          </cell>
          <cell r="D105" t="str">
            <v>Metric</v>
          </cell>
          <cell r="E105" t="str">
            <v>MDA Team</v>
          </cell>
          <cell r="H105">
            <v>42202462.835056998</v>
          </cell>
          <cell r="I105" t="str">
            <v>Lifecycle gross therms</v>
          </cell>
          <cell r="J105" t="str">
            <v>Annual sector gas usage of participants</v>
          </cell>
        </row>
        <row r="106">
          <cell r="A106">
            <v>167</v>
          </cell>
          <cell r="B106" t="str">
            <v>Commercial</v>
          </cell>
          <cell r="C106" t="str">
            <v>Percent of participation relative to eligible population for large customers</v>
          </cell>
          <cell r="D106" t="str">
            <v>Metric</v>
          </cell>
          <cell r="E106" t="str">
            <v>MDA Team</v>
          </cell>
          <cell r="G106">
            <v>4602</v>
          </cell>
          <cell r="H106">
            <v>12135</v>
          </cell>
          <cell r="I106" t="str">
            <v># of participating large customers</v>
          </cell>
          <cell r="J106" t="str">
            <v>Total # of large customers</v>
          </cell>
        </row>
        <row r="107">
          <cell r="A107">
            <v>168</v>
          </cell>
          <cell r="B107" t="str">
            <v>Commercial</v>
          </cell>
          <cell r="C107" t="str">
            <v>Percent of participation relative to eligible population for medium customers</v>
          </cell>
          <cell r="D107" t="str">
            <v>Metric</v>
          </cell>
          <cell r="E107" t="str">
            <v>MDA Team</v>
          </cell>
          <cell r="G107">
            <v>5805</v>
          </cell>
          <cell r="H107">
            <v>116106</v>
          </cell>
          <cell r="I107" t="str">
            <v># of participating medium customers</v>
          </cell>
          <cell r="J107" t="str">
            <v>Total # of medium customers</v>
          </cell>
        </row>
        <row r="108">
          <cell r="A108">
            <v>169</v>
          </cell>
          <cell r="B108" t="str">
            <v>Commercial</v>
          </cell>
          <cell r="C108" t="str">
            <v>Percent of participation relative to eligible population for  small customers</v>
          </cell>
          <cell r="D108" t="str">
            <v>Metric</v>
          </cell>
          <cell r="E108" t="str">
            <v>MDA Team</v>
          </cell>
          <cell r="G108">
            <v>4602</v>
          </cell>
          <cell r="H108">
            <v>511501</v>
          </cell>
          <cell r="I108" t="str">
            <v># of participating small customers</v>
          </cell>
          <cell r="J108" t="str">
            <v>Total # of small customers</v>
          </cell>
        </row>
        <row r="109">
          <cell r="A109">
            <v>170</v>
          </cell>
          <cell r="B109" t="str">
            <v>Commercial</v>
          </cell>
          <cell r="C109" t="str">
            <v>Percent of square feet of eligible population</v>
          </cell>
          <cell r="D109" t="str">
            <v>Metric</v>
          </cell>
          <cell r="E109" t="str">
            <v>MDA Team</v>
          </cell>
          <cell r="G109">
            <v>0</v>
          </cell>
          <cell r="H109">
            <v>0</v>
          </cell>
          <cell r="I109" t="str">
            <v>Sq. ft. of participating customers</v>
          </cell>
          <cell r="J109" t="str">
            <v>Total sq. ft. of all sector customers</v>
          </cell>
        </row>
        <row r="110">
          <cell r="A110">
            <v>171</v>
          </cell>
          <cell r="B110" t="str">
            <v>Commercial</v>
          </cell>
          <cell r="C110" t="str">
            <v>Percent of participation by customers defined as “hard‐to‐reach”</v>
          </cell>
          <cell r="D110" t="str">
            <v>Metric</v>
          </cell>
          <cell r="E110" t="str">
            <v>MDA Team</v>
          </cell>
          <cell r="G110">
            <v>4702</v>
          </cell>
          <cell r="H110">
            <v>260770</v>
          </cell>
          <cell r="I110" t="str">
            <v># of participating HTR customers</v>
          </cell>
          <cell r="J110" t="str">
            <v>Total # of HTR customers</v>
          </cell>
        </row>
        <row r="111">
          <cell r="A111">
            <v>172</v>
          </cell>
          <cell r="B111" t="str">
            <v>Commercial</v>
          </cell>
          <cell r="C111" t="str">
            <v>Percent of benchmarked square feet of eligible population</v>
          </cell>
          <cell r="D111" t="str">
            <v>Metric</v>
          </cell>
          <cell r="E111" t="str">
            <v>MDA Team</v>
          </cell>
          <cell r="G111">
            <v>909519271</v>
          </cell>
          <cell r="H111">
            <v>0</v>
          </cell>
          <cell r="I111" t="str">
            <v>Sq. ft. of benchmarked customers</v>
          </cell>
          <cell r="J111" t="str">
            <v>Total sq. ft. of all sector customers</v>
          </cell>
        </row>
        <row r="112">
          <cell r="A112">
            <v>173</v>
          </cell>
          <cell r="B112" t="str">
            <v>Commercial</v>
          </cell>
          <cell r="C112" t="str">
            <v>Percent of benchmarked customers relative to eligible population for large customers</v>
          </cell>
          <cell r="D112" t="str">
            <v>Metric</v>
          </cell>
          <cell r="E112" t="str">
            <v>MDA Team</v>
          </cell>
          <cell r="G112">
            <v>415</v>
          </cell>
          <cell r="H112">
            <v>11768</v>
          </cell>
          <cell r="I112" t="str">
            <v># of benchmarked large customers</v>
          </cell>
          <cell r="J112" t="str">
            <v>Total # of large customers</v>
          </cell>
        </row>
        <row r="113">
          <cell r="A113">
            <v>174</v>
          </cell>
          <cell r="B113" t="str">
            <v>Commercial</v>
          </cell>
          <cell r="C113" t="str">
            <v>Percent of benchmarked customers relative to eligible population for medium customers</v>
          </cell>
          <cell r="D113" t="str">
            <v>Metric</v>
          </cell>
          <cell r="E113" t="str">
            <v>MDA Team</v>
          </cell>
          <cell r="G113">
            <v>642</v>
          </cell>
          <cell r="H113">
            <v>114023</v>
          </cell>
          <cell r="I113" t="str">
            <v># of benchmarked medium customers</v>
          </cell>
          <cell r="J113" t="str">
            <v>Total # of medium customers</v>
          </cell>
        </row>
        <row r="114">
          <cell r="A114">
            <v>175</v>
          </cell>
          <cell r="B114" t="str">
            <v>Commercial</v>
          </cell>
          <cell r="C114" t="str">
            <v>Percent of benchmarked customers relative to eligible population for small  customers</v>
          </cell>
          <cell r="D114" t="str">
            <v>Metric</v>
          </cell>
          <cell r="E114" t="str">
            <v>MDA Team</v>
          </cell>
          <cell r="G114">
            <v>481</v>
          </cell>
          <cell r="H114">
            <v>479282</v>
          </cell>
          <cell r="I114" t="str">
            <v># of benchmarked small customers</v>
          </cell>
          <cell r="J114" t="str">
            <v>Total # of small customers</v>
          </cell>
        </row>
        <row r="115">
          <cell r="A115">
            <v>176</v>
          </cell>
          <cell r="B115" t="str">
            <v>Commercial</v>
          </cell>
          <cell r="C115" t="str">
            <v>Percent of benchmarking by customers defined as “hard‐to‐reach”</v>
          </cell>
          <cell r="D115" t="str">
            <v>Metric</v>
          </cell>
          <cell r="E115" t="str">
            <v>MDA Team</v>
          </cell>
          <cell r="G115">
            <v>433</v>
          </cell>
          <cell r="H115">
            <v>260770</v>
          </cell>
          <cell r="I115" t="str">
            <v># of benchmarked HTR customers</v>
          </cell>
          <cell r="J115" t="str">
            <v>Total # of HTR customers</v>
          </cell>
        </row>
        <row r="116">
          <cell r="A116">
            <v>183</v>
          </cell>
          <cell r="B116" t="str">
            <v>Commercial</v>
          </cell>
          <cell r="C116" t="str">
            <v>Percent of total projects utilizing Normalized Metered Energy Consumption (NMEC) to estimate savings</v>
          </cell>
          <cell r="D116" t="str">
            <v>Indicator</v>
          </cell>
          <cell r="E116" t="str">
            <v>MDA Team</v>
          </cell>
          <cell r="I116" t="str">
            <v># of custom projects using NMEC to estimate savings</v>
          </cell>
          <cell r="J116" t="str">
            <v># of custom projects</v>
          </cell>
        </row>
        <row r="117">
          <cell r="A117">
            <v>184</v>
          </cell>
          <cell r="B117" t="str">
            <v>Commercial</v>
          </cell>
          <cell r="C117" t="str">
            <v>Percent of total savings (gross kWh and therm) derived from NMEC analysis</v>
          </cell>
          <cell r="D117" t="str">
            <v>Indicator</v>
          </cell>
          <cell r="E117" t="str">
            <v>MDA Team</v>
          </cell>
          <cell r="I117" t="str">
            <v>Total custom savings derived from NMEC analysis</v>
          </cell>
          <cell r="J117" t="str">
            <v>Total custom savings</v>
          </cell>
        </row>
        <row r="118">
          <cell r="A118">
            <v>185</v>
          </cell>
          <cell r="B118" t="str">
            <v>Commercial</v>
          </cell>
          <cell r="C118" t="str">
            <v>Percent Improvement in customer satisfaction</v>
          </cell>
          <cell r="D118" t="str">
            <v>Indicator</v>
          </cell>
          <cell r="E118" t="str">
            <v>Unknown</v>
          </cell>
          <cell r="I118" t="str">
            <v>TBD</v>
          </cell>
          <cell r="J118" t="str">
            <v>TBD</v>
          </cell>
        </row>
        <row r="119">
          <cell r="A119">
            <v>186</v>
          </cell>
          <cell r="B119" t="str">
            <v>Commercial</v>
          </cell>
          <cell r="C119" t="str">
            <v>Percent Improvement in trade ally satisfaction</v>
          </cell>
          <cell r="D119" t="str">
            <v>Indicator</v>
          </cell>
          <cell r="E119" t="str">
            <v>Unknown</v>
          </cell>
          <cell r="I119" t="str">
            <v>TBD</v>
          </cell>
          <cell r="J119" t="str">
            <v>TBD</v>
          </cell>
        </row>
        <row r="120">
          <cell r="A120">
            <v>187</v>
          </cell>
          <cell r="B120" t="str">
            <v>Commercial</v>
          </cell>
          <cell r="C120" t="str">
            <v>Percent of total investments made by ratepayers and private capital</v>
          </cell>
          <cell r="D120" t="str">
            <v>Indicator</v>
          </cell>
          <cell r="E120" t="str">
            <v>MDA Team</v>
          </cell>
          <cell r="I120" t="str">
            <v>Total incentive amount</v>
          </cell>
          <cell r="J120" t="str">
            <v>Total project costs</v>
          </cell>
        </row>
        <row r="121">
          <cell r="A121">
            <v>201</v>
          </cell>
          <cell r="B121" t="str">
            <v>Public</v>
          </cell>
          <cell r="C121" t="str">
            <v>Percent annual net kW per project building or facility</v>
          </cell>
          <cell r="D121" t="str">
            <v>Indicator</v>
          </cell>
          <cell r="E121" t="str">
            <v>MDA Team</v>
          </cell>
          <cell r="H121">
            <v>0</v>
          </cell>
          <cell r="I121" t="str">
            <v>First year annual kW net</v>
          </cell>
          <cell r="J121" t="str">
            <v>Total # of projects</v>
          </cell>
        </row>
        <row r="122">
          <cell r="A122">
            <v>202</v>
          </cell>
          <cell r="B122" t="str">
            <v>Public</v>
          </cell>
          <cell r="C122" t="str">
            <v>Percent annual net kWh per project building or facility</v>
          </cell>
          <cell r="D122" t="str">
            <v>Indicator</v>
          </cell>
          <cell r="E122" t="str">
            <v>MDA Team</v>
          </cell>
          <cell r="H122">
            <v>0</v>
          </cell>
          <cell r="I122" t="str">
            <v>First year annual kWh net</v>
          </cell>
          <cell r="J122" t="str">
            <v>Total # of projects</v>
          </cell>
        </row>
        <row r="123">
          <cell r="A123">
            <v>203</v>
          </cell>
          <cell r="B123" t="str">
            <v>Public</v>
          </cell>
          <cell r="C123" t="str">
            <v>Percent annual net Therms per project building or facility</v>
          </cell>
          <cell r="D123" t="str">
            <v>Indicator</v>
          </cell>
          <cell r="E123" t="str">
            <v>MDA Team</v>
          </cell>
          <cell r="H123">
            <v>0</v>
          </cell>
          <cell r="I123" t="str">
            <v>First year annual Therm net</v>
          </cell>
          <cell r="J123" t="str">
            <v>Total # of projects</v>
          </cell>
        </row>
        <row r="124">
          <cell r="A124">
            <v>204</v>
          </cell>
          <cell r="B124" t="str">
            <v>Public</v>
          </cell>
          <cell r="C124" t="str">
            <v>Average annual net kw savings per project building floor plan area</v>
          </cell>
          <cell r="D124" t="str">
            <v>Indicator</v>
          </cell>
          <cell r="E124" t="str">
            <v>MDA Team</v>
          </cell>
          <cell r="H124">
            <v>0</v>
          </cell>
          <cell r="I124" t="str">
            <v>First year annual kW net</v>
          </cell>
          <cell r="J124" t="str">
            <v>Sq. ft. of participating customers</v>
          </cell>
        </row>
        <row r="125">
          <cell r="A125">
            <v>205</v>
          </cell>
          <cell r="B125" t="str">
            <v>Public</v>
          </cell>
          <cell r="C125" t="str">
            <v>Average annual net kw savings per project building floor plan area</v>
          </cell>
          <cell r="D125" t="str">
            <v>Indicator</v>
          </cell>
          <cell r="E125" t="str">
            <v>MDA Team</v>
          </cell>
          <cell r="H125">
            <v>0</v>
          </cell>
          <cell r="I125" t="str">
            <v>First year annual kWh net</v>
          </cell>
          <cell r="J125" t="str">
            <v>Sq. ft. of participating customers</v>
          </cell>
        </row>
        <row r="126">
          <cell r="A126">
            <v>206</v>
          </cell>
          <cell r="B126" t="str">
            <v>Public</v>
          </cell>
          <cell r="C126" t="str">
            <v>Average annual net Therm savings per project building floor plan area</v>
          </cell>
          <cell r="D126" t="str">
            <v>Indicator</v>
          </cell>
          <cell r="E126" t="str">
            <v>MDA Team</v>
          </cell>
          <cell r="H126">
            <v>0</v>
          </cell>
          <cell r="I126" t="str">
            <v>First year annual Therm net</v>
          </cell>
          <cell r="J126" t="str">
            <v>Sq. ft. of participating customers</v>
          </cell>
        </row>
        <row r="127">
          <cell r="A127">
            <v>207</v>
          </cell>
          <cell r="B127" t="str">
            <v>Public</v>
          </cell>
          <cell r="C127" t="str">
            <v>Average annual Net kW savings per annual flow through project water/wastewater facilities</v>
          </cell>
          <cell r="D127" t="str">
            <v>Indicator</v>
          </cell>
          <cell r="E127" t="str">
            <v>Unknown</v>
          </cell>
          <cell r="I127" t="str">
            <v>First year annual kW net from water/wastewater customers</v>
          </cell>
          <cell r="J127" t="str">
            <v>???</v>
          </cell>
        </row>
        <row r="128">
          <cell r="A128">
            <v>208</v>
          </cell>
          <cell r="B128" t="str">
            <v>Public</v>
          </cell>
          <cell r="C128" t="str">
            <v>Average annual Net kWh savings per annual flow through project water/wastewater facilities</v>
          </cell>
          <cell r="D128" t="str">
            <v>Indicator</v>
          </cell>
          <cell r="E128" t="str">
            <v>Unknown</v>
          </cell>
          <cell r="I128" t="str">
            <v>First year annual kWh net from water/wastewater customers</v>
          </cell>
          <cell r="J128" t="str">
            <v>???</v>
          </cell>
        </row>
        <row r="129">
          <cell r="A129">
            <v>209</v>
          </cell>
          <cell r="B129" t="str">
            <v>Public</v>
          </cell>
          <cell r="C129" t="str">
            <v>Average annual Net Therms savings per annual flow through project water/wastewater facilities</v>
          </cell>
          <cell r="D129" t="str">
            <v>Indicator</v>
          </cell>
          <cell r="E129" t="str">
            <v>Unknown</v>
          </cell>
          <cell r="I129" t="str">
            <v>First year annual Therm net from water/wastewater customers</v>
          </cell>
          <cell r="J129" t="str">
            <v>???</v>
          </cell>
        </row>
        <row r="130">
          <cell r="A130">
            <v>210</v>
          </cell>
          <cell r="B130" t="str">
            <v>Public</v>
          </cell>
          <cell r="C130" t="str">
            <v>Percent of Public Sector accounts participating in programs</v>
          </cell>
          <cell r="D130" t="str">
            <v>Metric</v>
          </cell>
          <cell r="E130" t="str">
            <v>MDA Team</v>
          </cell>
          <cell r="G130">
            <v>1398</v>
          </cell>
          <cell r="H130">
            <v>75222</v>
          </cell>
          <cell r="I130" t="str">
            <v># of participating customers</v>
          </cell>
          <cell r="J130" t="str">
            <v>Total # of sector customers</v>
          </cell>
        </row>
        <row r="131">
          <cell r="A131">
            <v>211</v>
          </cell>
          <cell r="B131" t="str">
            <v>Public</v>
          </cell>
          <cell r="C131" t="str">
            <v>Percent of estimated floorplan area (i.e., ft2) of all Public Sector buildings participating in building projects</v>
          </cell>
          <cell r="D131" t="str">
            <v>Indicator</v>
          </cell>
          <cell r="E131" t="str">
            <v>MDA Team</v>
          </cell>
          <cell r="G131">
            <v>0</v>
          </cell>
          <cell r="H131">
            <v>0</v>
          </cell>
          <cell r="I131" t="str">
            <v>Sq. ft. of participating customers</v>
          </cell>
          <cell r="J131" t="str">
            <v>Total sq. ft. of all sector customers</v>
          </cell>
        </row>
        <row r="132">
          <cell r="A132">
            <v>212</v>
          </cell>
          <cell r="B132" t="str">
            <v>Public</v>
          </cell>
          <cell r="C132" t="str">
            <v>Percent of Public Sector water/wastewater flow enrolled in non‐building water/wastewater programs</v>
          </cell>
          <cell r="D132" t="str">
            <v>Indicator</v>
          </cell>
          <cell r="E132" t="str">
            <v>Unknown</v>
          </cell>
          <cell r="I132" t="str">
            <v>???</v>
          </cell>
          <cell r="J132" t="str">
            <v>???</v>
          </cell>
        </row>
        <row r="133">
          <cell r="A133">
            <v>219</v>
          </cell>
          <cell r="B133" t="str">
            <v>Public</v>
          </cell>
          <cell r="C133" t="str">
            <v>Total program‐backed financing distributed to Public Sector customers requiring repayment</v>
          </cell>
          <cell r="D133" t="str">
            <v>Indicator</v>
          </cell>
          <cell r="E133" t="str">
            <v>Unknown</v>
          </cell>
          <cell r="I133" t="str">
            <v>N/A</v>
          </cell>
          <cell r="J133" t="str">
            <v>N/A</v>
          </cell>
        </row>
        <row r="134">
          <cell r="A134">
            <v>220</v>
          </cell>
          <cell r="B134" t="str">
            <v>Public</v>
          </cell>
          <cell r="C134" t="str">
            <v>Percent of Public Sector buildings with current benchmark</v>
          </cell>
          <cell r="D134" t="str">
            <v>Metric</v>
          </cell>
          <cell r="E134" t="str">
            <v>MDA Team</v>
          </cell>
          <cell r="G134">
            <v>479</v>
          </cell>
          <cell r="H134">
            <v>75222</v>
          </cell>
          <cell r="I134" t="str">
            <v>Total # of benchmarked customers</v>
          </cell>
          <cell r="J134" t="str">
            <v>Total # of sector customers</v>
          </cell>
        </row>
        <row r="135">
          <cell r="A135">
            <v>221</v>
          </cell>
          <cell r="B135" t="str">
            <v>Public</v>
          </cell>
          <cell r="C135" t="str">
            <v xml:space="preserve"> Average energy use intensity of all Public Sector buildings</v>
          </cell>
          <cell r="D135" t="str">
            <v>Metric</v>
          </cell>
          <cell r="E135" t="str">
            <v>MDA Team</v>
          </cell>
          <cell r="G135">
            <v>3613159459.6049199</v>
          </cell>
          <cell r="H135">
            <v>75222</v>
          </cell>
          <cell r="I135" t="str">
            <v>Total sector energy usage (Btu)</v>
          </cell>
          <cell r="J135" t="str">
            <v>Total # of sector customers</v>
          </cell>
        </row>
        <row r="136">
          <cell r="A136">
            <v>222</v>
          </cell>
          <cell r="B136" t="str">
            <v>Public</v>
          </cell>
          <cell r="C136" t="str">
            <v>Percent of floorplan area of all Public Sector buildings with current benchmark</v>
          </cell>
          <cell r="D136" t="str">
            <v>Indicator</v>
          </cell>
          <cell r="E136" t="str">
            <v>MDA Team</v>
          </cell>
          <cell r="H136">
            <v>0</v>
          </cell>
          <cell r="I136" t="str">
            <v>Total sq. ft. of sector buildings benchmarked in current year (in Portfolio Manager)</v>
          </cell>
          <cell r="J136" t="str">
            <v>Sq. ft. of benchmarked customers</v>
          </cell>
        </row>
        <row r="137">
          <cell r="A137">
            <v>236</v>
          </cell>
          <cell r="B137" t="str">
            <v>Industrial</v>
          </cell>
          <cell r="C137" t="str">
            <v>Percent of participation relative to eligible population for large customers</v>
          </cell>
          <cell r="D137" t="str">
            <v>Metric</v>
          </cell>
          <cell r="E137" t="str">
            <v>MDA Team</v>
          </cell>
          <cell r="G137">
            <v>149</v>
          </cell>
          <cell r="H137">
            <v>2451</v>
          </cell>
          <cell r="I137" t="str">
            <v># of participating large customers</v>
          </cell>
          <cell r="J137" t="str">
            <v>Total # of large customers</v>
          </cell>
        </row>
        <row r="138">
          <cell r="A138">
            <v>237</v>
          </cell>
          <cell r="B138" t="str">
            <v>Industrial</v>
          </cell>
          <cell r="C138" t="str">
            <v>Percent of participation relative to eligible population for medium customers</v>
          </cell>
          <cell r="D138" t="str">
            <v>Metric</v>
          </cell>
          <cell r="E138" t="str">
            <v>MDA Team</v>
          </cell>
          <cell r="G138">
            <v>224</v>
          </cell>
          <cell r="H138">
            <v>11472</v>
          </cell>
          <cell r="I138" t="str">
            <v># of participating medium customers</v>
          </cell>
          <cell r="J138" t="str">
            <v>Total # of medium customers</v>
          </cell>
        </row>
        <row r="139">
          <cell r="A139">
            <v>238</v>
          </cell>
          <cell r="B139" t="str">
            <v>Industrial</v>
          </cell>
          <cell r="C139" t="str">
            <v>Percent of participation relative to eligible population for  small customers</v>
          </cell>
          <cell r="D139" t="str">
            <v>Metric</v>
          </cell>
          <cell r="E139" t="str">
            <v>MDA Team</v>
          </cell>
          <cell r="G139">
            <v>185</v>
          </cell>
          <cell r="H139">
            <v>48953</v>
          </cell>
          <cell r="I139" t="str">
            <v># of participating small customers</v>
          </cell>
          <cell r="J139" t="str">
            <v>Total # of small customers</v>
          </cell>
        </row>
        <row r="140">
          <cell r="A140">
            <v>239</v>
          </cell>
          <cell r="B140" t="str">
            <v>Industrial</v>
          </cell>
          <cell r="C140" t="str">
            <v>Percent of large customers participating in reporting year that have not received an incentive for the past three years</v>
          </cell>
          <cell r="D140" t="str">
            <v>Indicator</v>
          </cell>
          <cell r="E140" t="str">
            <v>Unknown</v>
          </cell>
          <cell r="H140">
            <v>2451</v>
          </cell>
          <cell r="I140" t="str">
            <v>Annual number of large customers that have not received an incentive for the past 3 years</v>
          </cell>
          <cell r="J140" t="str">
            <v>Total # of large customers</v>
          </cell>
        </row>
        <row r="141">
          <cell r="A141">
            <v>240</v>
          </cell>
          <cell r="B141" t="str">
            <v>Industrial</v>
          </cell>
          <cell r="C141" t="str">
            <v>Percent of medium customers participating in reporting year that have not received an incentive for the past three years</v>
          </cell>
          <cell r="D141" t="str">
            <v>Indicator</v>
          </cell>
          <cell r="E141" t="str">
            <v>Unknown</v>
          </cell>
          <cell r="H141">
            <v>11472</v>
          </cell>
          <cell r="I141" t="str">
            <v>Annual number of medium customers that have not received an incentive for the past 3 years</v>
          </cell>
          <cell r="J141" t="str">
            <v>Total # of medium customers</v>
          </cell>
        </row>
        <row r="142">
          <cell r="A142">
            <v>241</v>
          </cell>
          <cell r="B142" t="str">
            <v>Industrial</v>
          </cell>
          <cell r="C142" t="str">
            <v>Percent of small customers participating in reporting year that have not received an incentive for the past three years</v>
          </cell>
          <cell r="D142" t="str">
            <v>Indicator</v>
          </cell>
          <cell r="E142" t="str">
            <v>Unknown</v>
          </cell>
          <cell r="H142">
            <v>48953</v>
          </cell>
          <cell r="I142" t="str">
            <v>Annual number of small customers that have not received an incentive for the past 3 years</v>
          </cell>
          <cell r="J142" t="str">
            <v>Total # of small customers</v>
          </cell>
        </row>
        <row r="143">
          <cell r="A143">
            <v>248</v>
          </cell>
          <cell r="B143" t="str">
            <v>Industrial</v>
          </cell>
          <cell r="C143" t="str">
            <v xml:space="preserve">Percent first year annual kW gross </v>
          </cell>
          <cell r="D143" t="str">
            <v>Metric</v>
          </cell>
          <cell r="E143" t="str">
            <v>MDA Team</v>
          </cell>
          <cell r="H143">
            <v>0</v>
          </cell>
          <cell r="I143" t="str">
            <v>First year annual kW gross</v>
          </cell>
          <cell r="J143" t="str">
            <v>Total annual sector demand (kW)</v>
          </cell>
        </row>
        <row r="144">
          <cell r="A144">
            <v>249</v>
          </cell>
          <cell r="B144" t="str">
            <v>Industrial</v>
          </cell>
          <cell r="C144" t="str">
            <v>Percent first year annual kW net</v>
          </cell>
          <cell r="D144" t="str">
            <v>Metric</v>
          </cell>
          <cell r="E144" t="str">
            <v>MDA Team</v>
          </cell>
          <cell r="H144">
            <v>0</v>
          </cell>
          <cell r="I144" t="str">
            <v>First year annual kW net</v>
          </cell>
          <cell r="J144" t="str">
            <v>Total annual sector demand (kW)</v>
          </cell>
        </row>
        <row r="145">
          <cell r="A145">
            <v>250</v>
          </cell>
          <cell r="B145" t="str">
            <v>Industrial</v>
          </cell>
          <cell r="C145" t="str">
            <v>Percent first year annual kWh gross</v>
          </cell>
          <cell r="D145" t="str">
            <v>Metric</v>
          </cell>
          <cell r="E145" t="str">
            <v>MDA Team</v>
          </cell>
          <cell r="H145">
            <v>0</v>
          </cell>
          <cell r="I145" t="str">
            <v>First year annual kWh gross</v>
          </cell>
          <cell r="J145" t="str">
            <v>Total annual sector elec usage (kWh)</v>
          </cell>
        </row>
        <row r="146">
          <cell r="A146">
            <v>251</v>
          </cell>
          <cell r="B146" t="str">
            <v>Industrial</v>
          </cell>
          <cell r="C146" t="str">
            <v>Percent first year annual kWh net</v>
          </cell>
          <cell r="D146" t="str">
            <v>Metric</v>
          </cell>
          <cell r="E146" t="str">
            <v>MDA Team</v>
          </cell>
          <cell r="H146">
            <v>0</v>
          </cell>
          <cell r="I146" t="str">
            <v>First year annual kWh net</v>
          </cell>
          <cell r="J146" t="str">
            <v>Total annual sector elec usage (kWh)</v>
          </cell>
        </row>
        <row r="147">
          <cell r="A147">
            <v>252</v>
          </cell>
          <cell r="B147" t="str">
            <v>Industrial</v>
          </cell>
          <cell r="C147" t="str">
            <v>Percent first year annual Therm gross</v>
          </cell>
          <cell r="D147" t="str">
            <v>Metric</v>
          </cell>
          <cell r="E147" t="str">
            <v>MDA Team</v>
          </cell>
          <cell r="H147">
            <v>0</v>
          </cell>
          <cell r="I147" t="str">
            <v>First year annual Therm gross</v>
          </cell>
          <cell r="J147" t="str">
            <v>Total annual sector gas usage (therms)</v>
          </cell>
        </row>
        <row r="148">
          <cell r="A148">
            <v>253</v>
          </cell>
          <cell r="B148" t="str">
            <v>Industrial</v>
          </cell>
          <cell r="C148" t="str">
            <v>Percent first year annual Therm net</v>
          </cell>
          <cell r="D148" t="str">
            <v>Metric</v>
          </cell>
          <cell r="E148" t="str">
            <v>MDA Team</v>
          </cell>
          <cell r="H148">
            <v>0</v>
          </cell>
          <cell r="I148" t="str">
            <v>First year annual Therm net</v>
          </cell>
          <cell r="J148" t="str">
            <v>Total annual sector gas usage (therms)</v>
          </cell>
        </row>
        <row r="149">
          <cell r="A149">
            <v>254</v>
          </cell>
          <cell r="B149" t="str">
            <v>Industrial</v>
          </cell>
          <cell r="C149" t="str">
            <v>Percent lifecycle ex-ante kW gross</v>
          </cell>
          <cell r="D149" t="str">
            <v>Metric</v>
          </cell>
          <cell r="E149" t="str">
            <v>MDA Team</v>
          </cell>
          <cell r="H149">
            <v>0</v>
          </cell>
          <cell r="I149" t="str">
            <v>Lifecycle ex-ante kW gross</v>
          </cell>
          <cell r="J149" t="str">
            <v>Total annual sector demand (kW)</v>
          </cell>
        </row>
        <row r="150">
          <cell r="A150">
            <v>255</v>
          </cell>
          <cell r="B150" t="str">
            <v>Industrial</v>
          </cell>
          <cell r="C150" t="str">
            <v>Percent lifecycle ex-ante kW net</v>
          </cell>
          <cell r="D150" t="str">
            <v>Metric</v>
          </cell>
          <cell r="E150" t="str">
            <v>MDA Team</v>
          </cell>
          <cell r="H150">
            <v>0</v>
          </cell>
          <cell r="I150" t="str">
            <v>Lifecycle ex-ante kW net</v>
          </cell>
          <cell r="J150" t="str">
            <v>Total annual sector demand (kW)</v>
          </cell>
        </row>
        <row r="151">
          <cell r="A151">
            <v>256</v>
          </cell>
          <cell r="B151" t="str">
            <v>Industrial</v>
          </cell>
          <cell r="C151" t="str">
            <v>Percent lifecycle ex-ante kWh gross</v>
          </cell>
          <cell r="D151" t="str">
            <v>Metric</v>
          </cell>
          <cell r="E151" t="str">
            <v>MDA Team</v>
          </cell>
          <cell r="H151">
            <v>0</v>
          </cell>
          <cell r="I151" t="str">
            <v>Lifecycle ex-ante kWh gross</v>
          </cell>
          <cell r="J151" t="str">
            <v>Total annual sector elec usage (kWh)</v>
          </cell>
        </row>
        <row r="152">
          <cell r="A152">
            <v>257</v>
          </cell>
          <cell r="B152" t="str">
            <v>Industrial</v>
          </cell>
          <cell r="C152" t="str">
            <v>Percent lifecycle ex-ante kWh net</v>
          </cell>
          <cell r="D152" t="str">
            <v>Metric</v>
          </cell>
          <cell r="E152" t="str">
            <v>MDA Team</v>
          </cell>
          <cell r="H152">
            <v>0</v>
          </cell>
          <cell r="I152" t="str">
            <v>Lifecycle ex-ante kWh net</v>
          </cell>
          <cell r="J152" t="str">
            <v>Total annual sector elec usage (kWh)</v>
          </cell>
        </row>
        <row r="153">
          <cell r="A153">
            <v>258</v>
          </cell>
          <cell r="B153" t="str">
            <v>Industrial</v>
          </cell>
          <cell r="C153" t="str">
            <v>Percent lifecycle ex-ante Therm gross</v>
          </cell>
          <cell r="D153" t="str">
            <v>Metric</v>
          </cell>
          <cell r="E153" t="str">
            <v>MDA Team</v>
          </cell>
          <cell r="H153">
            <v>0</v>
          </cell>
          <cell r="I153" t="str">
            <v>Lifecycle ex-ante Therm gross</v>
          </cell>
          <cell r="J153" t="str">
            <v>Total annual sector gas usage (therms)</v>
          </cell>
        </row>
        <row r="154">
          <cell r="A154">
            <v>259</v>
          </cell>
          <cell r="B154" t="str">
            <v>Industrial</v>
          </cell>
          <cell r="C154" t="str">
            <v>Percent lifecycle ex-ante Therm net</v>
          </cell>
          <cell r="D154" t="str">
            <v>Metric</v>
          </cell>
          <cell r="E154" t="str">
            <v>MDA Team</v>
          </cell>
          <cell r="H154">
            <v>0</v>
          </cell>
          <cell r="I154" t="str">
            <v>Lifecycle ex-ante Therm net</v>
          </cell>
          <cell r="J154" t="str">
            <v>Total annual sector gas usage (therms)</v>
          </cell>
        </row>
        <row r="155">
          <cell r="A155">
            <v>273</v>
          </cell>
          <cell r="B155" t="str">
            <v>Agricultural</v>
          </cell>
          <cell r="C155" t="str">
            <v>Percent of participation relative to eligible population for large customers</v>
          </cell>
          <cell r="D155" t="str">
            <v>Metric</v>
          </cell>
          <cell r="E155" t="str">
            <v>MDA Team</v>
          </cell>
          <cell r="G155">
            <v>308</v>
          </cell>
          <cell r="H155">
            <v>3742</v>
          </cell>
          <cell r="I155" t="str">
            <v># of participating large customers</v>
          </cell>
          <cell r="J155" t="str">
            <v>Total # of large customers</v>
          </cell>
        </row>
        <row r="156">
          <cell r="A156">
            <v>274</v>
          </cell>
          <cell r="B156" t="str">
            <v>Agricultural</v>
          </cell>
          <cell r="C156" t="str">
            <v>Percent of participation relative to eligible population for medium customers</v>
          </cell>
          <cell r="D156" t="str">
            <v>Metric</v>
          </cell>
          <cell r="E156" t="str">
            <v>MDA Team</v>
          </cell>
          <cell r="G156">
            <v>770</v>
          </cell>
          <cell r="H156">
            <v>31659</v>
          </cell>
          <cell r="I156" t="str">
            <v># of participating medium customers</v>
          </cell>
          <cell r="J156" t="str">
            <v>Total # of medium customers</v>
          </cell>
        </row>
        <row r="157">
          <cell r="A157">
            <v>275</v>
          </cell>
          <cell r="B157" t="str">
            <v>Agricultural</v>
          </cell>
          <cell r="C157" t="str">
            <v>Percent of participation relative to eligible population for small customers</v>
          </cell>
          <cell r="D157" t="str">
            <v>Metric</v>
          </cell>
          <cell r="E157" t="str">
            <v>MDA Team</v>
          </cell>
          <cell r="G157">
            <v>510</v>
          </cell>
          <cell r="H157">
            <v>82386</v>
          </cell>
          <cell r="I157" t="str">
            <v># of participating small customers</v>
          </cell>
          <cell r="J157" t="str">
            <v>Total # of small customers</v>
          </cell>
        </row>
      </sheetData>
      <sheetData sheetId="9">
        <row r="3">
          <cell r="B3" t="str">
            <v>Upd Primary Sector (1)</v>
          </cell>
          <cell r="C3" t="str">
            <v>RebatesandIncents</v>
          </cell>
          <cell r="D3" t="str">
            <v>FirstYearGrossKWh</v>
          </cell>
          <cell r="E3" t="str">
            <v>FirstYearGrossKW</v>
          </cell>
          <cell r="F3" t="str">
            <v>FirstYearGrossThm</v>
          </cell>
          <cell r="G3" t="str">
            <v>FirstYearNetKWh</v>
          </cell>
          <cell r="H3" t="str">
            <v>FirstYearNetKW</v>
          </cell>
          <cell r="I3" t="str">
            <v>FirstYearNetThm</v>
          </cell>
          <cell r="J3" t="str">
            <v>LifecycleGrossKWh</v>
          </cell>
          <cell r="K3" t="str">
            <v>LifecycleGrossKW</v>
          </cell>
          <cell r="L3" t="str">
            <v>LifecycleGrossThm</v>
          </cell>
          <cell r="M3" t="str">
            <v>LifecycleNetKWh</v>
          </cell>
          <cell r="N3" t="str">
            <v>LifecycleNetKW</v>
          </cell>
          <cell r="O3" t="str">
            <v>LifecycleNetThm</v>
          </cell>
          <cell r="P3" t="str">
            <v>ElecBen</v>
          </cell>
          <cell r="Q3" t="str">
            <v>GasBen</v>
          </cell>
          <cell r="R3" t="str">
            <v>TRCCost</v>
          </cell>
          <cell r="S3" t="str">
            <v>PACCost</v>
          </cell>
          <cell r="T3" t="str">
            <v>TRC</v>
          </cell>
          <cell r="U3" t="str">
            <v>PAC</v>
          </cell>
          <cell r="V3" t="str">
            <v>Electric Split</v>
          </cell>
          <cell r="W3" t="str">
            <v>Gas Split</v>
          </cell>
          <cell r="X3" t="str">
            <v>TRC Cost per kWh Saved ($/kWh)</v>
          </cell>
          <cell r="Y3" t="str">
            <v>TRC Cost per therm Saved ($/therm)</v>
          </cell>
          <cell r="Z3" t="str">
            <v>TRC Cost per kW Saved ($/kW) (5)</v>
          </cell>
          <cell r="AA3" t="str">
            <v>PAC Cost per kWh Saved ($/kWh)</v>
          </cell>
          <cell r="AB3" t="str">
            <v>PAC Cost per therm Saved ($/therm)</v>
          </cell>
          <cell r="AC3" t="str">
            <v>PAC Cost per kW Saved ($/kW) (5)</v>
          </cell>
          <cell r="AD3" t="str">
            <v>NetElecCO2</v>
          </cell>
          <cell r="AE3" t="str">
            <v>NetGasCO2</v>
          </cell>
          <cell r="AF3" t="str">
            <v>NetElecCO2Lifecycle</v>
          </cell>
          <cell r="AG3" t="str">
            <v>NetGasCO2Lifecycle</v>
          </cell>
          <cell r="AH3" t="str">
            <v>GrossElecCO2</v>
          </cell>
          <cell r="AI3" t="str">
            <v>GrossGasCO2</v>
          </cell>
          <cell r="AJ3" t="str">
            <v>GrossElecCO2Lifecycle</v>
          </cell>
          <cell r="AK3" t="str">
            <v>GrossGasCO2Lifecycle</v>
          </cell>
          <cell r="AL3" t="str">
            <v>Annual Net GHG Emissions (Electric)</v>
          </cell>
          <cell r="AM3" t="str">
            <v>Annual Net GHG Emissions (Gas)</v>
          </cell>
          <cell r="AN3" t="str">
            <v>Lifecycle Net GHG Emissions (Electric)</v>
          </cell>
          <cell r="AO3" t="str">
            <v>Lifecycle Net GHG Emissions (Gas)</v>
          </cell>
          <cell r="AP3" t="str">
            <v>Annual Gross GHG Emissions (Electric)</v>
          </cell>
          <cell r="AQ3" t="str">
            <v>Annual Gross GHG Emissions (Gas)</v>
          </cell>
          <cell r="AR3" t="str">
            <v>Lifecycle Gross GHG Emissions (Electric)</v>
          </cell>
          <cell r="AS3" t="str">
            <v>Lifecycle Gross GHG Emissions (Gas)</v>
          </cell>
        </row>
        <row r="4">
          <cell r="B4" t="str">
            <v>Agricultural</v>
          </cell>
          <cell r="C4">
            <v>8746404.0578320269</v>
          </cell>
          <cell r="D4">
            <v>59866741.929275781</v>
          </cell>
          <cell r="E4">
            <v>18457.000834246039</v>
          </cell>
          <cell r="F4">
            <v>1170629.8475666766</v>
          </cell>
          <cell r="G4">
            <v>38994338.136156619</v>
          </cell>
          <cell r="H4">
            <v>12128.356941460042</v>
          </cell>
          <cell r="I4">
            <v>705031.9893371528</v>
          </cell>
          <cell r="J4">
            <v>570126032.79346037</v>
          </cell>
          <cell r="K4">
            <v>137016.00452513725</v>
          </cell>
          <cell r="L4">
            <v>16053723.905368671</v>
          </cell>
          <cell r="M4">
            <v>369145011.05935597</v>
          </cell>
          <cell r="N4">
            <v>89340.558428538672</v>
          </cell>
          <cell r="O4">
            <v>9695419.0703906752</v>
          </cell>
          <cell r="P4">
            <v>39380637.617168106</v>
          </cell>
          <cell r="Q4">
            <v>7538521.0462001357</v>
          </cell>
          <cell r="R4">
            <v>42183577.525131077</v>
          </cell>
          <cell r="S4">
            <v>18951506.994710509</v>
          </cell>
          <cell r="T4">
            <v>1.112261249900294</v>
          </cell>
          <cell r="U4">
            <v>2.4757481648537865</v>
          </cell>
          <cell r="V4">
            <v>0.83932957749121417</v>
          </cell>
          <cell r="W4">
            <v>0.16067042250878585</v>
          </cell>
          <cell r="X4">
            <v>9.5913321975095361E-2</v>
          </cell>
          <cell r="Y4">
            <v>0.69905727382053517</v>
          </cell>
          <cell r="Z4">
            <v>396.30292136081147</v>
          </cell>
          <cell r="AA4">
            <v>4.3090275859462977E-2</v>
          </cell>
          <cell r="AB4">
            <v>0.31406034271560912</v>
          </cell>
          <cell r="AC4">
            <v>178.04411163844952</v>
          </cell>
          <cell r="AD4">
            <v>19279.919115980829</v>
          </cell>
          <cell r="AE4">
            <v>4127.4263834922931</v>
          </cell>
          <cell r="AF4">
            <v>181941.37273194492</v>
          </cell>
          <cell r="AG4">
            <v>56718.201561785485</v>
          </cell>
          <cell r="AH4">
            <v>29597.196500767368</v>
          </cell>
          <cell r="AI4">
            <v>6853.4288992649745</v>
          </cell>
          <cell r="AJ4">
            <v>281009.06948979764</v>
          </cell>
          <cell r="AK4">
            <v>93914.28484640675</v>
          </cell>
          <cell r="AL4">
            <v>17490.448410451907</v>
          </cell>
          <cell r="AM4">
            <v>3744.3382305775549</v>
          </cell>
          <cell r="AN4">
            <v>165054.43691707074</v>
          </cell>
          <cell r="AO4">
            <v>51453.886937095391</v>
          </cell>
          <cell r="AP4">
            <v>26850.125012277258</v>
          </cell>
          <cell r="AQ4">
            <v>6217.3261140881132</v>
          </cell>
          <cell r="AR4">
            <v>254927.13964274118</v>
          </cell>
          <cell r="AS4">
            <v>85197.606080672515</v>
          </cell>
        </row>
        <row r="5">
          <cell r="B5" t="str">
            <v>Commercial</v>
          </cell>
          <cell r="C5">
            <v>40415950.461115651</v>
          </cell>
          <cell r="D5">
            <v>166943583.21145001</v>
          </cell>
          <cell r="E5">
            <v>29943.176047166195</v>
          </cell>
          <cell r="F5">
            <v>6356167.0982718794</v>
          </cell>
          <cell r="G5">
            <v>110281086.29345894</v>
          </cell>
          <cell r="H5">
            <v>20288.632525697933</v>
          </cell>
          <cell r="I5">
            <v>4008275.6615182697</v>
          </cell>
          <cell r="J5">
            <v>1698780435.6154151</v>
          </cell>
          <cell r="K5">
            <v>307924.35264707089</v>
          </cell>
          <cell r="L5">
            <v>73699682.523231581</v>
          </cell>
          <cell r="M5">
            <v>1120115279.0725217</v>
          </cell>
          <cell r="N5">
            <v>211134.62336547961</v>
          </cell>
          <cell r="O5">
            <v>45426120.309369832</v>
          </cell>
          <cell r="P5">
            <v>121803335.3322202</v>
          </cell>
          <cell r="Q5">
            <v>36281723.068386674</v>
          </cell>
          <cell r="R5">
            <v>155596320.90080741</v>
          </cell>
          <cell r="S5">
            <v>81258341.399579898</v>
          </cell>
          <cell r="T5">
            <v>1.0159948351310055</v>
          </cell>
          <cell r="U5">
            <v>1.9454625294803785</v>
          </cell>
          <cell r="V5">
            <v>0.77049239545179316</v>
          </cell>
          <cell r="W5">
            <v>0.2295076045482069</v>
          </cell>
          <cell r="X5">
            <v>0.10702986045652095</v>
          </cell>
          <cell r="Y5">
            <v>0.78612346031876645</v>
          </cell>
          <cell r="Z5">
            <v>567.8167801347463</v>
          </cell>
          <cell r="AA5">
            <v>5.5895080877071339E-2</v>
          </cell>
          <cell r="AB5">
            <v>0.41054369506284355</v>
          </cell>
          <cell r="AC5">
            <v>296.53560897505764</v>
          </cell>
          <cell r="AD5">
            <v>57333.077452378573</v>
          </cell>
          <cell r="AE5">
            <v>23466.220747763775</v>
          </cell>
          <cell r="AF5">
            <v>587046.71431273874</v>
          </cell>
          <cell r="AG5">
            <v>265742.80380981881</v>
          </cell>
          <cell r="AH5">
            <v>86596.60341419508</v>
          </cell>
          <cell r="AI5">
            <v>37213.24968551354</v>
          </cell>
          <cell r="AJ5">
            <v>887723.1663947528</v>
          </cell>
          <cell r="AK5">
            <v>431143.14276089997</v>
          </cell>
          <cell r="AL5">
            <v>52011.692962035348</v>
          </cell>
          <cell r="AM5">
            <v>21288.197367842451</v>
          </cell>
          <cell r="AN5">
            <v>532559.82089165028</v>
          </cell>
          <cell r="AO5">
            <v>241077.81638107882</v>
          </cell>
          <cell r="AP5">
            <v>78559.11715318881</v>
          </cell>
          <cell r="AQ5">
            <v>33759.292240507311</v>
          </cell>
          <cell r="AR5">
            <v>805328.90989779169</v>
          </cell>
          <cell r="AS5">
            <v>391126.47986832564</v>
          </cell>
        </row>
        <row r="6">
          <cell r="B6" t="str">
            <v>Industrial</v>
          </cell>
          <cell r="C6">
            <v>11518330.296438508</v>
          </cell>
          <cell r="D6">
            <v>44751046.718610011</v>
          </cell>
          <cell r="E6">
            <v>7997.8585077831585</v>
          </cell>
          <cell r="F6">
            <v>5810077.4540417446</v>
          </cell>
          <cell r="G6">
            <v>29086750.899777491</v>
          </cell>
          <cell r="H6">
            <v>5199.4703820569612</v>
          </cell>
          <cell r="I6">
            <v>3673616.4966939106</v>
          </cell>
          <cell r="J6">
            <v>575639447.7011565</v>
          </cell>
          <cell r="K6">
            <v>90576.234139123088</v>
          </cell>
          <cell r="L6">
            <v>63496533.33993645</v>
          </cell>
          <cell r="M6">
            <v>373991177.57483768</v>
          </cell>
          <cell r="N6">
            <v>58880.470133396346</v>
          </cell>
          <cell r="O6">
            <v>40115565.094457731</v>
          </cell>
          <cell r="P6">
            <v>36038067.494733892</v>
          </cell>
          <cell r="Q6">
            <v>33360459.319868885</v>
          </cell>
          <cell r="R6">
            <v>41093222.735873677</v>
          </cell>
          <cell r="S6">
            <v>25732789.571533438</v>
          </cell>
          <cell r="T6">
            <v>1.6888071120793127</v>
          </cell>
          <cell r="U6">
            <v>2.6968909306037303</v>
          </cell>
          <cell r="V6">
            <v>0.51929153468933287</v>
          </cell>
          <cell r="W6">
            <v>0.48070846531066719</v>
          </cell>
          <cell r="X6">
            <v>5.7058465491668729E-2</v>
          </cell>
          <cell r="Y6">
            <v>0.49242382575237348</v>
          </cell>
          <cell r="Z6">
            <v>362.41834773902355</v>
          </cell>
          <cell r="AA6">
            <v>3.5730307530490571E-2</v>
          </cell>
          <cell r="AB6">
            <v>0.30835835800810357</v>
          </cell>
          <cell r="AC6">
            <v>226.94825225011266</v>
          </cell>
          <cell r="AD6">
            <v>14760.549989671736</v>
          </cell>
          <cell r="AE6">
            <v>20767.272483386674</v>
          </cell>
          <cell r="AF6">
            <v>189800.94841609203</v>
          </cell>
          <cell r="AG6">
            <v>234676.05580257796</v>
          </cell>
          <cell r="AH6">
            <v>22714.166497282091</v>
          </cell>
          <cell r="AI6">
            <v>32673.709429284758</v>
          </cell>
          <cell r="AJ6">
            <v>291459.28132736089</v>
          </cell>
          <cell r="AK6">
            <v>371454.72003862867</v>
          </cell>
          <cell r="AL6">
            <v>13390.545704637208</v>
          </cell>
          <cell r="AM6">
            <v>18839.752688350087</v>
          </cell>
          <cell r="AN6">
            <v>172184.52404060395</v>
          </cell>
          <cell r="AO6">
            <v>212894.53666748485</v>
          </cell>
          <cell r="AP6">
            <v>20605.945228153338</v>
          </cell>
          <cell r="AQ6">
            <v>29641.090593440917</v>
          </cell>
          <cell r="AR6">
            <v>264407.41235154582</v>
          </cell>
          <cell r="AS6">
            <v>336978.05362001242</v>
          </cell>
        </row>
        <row r="7">
          <cell r="B7" t="str">
            <v>Public</v>
          </cell>
          <cell r="C7">
            <v>19566079.062241267</v>
          </cell>
          <cell r="D7">
            <v>98781680.455781221</v>
          </cell>
          <cell r="E7">
            <v>13656.227660698527</v>
          </cell>
          <cell r="F7">
            <v>135019.72138098429</v>
          </cell>
          <cell r="G7">
            <v>73258567.824994281</v>
          </cell>
          <cell r="H7">
            <v>10231.029018372177</v>
          </cell>
          <cell r="I7">
            <v>90495.149639543219</v>
          </cell>
          <cell r="J7">
            <v>1015686578.0065469</v>
          </cell>
          <cell r="K7">
            <v>145446.43768074299</v>
          </cell>
          <cell r="L7">
            <v>1317860.6859987455</v>
          </cell>
          <cell r="M7">
            <v>751674550.96098769</v>
          </cell>
          <cell r="N7">
            <v>108992.24477323142</v>
          </cell>
          <cell r="O7">
            <v>831476.518492262</v>
          </cell>
          <cell r="P7">
            <v>69541640.002951577</v>
          </cell>
          <cell r="Q7">
            <v>285868.50665086525</v>
          </cell>
          <cell r="R7">
            <v>102661182.44810666</v>
          </cell>
          <cell r="S7">
            <v>55658307.43676655</v>
          </cell>
          <cell r="T7">
            <v>0.68017440325995626</v>
          </cell>
          <cell r="U7">
            <v>1.2545747746449807</v>
          </cell>
          <cell r="V7">
            <v>0.99590607609017645</v>
          </cell>
          <cell r="W7">
            <v>4.0939239098234988E-3</v>
          </cell>
          <cell r="X7">
            <v>0.13601750285141417</v>
          </cell>
          <cell r="Y7">
            <v>0.50547076205732644</v>
          </cell>
          <cell r="Z7">
            <v>938.05660752646543</v>
          </cell>
          <cell r="AA7">
            <v>7.3742614393829245E-2</v>
          </cell>
          <cell r="AB7">
            <v>0.27404366873627617</v>
          </cell>
          <cell r="AC7">
            <v>508.57239133388896</v>
          </cell>
          <cell r="AD7">
            <v>35066.031481935366</v>
          </cell>
          <cell r="AE7">
            <v>665.31075641018811</v>
          </cell>
          <cell r="AF7">
            <v>389572.68486525444</v>
          </cell>
          <cell r="AG7">
            <v>4864.1376331802558</v>
          </cell>
          <cell r="AH7">
            <v>47393.083677002513</v>
          </cell>
          <cell r="AI7">
            <v>956.60644716632532</v>
          </cell>
          <cell r="AJ7">
            <v>518303.44891359919</v>
          </cell>
          <cell r="AK7">
            <v>7709.4850130932045</v>
          </cell>
          <cell r="AL7">
            <v>31811.368652770998</v>
          </cell>
          <cell r="AM7">
            <v>603.55976557317319</v>
          </cell>
          <cell r="AN7">
            <v>353414.39483058389</v>
          </cell>
          <cell r="AO7">
            <v>4412.6714340807966</v>
          </cell>
          <cell r="AP7">
            <v>42994.282293319295</v>
          </cell>
          <cell r="AQ7">
            <v>867.81877105489707</v>
          </cell>
          <cell r="AR7">
            <v>470196.97954378161</v>
          </cell>
          <cell r="AS7">
            <v>6993.9271571367781</v>
          </cell>
        </row>
        <row r="8">
          <cell r="B8" t="str">
            <v>Residential</v>
          </cell>
          <cell r="C8">
            <v>43237959.977361441</v>
          </cell>
          <cell r="D8">
            <v>219032084.586593</v>
          </cell>
          <cell r="E8">
            <v>25940.918514026871</v>
          </cell>
          <cell r="F8">
            <v>4461743.9588980814</v>
          </cell>
          <cell r="G8">
            <v>191823888.83913517</v>
          </cell>
          <cell r="H8">
            <v>17601.755726951254</v>
          </cell>
          <cell r="I8">
            <v>4228088.4949358823</v>
          </cell>
          <cell r="J8">
            <v>1284712642.3934116</v>
          </cell>
          <cell r="K8">
            <v>293492.46343470411</v>
          </cell>
          <cell r="L8">
            <v>14066155.601833591</v>
          </cell>
          <cell r="M8">
            <v>937582649.58946908</v>
          </cell>
          <cell r="N8">
            <v>202395.8952038876</v>
          </cell>
          <cell r="O8">
            <v>8191488.770033624</v>
          </cell>
          <cell r="P8">
            <v>107610429.10122919</v>
          </cell>
          <cell r="Q8">
            <v>6234178.4620709848</v>
          </cell>
          <cell r="R8">
            <v>138742080.32172889</v>
          </cell>
          <cell r="S8">
            <v>73149849.204022199</v>
          </cell>
          <cell r="T8">
            <v>0.82054851202537848</v>
          </cell>
          <cell r="U8">
            <v>1.556320468218277</v>
          </cell>
          <cell r="V8">
            <v>0.94523958055189705</v>
          </cell>
          <cell r="W8">
            <v>5.4760419448102893E-2</v>
          </cell>
          <cell r="X8">
            <v>0.13987514153086311</v>
          </cell>
          <cell r="Y8">
            <v>0.92749617643546733</v>
          </cell>
          <cell r="Z8">
            <v>647.96030411633365</v>
          </cell>
          <cell r="AA8">
            <v>7.3747240106586856E-2</v>
          </cell>
          <cell r="AB8">
            <v>0.48900957291567998</v>
          </cell>
          <cell r="AC8">
            <v>341.62813781075312</v>
          </cell>
          <cell r="AD8">
            <v>98926.244436569759</v>
          </cell>
          <cell r="AE8">
            <v>24715.347789824675</v>
          </cell>
          <cell r="AF8">
            <v>491469.88505273795</v>
          </cell>
          <cell r="AG8">
            <v>47920.209304697099</v>
          </cell>
          <cell r="AH8">
            <v>113348.45123905952</v>
          </cell>
          <cell r="AI8">
            <v>26070.221140190326</v>
          </cell>
          <cell r="AJ8">
            <v>674162.11906477273</v>
          </cell>
          <cell r="AK8">
            <v>82287.010270766637</v>
          </cell>
          <cell r="AL8">
            <v>89744.37933836499</v>
          </cell>
          <cell r="AM8">
            <v>22421.386358721425</v>
          </cell>
          <cell r="AN8">
            <v>445853.97988939309</v>
          </cell>
          <cell r="AO8">
            <v>43472.48261882674</v>
          </cell>
          <cell r="AP8">
            <v>102827.98526670775</v>
          </cell>
          <cell r="AQ8">
            <v>23650.506786805803</v>
          </cell>
          <cell r="AR8">
            <v>611589.58670161816</v>
          </cell>
          <cell r="AS8">
            <v>74649.520017861942</v>
          </cell>
        </row>
        <row r="9">
          <cell r="B9" t="str">
            <v>ESA</v>
          </cell>
          <cell r="C9">
            <v>0</v>
          </cell>
          <cell r="D9">
            <v>59263365.139513806</v>
          </cell>
          <cell r="E9">
            <v>69550.249273289999</v>
          </cell>
          <cell r="F9">
            <v>1651228.0338000001</v>
          </cell>
          <cell r="G9">
            <v>62226533.396489501</v>
          </cell>
          <cell r="H9">
            <v>73027.761736954504</v>
          </cell>
          <cell r="I9">
            <v>1733789.4354900001</v>
          </cell>
          <cell r="J9">
            <v>876019711.38700509</v>
          </cell>
          <cell r="K9">
            <v>1092011.3177545299</v>
          </cell>
          <cell r="L9">
            <v>17277210.797000002</v>
          </cell>
          <cell r="M9">
            <v>919820696.95635533</v>
          </cell>
          <cell r="N9">
            <v>1146611.8836422565</v>
          </cell>
          <cell r="O9">
            <v>18141071.336850006</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row>
        <row r="10">
          <cell r="B10" t="str">
            <v>Cross-Cutting</v>
          </cell>
          <cell r="C10">
            <v>1095</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37693373.185760215</v>
          </cell>
          <cell r="S10">
            <v>37693982.179400541</v>
          </cell>
          <cell r="T10">
            <v>0</v>
          </cell>
          <cell r="U10">
            <v>0</v>
          </cell>
          <cell r="V10">
            <v>0</v>
          </cell>
          <cell r="W10">
            <v>0</v>
          </cell>
          <cell r="X10">
            <v>0</v>
          </cell>
          <cell r="Y10">
            <v>0</v>
          </cell>
          <cell r="Z10">
            <v>0</v>
          </cell>
          <cell r="AA10">
            <v>0</v>
          </cell>
          <cell r="AB10">
            <v>0</v>
          </cell>
          <cell r="AC10">
            <v>0</v>
          </cell>
          <cell r="AD10">
            <v>278.40244264386598</v>
          </cell>
          <cell r="AE10">
            <v>0</v>
          </cell>
          <cell r="AF10">
            <v>4176.0366396580002</v>
          </cell>
          <cell r="AG10">
            <v>0</v>
          </cell>
          <cell r="AH10">
            <v>428.31145022133302</v>
          </cell>
          <cell r="AI10">
            <v>0</v>
          </cell>
          <cell r="AJ10">
            <v>6424.6717533199999</v>
          </cell>
          <cell r="AK10">
            <v>0</v>
          </cell>
          <cell r="AL10">
            <v>252.56244754523769</v>
          </cell>
          <cell r="AM10">
            <v>0</v>
          </cell>
          <cell r="AN10">
            <v>3788.4367131785748</v>
          </cell>
          <cell r="AO10">
            <v>0</v>
          </cell>
          <cell r="AP10">
            <v>388.55761160805866</v>
          </cell>
          <cell r="AQ10">
            <v>0</v>
          </cell>
          <cell r="AR10">
            <v>5828.3641741208839</v>
          </cell>
          <cell r="AS10">
            <v>0</v>
          </cell>
        </row>
        <row r="11">
          <cell r="B11" t="str">
            <v>ET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row>
        <row r="12">
          <cell r="B12" t="str">
            <v>C&amp;S (6)</v>
          </cell>
          <cell r="C12">
            <v>0</v>
          </cell>
          <cell r="D12">
            <v>833920263.51775491</v>
          </cell>
          <cell r="E12">
            <v>152700.71721308908</v>
          </cell>
          <cell r="F12">
            <v>13344166.901454885</v>
          </cell>
          <cell r="G12">
            <v>833920263.51775491</v>
          </cell>
          <cell r="H12">
            <v>152700.71721308908</v>
          </cell>
          <cell r="I12">
            <v>13344166.901454885</v>
          </cell>
          <cell r="J12">
            <v>10066555741.852135</v>
          </cell>
          <cell r="K12">
            <v>2062278.5588182979</v>
          </cell>
          <cell r="L12">
            <v>216672263.1634042</v>
          </cell>
          <cell r="M12">
            <v>10066555741.852135</v>
          </cell>
          <cell r="N12">
            <v>2062278.5588182979</v>
          </cell>
          <cell r="O12">
            <v>216672263.1634042</v>
          </cell>
          <cell r="P12">
            <v>1029644870.0010686</v>
          </cell>
          <cell r="Q12">
            <v>158926718.07251763</v>
          </cell>
          <cell r="R12">
            <v>375153276.4334172</v>
          </cell>
          <cell r="S12">
            <v>16216002.73</v>
          </cell>
          <cell r="T12">
            <v>3.1682292618455534</v>
          </cell>
          <cell r="U12">
            <v>73.296212874625368</v>
          </cell>
          <cell r="V12">
            <v>0.86628763495003025</v>
          </cell>
          <cell r="W12">
            <v>0.13371236504996975</v>
          </cell>
          <cell r="X12">
            <v>3.22841946063138E-2</v>
          </cell>
          <cell r="Y12">
            <v>0.23151385929968785</v>
          </cell>
          <cell r="Z12">
            <v>157.58814113428119</v>
          </cell>
          <cell r="AA12">
            <v>1.3954845146201226E-3</v>
          </cell>
          <cell r="AB12">
            <v>1.0007188022261297E-2</v>
          </cell>
          <cell r="AC12">
            <v>6.8117483902680886</v>
          </cell>
          <cell r="AD12">
            <v>402182.02221625694</v>
          </cell>
          <cell r="AE12">
            <v>78063.376373510953</v>
          </cell>
          <cell r="AF12">
            <v>4922071.2418269347</v>
          </cell>
          <cell r="AG12">
            <v>1267532.7395059152</v>
          </cell>
          <cell r="AH12">
            <v>402182.02221625694</v>
          </cell>
          <cell r="AI12">
            <v>78063.376373510953</v>
          </cell>
          <cell r="AJ12">
            <v>4922071.2418269347</v>
          </cell>
          <cell r="AK12">
            <v>1267532.7395059152</v>
          </cell>
          <cell r="AL12">
            <v>364853.39325692528</v>
          </cell>
          <cell r="AM12">
            <v>70817.90379892489</v>
          </cell>
          <cell r="AN12">
            <v>4465227.9197781961</v>
          </cell>
          <cell r="AO12">
            <v>1149886.3587301488</v>
          </cell>
          <cell r="AP12">
            <v>364853.39325692528</v>
          </cell>
          <cell r="AQ12">
            <v>70817.90379892489</v>
          </cell>
          <cell r="AR12">
            <v>4465227.9197781961</v>
          </cell>
          <cell r="AS12">
            <v>1149886.3587301488</v>
          </cell>
        </row>
        <row r="13">
          <cell r="B13" t="str">
            <v>BayREN</v>
          </cell>
          <cell r="C13">
            <v>0</v>
          </cell>
          <cell r="D13">
            <v>2720630</v>
          </cell>
          <cell r="E13">
            <v>1589</v>
          </cell>
          <cell r="F13">
            <v>277123</v>
          </cell>
          <cell r="G13">
            <v>2370542</v>
          </cell>
          <cell r="H13">
            <v>1311</v>
          </cell>
          <cell r="I13">
            <v>228707</v>
          </cell>
          <cell r="J13">
            <v>32856627</v>
          </cell>
          <cell r="K13">
            <v>0</v>
          </cell>
          <cell r="L13">
            <v>4105390</v>
          </cell>
          <cell r="M13">
            <v>28824445</v>
          </cell>
          <cell r="N13">
            <v>0</v>
          </cell>
          <cell r="O13">
            <v>3379571</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B14" t="str">
            <v>MCE</v>
          </cell>
          <cell r="C14">
            <v>0</v>
          </cell>
          <cell r="D14">
            <v>1654237</v>
          </cell>
          <cell r="E14">
            <v>296</v>
          </cell>
          <cell r="F14">
            <v>34449</v>
          </cell>
          <cell r="G14">
            <v>1262243</v>
          </cell>
          <cell r="H14">
            <v>223</v>
          </cell>
          <cell r="I14">
            <v>34821</v>
          </cell>
          <cell r="J14">
            <v>16102562</v>
          </cell>
          <cell r="K14">
            <v>0</v>
          </cell>
          <cell r="L14">
            <v>129626</v>
          </cell>
          <cell r="M14">
            <v>12229219</v>
          </cell>
          <cell r="N14">
            <v>0</v>
          </cell>
          <cell r="O14">
            <v>126577</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B15" t="str">
            <v>EE PORTFOLIO (with C&amp;S) (2) (3)</v>
          </cell>
          <cell r="C15">
            <v>123485818.85498889</v>
          </cell>
          <cell r="D15">
            <v>1486933632.5589788</v>
          </cell>
          <cell r="E15">
            <v>320131.14805029985</v>
          </cell>
          <cell r="F15">
            <v>33240605.015414249</v>
          </cell>
          <cell r="G15">
            <v>1343224213.9077668</v>
          </cell>
          <cell r="H15">
            <v>292711.72354458197</v>
          </cell>
          <cell r="I15">
            <v>28046992.129069645</v>
          </cell>
          <cell r="J15">
            <v>16136479778.74913</v>
          </cell>
          <cell r="K15">
            <v>4128745.368999606</v>
          </cell>
          <cell r="L15">
            <v>406818446.01677322</v>
          </cell>
          <cell r="M15">
            <v>14579938771.065662</v>
          </cell>
          <cell r="N15">
            <v>3879634.2343650879</v>
          </cell>
          <cell r="O15">
            <v>342579552.26299834</v>
          </cell>
          <cell r="P15">
            <v>1404018979.5493715</v>
          </cell>
          <cell r="Q15">
            <v>242627468.47569519</v>
          </cell>
          <cell r="R15">
            <v>893123033.55082512</v>
          </cell>
          <cell r="S15">
            <v>308660779.51601315</v>
          </cell>
          <cell r="T15">
            <v>1.8436949738922623</v>
          </cell>
          <cell r="U15">
            <v>5.3348094649635893</v>
          </cell>
          <cell r="V15">
            <v>0.85265357431967592</v>
          </cell>
          <cell r="W15">
            <v>0.14734642568032413</v>
          </cell>
          <cell r="X15">
            <v>5.2230983875982517E-2</v>
          </cell>
          <cell r="Y15">
            <v>0.38413993426395199</v>
          </cell>
          <cell r="Z15">
            <v>196.28771705304027</v>
          </cell>
          <cell r="AA15">
            <v>1.8050879433658271E-2</v>
          </cell>
          <cell r="AB15">
            <v>0.13275766842754264</v>
          </cell>
          <cell r="AC15">
            <v>67.836476587256485</v>
          </cell>
          <cell r="AD15">
            <v>627826.24713543709</v>
          </cell>
          <cell r="AE15">
            <v>151804.95453438855</v>
          </cell>
          <cell r="AF15">
            <v>6766078.8838453609</v>
          </cell>
          <cell r="AG15">
            <v>1877454.1476179748</v>
          </cell>
          <cell r="AH15">
            <v>702259.83499478479</v>
          </cell>
          <cell r="AI15">
            <v>181830.59197493087</v>
          </cell>
          <cell r="AJ15">
            <v>7581152.9987705378</v>
          </cell>
          <cell r="AK15">
            <v>2254041.3824357106</v>
          </cell>
          <cell r="AL15">
            <v>569554.39077273093</v>
          </cell>
          <cell r="AM15">
            <v>137715.13820998959</v>
          </cell>
          <cell r="AN15">
            <v>6138083.5130606769</v>
          </cell>
          <cell r="AO15">
            <v>1703197.7527687154</v>
          </cell>
          <cell r="AP15">
            <v>272226.01256525452</v>
          </cell>
          <cell r="AQ15">
            <v>94136.034505897027</v>
          </cell>
          <cell r="AR15">
            <v>2412278.3923115996</v>
          </cell>
          <cell r="AS15">
            <v>894945.58674400928</v>
          </cell>
        </row>
        <row r="16">
          <cell r="B16" t="str">
            <v>EE PORTFOLIO (without C&amp;S) (2) (3)</v>
          </cell>
          <cell r="C16">
            <v>123485818.85498889</v>
          </cell>
          <cell r="D16">
            <v>653013369.04122388</v>
          </cell>
          <cell r="E16">
            <v>167430.43083721076</v>
          </cell>
          <cell r="F16">
            <v>19896438.113959365</v>
          </cell>
          <cell r="G16">
            <v>509303950.39001191</v>
          </cell>
          <cell r="H16">
            <v>140011.00633149288</v>
          </cell>
          <cell r="I16">
            <v>14702825.22761476</v>
          </cell>
          <cell r="J16">
            <v>6069924036.8969955</v>
          </cell>
          <cell r="K16">
            <v>2066466.8101813081</v>
          </cell>
          <cell r="L16">
            <v>190146182.85336903</v>
          </cell>
          <cell r="M16">
            <v>4513383029.2135277</v>
          </cell>
          <cell r="N16">
            <v>1817355.67554679</v>
          </cell>
          <cell r="O16">
            <v>125907289.09959415</v>
          </cell>
          <cell r="P16">
            <v>374374109.54830289</v>
          </cell>
          <cell r="Q16">
            <v>83700750.403177559</v>
          </cell>
          <cell r="R16">
            <v>517969757.11740792</v>
          </cell>
          <cell r="S16">
            <v>292444776.78601313</v>
          </cell>
          <cell r="T16">
            <v>0.8843660342270695</v>
          </cell>
          <cell r="U16">
            <v>1.5663636225127786</v>
          </cell>
          <cell r="V16">
            <v>0.8172771358549491</v>
          </cell>
          <cell r="W16">
            <v>0.18272286414505085</v>
          </cell>
          <cell r="X16">
            <v>9.3793244849011762E-2</v>
          </cell>
          <cell r="Y16">
            <v>0.75170324321845949</v>
          </cell>
          <cell r="Z16">
            <v>232.93450217389756</v>
          </cell>
          <cell r="AA16">
            <v>5.2955494364293018E-2</v>
          </cell>
          <cell r="AB16">
            <v>0.42441027521712116</v>
          </cell>
          <cell r="AC16">
            <v>131.51439356828263</v>
          </cell>
          <cell r="AD16">
            <v>225644.22491918015</v>
          </cell>
          <cell r="AE16">
            <v>73741.578160877601</v>
          </cell>
          <cell r="AF16">
            <v>1844007.6420184262</v>
          </cell>
          <cell r="AG16">
            <v>609921.40811205958</v>
          </cell>
          <cell r="AH16">
            <v>300077.81277852785</v>
          </cell>
          <cell r="AI16">
            <v>103767.21560141991</v>
          </cell>
          <cell r="AJ16">
            <v>2659081.756943603</v>
          </cell>
          <cell r="AK16">
            <v>986508.64292979543</v>
          </cell>
          <cell r="AL16">
            <v>204700.99751580565</v>
          </cell>
          <cell r="AM16">
            <v>66897.234411064695</v>
          </cell>
          <cell r="AN16">
            <v>1672855.5932824807</v>
          </cell>
          <cell r="AO16">
            <v>553311.39403856662</v>
          </cell>
          <cell r="AP16">
            <v>-92627.380691670754</v>
          </cell>
          <cell r="AQ16">
            <v>23318.130706972137</v>
          </cell>
          <cell r="AR16">
            <v>-2052949.5274665966</v>
          </cell>
          <cell r="AS16">
            <v>-254940.77198613947</v>
          </cell>
        </row>
        <row r="25">
          <cell r="A25" t="str">
            <v>DWELL_TYPE (8)</v>
          </cell>
          <cell r="B25" t="str">
            <v>deliverytype</v>
          </cell>
          <cell r="C25" t="str">
            <v>RebatesandIncents</v>
          </cell>
          <cell r="D25" t="str">
            <v>FirstYearGrossKWh</v>
          </cell>
          <cell r="E25" t="str">
            <v>FirstYearGrossKW</v>
          </cell>
          <cell r="F25" t="str">
            <v>FirstYearGrossThm</v>
          </cell>
          <cell r="G25" t="str">
            <v>FirstYearNetKWh</v>
          </cell>
          <cell r="H25" t="str">
            <v>FirstYearNetKW</v>
          </cell>
          <cell r="I25" t="str">
            <v>FirstYearNetThm</v>
          </cell>
          <cell r="J25" t="str">
            <v>LifecycleGrossKWh</v>
          </cell>
          <cell r="K25" t="str">
            <v>LifecycleGrossKW</v>
          </cell>
          <cell r="L25" t="str">
            <v>LifecycleGrossThm</v>
          </cell>
          <cell r="M25" t="str">
            <v>LifecycleNetKWh</v>
          </cell>
          <cell r="N25" t="str">
            <v>LifecycleNetKW</v>
          </cell>
          <cell r="O25" t="str">
            <v>LifecycleNetThm</v>
          </cell>
          <cell r="P25" t="str">
            <v>ElecBen</v>
          </cell>
          <cell r="Q25" t="str">
            <v>GasBen</v>
          </cell>
          <cell r="R25" t="str">
            <v>TRCCost</v>
          </cell>
          <cell r="S25" t="str">
            <v>PACCost</v>
          </cell>
          <cell r="T25" t="str">
            <v>TRC</v>
          </cell>
          <cell r="U25" t="str">
            <v>PAC</v>
          </cell>
          <cell r="V25" t="str">
            <v>Electric Split</v>
          </cell>
          <cell r="W25" t="str">
            <v>Gas Split</v>
          </cell>
          <cell r="X25" t="str">
            <v>TRC Cost per kWh Saved ($/kWh)</v>
          </cell>
          <cell r="Y25" t="str">
            <v>TRC Cost per therm Saved ($/therm)</v>
          </cell>
          <cell r="Z25" t="str">
            <v>TRC Cost per kW Saved ($/kW) (4)</v>
          </cell>
          <cell r="AA25" t="str">
            <v>PAC Cost per kWh Saved ($/kWh)</v>
          </cell>
          <cell r="AB25" t="str">
            <v>PAC Cost per therm Saved ($/therm)</v>
          </cell>
          <cell r="AC25" t="str">
            <v>PAC Cost per kW Saved ($/kW) (4)</v>
          </cell>
          <cell r="AD25" t="str">
            <v>NetElecCO2</v>
          </cell>
          <cell r="AE25" t="str">
            <v>NetGasCO2</v>
          </cell>
          <cell r="AF25" t="str">
            <v>NetElecCO2Lifecycle</v>
          </cell>
          <cell r="AG25" t="str">
            <v>NetGasCO2Lifecycle</v>
          </cell>
          <cell r="AH25" t="str">
            <v>GrossElecCO2</v>
          </cell>
          <cell r="AI25" t="str">
            <v>GrossGasCO2</v>
          </cell>
          <cell r="AJ25" t="str">
            <v>GrossElecCO2Lifecycle</v>
          </cell>
          <cell r="AK25" t="str">
            <v>GrossGasCO2Lifecycle</v>
          </cell>
          <cell r="AL25" t="str">
            <v>Annual Net GHG Emissions (Electric)</v>
          </cell>
          <cell r="AM25" t="str">
            <v>Annual Net GHG Emissions (Gas)</v>
          </cell>
          <cell r="AN25" t="str">
            <v>Lifecycle Net GHG Emissions (Electric)</v>
          </cell>
          <cell r="AO25" t="str">
            <v>Lifecycle Net GHG Emissions (Gas)</v>
          </cell>
          <cell r="AP25" t="str">
            <v>Annual Gross GHG Emissions (Electric)</v>
          </cell>
          <cell r="AQ25" t="str">
            <v>Annual Gross GHG Emissions (Gas)</v>
          </cell>
          <cell r="AR25" t="str">
            <v>Lifecycle Gross GHG Emissions (Electric)</v>
          </cell>
          <cell r="AS25" t="str">
            <v>Lifecycle Gross GHG Emissions (Gas)</v>
          </cell>
        </row>
        <row r="26">
          <cell r="A26" t="str">
            <v>MF</v>
          </cell>
          <cell r="B26" t="str">
            <v>Non-AUDIT</v>
          </cell>
          <cell r="C26">
            <v>4513449.054743452</v>
          </cell>
          <cell r="D26">
            <v>4793310.0814807955</v>
          </cell>
          <cell r="E26">
            <v>2816.7605610677624</v>
          </cell>
          <cell r="F26">
            <v>484113.38209337875</v>
          </cell>
          <cell r="G26">
            <v>3424220.4622567752</v>
          </cell>
          <cell r="H26">
            <v>2022.3164243378421</v>
          </cell>
          <cell r="I26">
            <v>310750.06102027913</v>
          </cell>
          <cell r="J26">
            <v>57849491.939594664</v>
          </cell>
          <cell r="K26">
            <v>33506.68941425463</v>
          </cell>
          <cell r="L26">
            <v>8452847.1184293665</v>
          </cell>
          <cell r="M26">
            <v>42424208.451191917</v>
          </cell>
          <cell r="N26">
            <v>24762.823835930485</v>
          </cell>
          <cell r="O26">
            <v>5386953.6841320796</v>
          </cell>
          <cell r="P26">
            <v>7372858.8433150034</v>
          </cell>
          <cell r="Q26">
            <v>4103968.317070378</v>
          </cell>
          <cell r="R26">
            <v>19592506.407061834</v>
          </cell>
          <cell r="S26">
            <v>7012114.8190026432</v>
          </cell>
          <cell r="T26">
            <v>0.58577636377593456</v>
          </cell>
          <cell r="U26">
            <v>1.6367140950521071</v>
          </cell>
          <cell r="V26">
            <v>0.64241264073087512</v>
          </cell>
          <cell r="W26">
            <v>0.35758735926912488</v>
          </cell>
          <cell r="X26">
            <v>0.29668140524006786</v>
          </cell>
          <cell r="Y26">
            <v>1.3005555715471926</v>
          </cell>
          <cell r="Z26">
            <v>508.28103704531458</v>
          </cell>
          <cell r="AA26">
            <v>0.10618162041057554</v>
          </cell>
          <cell r="AB26">
            <v>0.46546596983096955</v>
          </cell>
          <cell r="AC26">
            <v>181.91266181231643</v>
          </cell>
          <cell r="AD26">
            <v>1895.2298483636926</v>
          </cell>
          <cell r="AE26">
            <v>1816.2475340159665</v>
          </cell>
          <cell r="AF26">
            <v>23528.685271470669</v>
          </cell>
          <cell r="AG26">
            <v>31513.679052172713</v>
          </cell>
          <cell r="AH26">
            <v>2652.6617485554971</v>
          </cell>
          <cell r="AI26">
            <v>2829.3424799867835</v>
          </cell>
          <cell r="AJ26">
            <v>32073.223756987281</v>
          </cell>
          <cell r="AK26">
            <v>49449.155642811907</v>
          </cell>
          <cell r="AL26">
            <v>1719.323597228037</v>
          </cell>
          <cell r="AM26">
            <v>1647.6720469218976</v>
          </cell>
          <cell r="AN26">
            <v>21344.864230540712</v>
          </cell>
          <cell r="AO26">
            <v>28588.728737388436</v>
          </cell>
          <cell r="AP26">
            <v>2406.4542586712373</v>
          </cell>
          <cell r="AQ26">
            <v>2566.736322077737</v>
          </cell>
          <cell r="AR26">
            <v>29096.339154944009</v>
          </cell>
          <cell r="AS26">
            <v>44859.519405043357</v>
          </cell>
        </row>
        <row r="27">
          <cell r="B27" t="str">
            <v>OnLineAudit</v>
          </cell>
          <cell r="C27">
            <v>0</v>
          </cell>
          <cell r="D27">
            <v>25878764.593602017</v>
          </cell>
          <cell r="E27">
            <v>0</v>
          </cell>
          <cell r="F27">
            <v>756150.35416164272</v>
          </cell>
          <cell r="G27">
            <v>26019425.388479531</v>
          </cell>
          <cell r="H27">
            <v>0</v>
          </cell>
          <cell r="I27">
            <v>793826.5438697245</v>
          </cell>
          <cell r="J27">
            <v>31019941.825606942</v>
          </cell>
          <cell r="K27">
            <v>0</v>
          </cell>
          <cell r="L27">
            <v>756426.83416164259</v>
          </cell>
          <cell r="M27">
            <v>29111106.612474956</v>
          </cell>
          <cell r="N27">
            <v>0</v>
          </cell>
          <cell r="O27">
            <v>793854.19186972454</v>
          </cell>
          <cell r="P27">
            <v>3662657.9064911529</v>
          </cell>
          <cell r="Q27">
            <v>780805.59733410692</v>
          </cell>
          <cell r="R27">
            <v>3137008.6118151098</v>
          </cell>
          <cell r="S27">
            <v>2671141.7939997339</v>
          </cell>
          <cell r="T27">
            <v>1.416465191421397</v>
          </cell>
          <cell r="U27">
            <v>1.6635071615467012</v>
          </cell>
          <cell r="V27">
            <v>0.82427995714110569</v>
          </cell>
          <cell r="W27">
            <v>0.1757200428588942</v>
          </cell>
          <cell r="X27">
            <v>8.8824288218234862E-2</v>
          </cell>
          <cell r="Y27">
            <v>0.69437850598051853</v>
          </cell>
          <cell r="Z27">
            <v>0</v>
          </cell>
          <cell r="AA27">
            <v>7.5633285700392947E-2</v>
          </cell>
          <cell r="AB27">
            <v>0.59125864085736701</v>
          </cell>
          <cell r="AC27">
            <v>0</v>
          </cell>
          <cell r="AD27">
            <v>11285.28502760698</v>
          </cell>
          <cell r="AE27">
            <v>3947.3024893922061</v>
          </cell>
          <cell r="AF27">
            <v>12645.877586803326</v>
          </cell>
          <cell r="AG27">
            <v>3947.4399690722062</v>
          </cell>
          <cell r="AH27">
            <v>11231.258483449898</v>
          </cell>
          <cell r="AI27">
            <v>3759.957636068767</v>
          </cell>
          <cell r="AJ27">
            <v>13493.796882612867</v>
          </cell>
          <cell r="AK27">
            <v>3761.3324328687672</v>
          </cell>
          <cell r="AL27">
            <v>10237.838363595418</v>
          </cell>
          <cell r="AM27">
            <v>3580.9325825405817</v>
          </cell>
          <cell r="AN27">
            <v>11472.147170655877</v>
          </cell>
          <cell r="AO27">
            <v>3581.057302008338</v>
          </cell>
          <cell r="AP27">
            <v>10188.826307181178</v>
          </cell>
          <cell r="AQ27">
            <v>3410.9761904880215</v>
          </cell>
          <cell r="AR27">
            <v>12241.366616565829</v>
          </cell>
          <cell r="AS27">
            <v>3412.2233851655824</v>
          </cell>
        </row>
        <row r="28">
          <cell r="A28" t="str">
            <v>MF TOTAL (9)</v>
          </cell>
          <cell r="C28">
            <v>4513449.054743452</v>
          </cell>
          <cell r="D28">
            <v>30672074.67508281</v>
          </cell>
          <cell r="E28">
            <v>2816.7605610677624</v>
          </cell>
          <cell r="F28">
            <v>1240263.7362550215</v>
          </cell>
          <cell r="G28">
            <v>29443645.850736305</v>
          </cell>
          <cell r="H28">
            <v>2022.3164243378421</v>
          </cell>
          <cell r="I28">
            <v>1104576.6048900036</v>
          </cell>
          <cell r="J28">
            <v>88869433.765201598</v>
          </cell>
          <cell r="K28">
            <v>33506.68941425463</v>
          </cell>
          <cell r="L28">
            <v>9209273.9525910094</v>
          </cell>
          <cell r="M28">
            <v>71535315.06366688</v>
          </cell>
          <cell r="N28">
            <v>24762.823835930485</v>
          </cell>
          <cell r="O28">
            <v>6180807.8760018041</v>
          </cell>
          <cell r="P28">
            <v>11035516.749806156</v>
          </cell>
          <cell r="Q28">
            <v>4884773.9144044854</v>
          </cell>
          <cell r="R28">
            <v>22729515.018876944</v>
          </cell>
          <cell r="S28">
            <v>9683256.6130023766</v>
          </cell>
          <cell r="T28">
            <v>0.70042368484275985</v>
          </cell>
          <cell r="U28">
            <v>1.644105005214193</v>
          </cell>
          <cell r="V28">
            <v>0.69317306967355663</v>
          </cell>
          <cell r="W28">
            <v>0.30682693032644337</v>
          </cell>
          <cell r="X28">
            <v>0.22024768722698232</v>
          </cell>
          <cell r="Y28">
            <v>1.1283358843960885</v>
          </cell>
          <cell r="Z28">
            <v>636.25569532038446</v>
          </cell>
          <cell r="AA28">
            <v>9.3830197083744571E-2</v>
          </cell>
          <cell r="AB28">
            <v>0.48069507445241372</v>
          </cell>
          <cell r="AC28">
            <v>271.05845259587733</v>
          </cell>
          <cell r="AD28">
            <v>13180.514875970674</v>
          </cell>
          <cell r="AE28">
            <v>5763.5500234081728</v>
          </cell>
          <cell r="AF28">
            <v>36174.562858273996</v>
          </cell>
          <cell r="AG28">
            <v>35461.119021244922</v>
          </cell>
          <cell r="AH28">
            <v>13883.920232005396</v>
          </cell>
          <cell r="AI28">
            <v>6589.3001160555505</v>
          </cell>
          <cell r="AJ28">
            <v>45567.020639600145</v>
          </cell>
          <cell r="AK28">
            <v>53210.488075680674</v>
          </cell>
          <cell r="AL28">
            <v>11957.161960823454</v>
          </cell>
          <cell r="AM28">
            <v>5228.6046294624794</v>
          </cell>
          <cell r="AN28">
            <v>32817.011401196592</v>
          </cell>
          <cell r="AO28">
            <v>32169.786039396775</v>
          </cell>
          <cell r="AP28">
            <v>12595.280565852416</v>
          </cell>
          <cell r="AQ28">
            <v>5977.7125125657585</v>
          </cell>
          <cell r="AR28">
            <v>41337.705771509834</v>
          </cell>
          <cell r="AS28">
            <v>48271.74279020894</v>
          </cell>
        </row>
        <row r="29">
          <cell r="A29" t="str">
            <v>SF</v>
          </cell>
          <cell r="B29" t="str">
            <v>Opt-out (OnLineAudit)</v>
          </cell>
          <cell r="C29">
            <v>0</v>
          </cell>
          <cell r="D29">
            <v>103515058.37440807</v>
          </cell>
          <cell r="E29">
            <v>0</v>
          </cell>
          <cell r="F29">
            <v>3024601.4166465709</v>
          </cell>
          <cell r="G29">
            <v>104077701.55391812</v>
          </cell>
          <cell r="H29">
            <v>0</v>
          </cell>
          <cell r="I29">
            <v>3175306.175478898</v>
          </cell>
          <cell r="J29">
            <v>124079767.30242777</v>
          </cell>
          <cell r="K29">
            <v>0</v>
          </cell>
          <cell r="L29">
            <v>3025707.3366465704</v>
          </cell>
          <cell r="M29">
            <v>116444426.44989982</v>
          </cell>
          <cell r="N29">
            <v>0</v>
          </cell>
          <cell r="O29">
            <v>3175416.7674788982</v>
          </cell>
          <cell r="P29">
            <v>14650631.625964612</v>
          </cell>
          <cell r="Q29">
            <v>3123222.3893364277</v>
          </cell>
          <cell r="R29">
            <v>12548034.447260439</v>
          </cell>
          <cell r="S29">
            <v>10684567.175998935</v>
          </cell>
          <cell r="T29">
            <v>1.416465191421397</v>
          </cell>
          <cell r="U29">
            <v>1.6635071615467012</v>
          </cell>
          <cell r="V29">
            <v>0.82427995714110569</v>
          </cell>
          <cell r="W29">
            <v>0.1757200428588942</v>
          </cell>
          <cell r="X29">
            <v>8.8824288218234862E-2</v>
          </cell>
          <cell r="Y29">
            <v>0.69437850598051853</v>
          </cell>
          <cell r="Z29">
            <v>0</v>
          </cell>
          <cell r="AA29">
            <v>7.5633285700392947E-2</v>
          </cell>
          <cell r="AB29">
            <v>0.59125864085736701</v>
          </cell>
          <cell r="AC29">
            <v>0</v>
          </cell>
          <cell r="AD29">
            <v>55098.744546551723</v>
          </cell>
          <cell r="AE29">
            <v>19272.123918797239</v>
          </cell>
          <cell r="AF29">
            <v>61741.637629686826</v>
          </cell>
          <cell r="AG29">
            <v>19272.795143117241</v>
          </cell>
          <cell r="AH29">
            <v>54834.967889784792</v>
          </cell>
          <cell r="AI29">
            <v>18357.440223159272</v>
          </cell>
          <cell r="AJ29">
            <v>65881.478897462817</v>
          </cell>
          <cell r="AK29">
            <v>18364.152466359275</v>
          </cell>
          <cell r="AL29">
            <v>49984.740245789391</v>
          </cell>
          <cell r="AM29">
            <v>17483.376726521663</v>
          </cell>
          <cell r="AN29">
            <v>56011.071480261046</v>
          </cell>
          <cell r="AO29">
            <v>17483.985650981886</v>
          </cell>
          <cell r="AP29">
            <v>49745.446088002216</v>
          </cell>
          <cell r="AQ29">
            <v>16653.589635912103</v>
          </cell>
          <cell r="AR29">
            <v>59766.672304409636</v>
          </cell>
          <cell r="AS29">
            <v>16659.678880514315</v>
          </cell>
        </row>
        <row r="30">
          <cell r="B30" t="str">
            <v>Downstream</v>
          </cell>
          <cell r="C30">
            <v>7870879.0396789769</v>
          </cell>
          <cell r="D30">
            <v>12566733.542911476</v>
          </cell>
          <cell r="E30">
            <v>3182.4484320001384</v>
          </cell>
          <cell r="F30">
            <v>835663.78729998088</v>
          </cell>
          <cell r="G30">
            <v>7511295.3548978399</v>
          </cell>
          <cell r="H30">
            <v>1833.0848086001847</v>
          </cell>
          <cell r="I30">
            <v>474939.34067997988</v>
          </cell>
          <cell r="J30">
            <v>131806486.54413214</v>
          </cell>
          <cell r="K30">
            <v>39934.773320001812</v>
          </cell>
          <cell r="L30">
            <v>11556937.040449869</v>
          </cell>
          <cell r="M30">
            <v>78576288.431332648</v>
          </cell>
          <cell r="N30">
            <v>22802.64773600105</v>
          </cell>
          <cell r="O30">
            <v>6535230.8627699092</v>
          </cell>
          <cell r="P30">
            <v>9980341.8215588406</v>
          </cell>
          <cell r="Q30">
            <v>5421205.6038725888</v>
          </cell>
          <cell r="R30">
            <v>18448329.338924631</v>
          </cell>
          <cell r="S30">
            <v>13102759.372541565</v>
          </cell>
          <cell r="T30">
            <v>0.83484781426442156</v>
          </cell>
          <cell r="U30">
            <v>1.1754430488670391</v>
          </cell>
          <cell r="V30">
            <v>0.64800903090289774</v>
          </cell>
          <cell r="W30">
            <v>0.3519909690971022</v>
          </cell>
          <cell r="X30">
            <v>0.15214111350068632</v>
          </cell>
          <cell r="Y30">
            <v>0.99363671438506773</v>
          </cell>
          <cell r="Z30">
            <v>524.26736382108254</v>
          </cell>
          <cell r="AA30">
            <v>0.108056852425328</v>
          </cell>
          <cell r="AB30">
            <v>0.70572150643692177</v>
          </cell>
          <cell r="AC30">
            <v>372.35616238325287</v>
          </cell>
          <cell r="AD30">
            <v>3938.189739273957</v>
          </cell>
          <cell r="AE30">
            <v>2763.4617918659096</v>
          </cell>
          <cell r="AF30">
            <v>41404.384911254667</v>
          </cell>
          <cell r="AG30">
            <v>38231.100547203103</v>
          </cell>
          <cell r="AH30">
            <v>6591.4566662569978</v>
          </cell>
          <cell r="AI30">
            <v>4863.7442371845245</v>
          </cell>
          <cell r="AJ30">
            <v>69490.740562882129</v>
          </cell>
          <cell r="AK30">
            <v>67608.081686632329</v>
          </cell>
          <cell r="AL30">
            <v>3572.665634693873</v>
          </cell>
          <cell r="AM30">
            <v>2506.9703671537818</v>
          </cell>
          <cell r="AN30">
            <v>37561.426160576077</v>
          </cell>
          <cell r="AO30">
            <v>34682.671009827922</v>
          </cell>
          <cell r="AP30">
            <v>5979.6689019995556</v>
          </cell>
          <cell r="AQ30">
            <v>4412.3145512366928</v>
          </cell>
          <cell r="AR30">
            <v>63040.939409944986</v>
          </cell>
          <cell r="AS30">
            <v>61333.020006785635</v>
          </cell>
        </row>
        <row r="31">
          <cell r="B31" t="str">
            <v>Upstream</v>
          </cell>
          <cell r="C31">
            <v>16200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17567.624552988364</v>
          </cell>
          <cell r="S31">
            <v>15880.849389843192</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row>
        <row r="32">
          <cell r="B32" t="str">
            <v>Midstream</v>
          </cell>
          <cell r="C32">
            <v>11232994.890690606</v>
          </cell>
          <cell r="D32">
            <v>8284713.2285067653</v>
          </cell>
          <cell r="E32">
            <v>6395.5346526187595</v>
          </cell>
          <cell r="F32">
            <v>419509.74246681976</v>
          </cell>
          <cell r="G32">
            <v>5462880.866488467</v>
          </cell>
          <cell r="H32">
            <v>4329.4453936978689</v>
          </cell>
          <cell r="I32">
            <v>272819.21110631252</v>
          </cell>
          <cell r="J32">
            <v>85317702.736902893</v>
          </cell>
          <cell r="K32">
            <v>64952.718415322066</v>
          </cell>
          <cell r="L32">
            <v>8194818.00807714</v>
          </cell>
          <cell r="M32">
            <v>57252744.985510722</v>
          </cell>
          <cell r="N32">
            <v>44806.984764396606</v>
          </cell>
          <cell r="O32">
            <v>5293350.7671658397</v>
          </cell>
          <cell r="P32">
            <v>11217888.101820387</v>
          </cell>
          <cell r="Q32">
            <v>3940685.6009681956</v>
          </cell>
          <cell r="R32">
            <v>30588340.333987355</v>
          </cell>
          <cell r="S32">
            <v>12908835.99386606</v>
          </cell>
          <cell r="T32">
            <v>0.49556705389293609</v>
          </cell>
          <cell r="U32">
            <v>1.1742788978023688</v>
          </cell>
          <cell r="V32">
            <v>0.74003585837081332</v>
          </cell>
          <cell r="W32">
            <v>0.25996414162918668</v>
          </cell>
          <cell r="X32">
            <v>0.39537787578446487</v>
          </cell>
          <cell r="Y32">
            <v>1.5022378052312666</v>
          </cell>
          <cell r="Z32">
            <v>505.19955346755938</v>
          </cell>
          <cell r="AA32">
            <v>0.16685665512992179</v>
          </cell>
          <cell r="AB32">
            <v>0.63397167808966426</v>
          </cell>
          <cell r="AC32">
            <v>213.20340066443137</v>
          </cell>
          <cell r="AD32">
            <v>3027.8084332069316</v>
          </cell>
          <cell r="AE32">
            <v>1594.1529377047818</v>
          </cell>
          <cell r="AF32">
            <v>32144.451828227779</v>
          </cell>
          <cell r="AG32">
            <v>30966.101987924434</v>
          </cell>
          <cell r="AH32">
            <v>4596.7774036960318</v>
          </cell>
          <cell r="AI32">
            <v>2451.6895314964722</v>
          </cell>
          <cell r="AJ32">
            <v>47690.74211083632</v>
          </cell>
          <cell r="AK32">
            <v>47939.68534724354</v>
          </cell>
          <cell r="AL32">
            <v>2746.7816062486072</v>
          </cell>
          <cell r="AM32">
            <v>1446.1912183119327</v>
          </cell>
          <cell r="AN32">
            <v>29160.956174233022</v>
          </cell>
          <cell r="AO32">
            <v>28091.975180728401</v>
          </cell>
          <cell r="AP32">
            <v>4170.1263138098138</v>
          </cell>
          <cell r="AQ32">
            <v>2224.1353301913246</v>
          </cell>
          <cell r="AR32">
            <v>43264.313482225618</v>
          </cell>
          <cell r="AS32">
            <v>43490.150987420464</v>
          </cell>
        </row>
        <row r="33">
          <cell r="B33" t="str">
            <v>DirectInstall</v>
          </cell>
          <cell r="C33">
            <v>4962906.4799285345</v>
          </cell>
          <cell r="D33">
            <v>4743798.0910031246</v>
          </cell>
          <cell r="E33">
            <v>3025.9965695304495</v>
          </cell>
          <cell r="F33">
            <v>-30867.49249099876</v>
          </cell>
          <cell r="G33">
            <v>3520221.2611827524</v>
          </cell>
          <cell r="H33">
            <v>2217.7594536308225</v>
          </cell>
          <cell r="I33">
            <v>-24462.205884079216</v>
          </cell>
          <cell r="J33">
            <v>48228498.179908894</v>
          </cell>
          <cell r="K33">
            <v>25496.563282135688</v>
          </cell>
          <cell r="L33">
            <v>-367515.17650697095</v>
          </cell>
          <cell r="M33">
            <v>36911333.617679261</v>
          </cell>
          <cell r="N33">
            <v>19580.423459719335</v>
          </cell>
          <cell r="O33">
            <v>-290068.68078917306</v>
          </cell>
          <cell r="P33">
            <v>5131511.9055681145</v>
          </cell>
          <cell r="Q33">
            <v>-284701.05091351212</v>
          </cell>
          <cell r="R33">
            <v>7201584.7337175813</v>
          </cell>
          <cell r="S33">
            <v>6953872.5172898779</v>
          </cell>
          <cell r="T33">
            <v>0.67302004126425041</v>
          </cell>
          <cell r="U33">
            <v>0.69699449373045785</v>
          </cell>
          <cell r="V33">
            <v>1.0587398723513424</v>
          </cell>
          <cell r="W33">
            <v>-5.8739872351342398E-2</v>
          </cell>
          <cell r="X33">
            <v>0.20656541377447291</v>
          </cell>
          <cell r="Y33">
            <v>1.4583448541740542</v>
          </cell>
          <cell r="Z33">
            <v>389.39938747437174</v>
          </cell>
          <cell r="AA33">
            <v>0.19946020313329141</v>
          </cell>
          <cell r="AB33">
            <v>1.4081823066930765</v>
          </cell>
          <cell r="AC33">
            <v>376.00525425043719</v>
          </cell>
          <cell r="AD33">
            <v>1898.4636045876009</v>
          </cell>
          <cell r="AE33">
            <v>-143.65395103351557</v>
          </cell>
          <cell r="AF33">
            <v>19714.696892672582</v>
          </cell>
          <cell r="AG33">
            <v>-1696.9017826167742</v>
          </cell>
          <cell r="AH33">
            <v>2564.785812740718</v>
          </cell>
          <cell r="AI33">
            <v>-181.49157542508874</v>
          </cell>
          <cell r="AJ33">
            <v>25790.728096834646</v>
          </cell>
          <cell r="AK33">
            <v>-2149.9637825660689</v>
          </cell>
          <cell r="AL33">
            <v>1722.2572115272467</v>
          </cell>
          <cell r="AM33">
            <v>-130.3206722183111</v>
          </cell>
          <cell r="AN33">
            <v>17884.872174757787</v>
          </cell>
          <cell r="AO33">
            <v>-1539.4034024687178</v>
          </cell>
          <cell r="AP33">
            <v>2326.7345506868514</v>
          </cell>
          <cell r="AQ33">
            <v>-164.6463876641977</v>
          </cell>
          <cell r="AR33">
            <v>23396.954962937376</v>
          </cell>
          <cell r="AS33">
            <v>-1950.4143350965942</v>
          </cell>
        </row>
        <row r="34">
          <cell r="A34" t="str">
            <v>SF TOTAL</v>
          </cell>
          <cell r="C34">
            <v>24082980.410298117</v>
          </cell>
          <cell r="D34">
            <v>129110303.23682941</v>
          </cell>
          <cell r="E34">
            <v>12603.979654149347</v>
          </cell>
          <cell r="F34">
            <v>4248907.4539223732</v>
          </cell>
          <cell r="G34">
            <v>120572099.03648719</v>
          </cell>
          <cell r="H34">
            <v>8380.2896559288765</v>
          </cell>
          <cell r="I34">
            <v>3898602.5213811109</v>
          </cell>
          <cell r="J34">
            <v>389432454.76337171</v>
          </cell>
          <cell r="K34">
            <v>130384.05501745957</v>
          </cell>
          <cell r="L34">
            <v>22409947.208666608</v>
          </cell>
          <cell r="M34">
            <v>289184793.48442245</v>
          </cell>
          <cell r="N34">
            <v>87190.055960116995</v>
          </cell>
          <cell r="O34">
            <v>14713929.716625474</v>
          </cell>
          <cell r="P34">
            <v>40980373.454911955</v>
          </cell>
          <cell r="Q34">
            <v>12200412.543263698</v>
          </cell>
          <cell r="R34">
            <v>68803856.478442997</v>
          </cell>
          <cell r="S34">
            <v>43665915.909086287</v>
          </cell>
          <cell r="T34">
            <v>0.7729332150856657</v>
          </cell>
          <cell r="U34">
            <v>1.2179015346637776</v>
          </cell>
          <cell r="V34">
            <v>0.77058608077582325</v>
          </cell>
          <cell r="W34">
            <v>0.22941391922417673</v>
          </cell>
          <cell r="X34">
            <v>0.18334053276851026</v>
          </cell>
          <cell r="Y34">
            <v>1.0727632030634326</v>
          </cell>
          <cell r="Z34">
            <v>608.08877253431319</v>
          </cell>
          <cell r="AA34">
            <v>0.11635586573704822</v>
          </cell>
          <cell r="AB34">
            <v>0.68082212557382438</v>
          </cell>
          <cell r="AC34">
            <v>385.91954820239027</v>
          </cell>
          <cell r="AD34">
            <v>63963.206323620216</v>
          </cell>
          <cell r="AE34">
            <v>23486.084697334412</v>
          </cell>
          <cell r="AF34">
            <v>155005.17126184184</v>
          </cell>
          <cell r="AG34">
            <v>86773.095895628008</v>
          </cell>
          <cell r="AH34">
            <v>68587.987772478547</v>
          </cell>
          <cell r="AI34">
            <v>25491.382416415181</v>
          </cell>
          <cell r="AJ34">
            <v>208853.6896680159</v>
          </cell>
          <cell r="AK34">
            <v>131761.95571766907</v>
          </cell>
          <cell r="AL34">
            <v>58026.444698259125</v>
          </cell>
          <cell r="AM34">
            <v>21306.217639769064</v>
          </cell>
          <cell r="AN34">
            <v>140618.32598982792</v>
          </cell>
          <cell r="AO34">
            <v>78719.228439069499</v>
          </cell>
          <cell r="AP34">
            <v>62221.975854498443</v>
          </cell>
          <cell r="AQ34">
            <v>23125.393129675922</v>
          </cell>
          <cell r="AR34">
            <v>189468.8801595176</v>
          </cell>
          <cell r="AS34">
            <v>119532.43553962381</v>
          </cell>
        </row>
      </sheetData>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Heat Map"/>
      <sheetName val="2017 Master"/>
      <sheetName val="MDA Table"/>
      <sheetName val="EE Report - 2017"/>
      <sheetName val="EE Report - 2016"/>
      <sheetName val="Portfolio"/>
      <sheetName val="Ag"/>
      <sheetName val="Com"/>
      <sheetName val="Industrial"/>
      <sheetName val="Public"/>
      <sheetName val="Res - SF"/>
      <sheetName val="Res - MF"/>
      <sheetName val="WE&amp;T"/>
      <sheetName val="Emerg Tech"/>
      <sheetName val="C&amp;S"/>
    </sheetNames>
    <sheetDataSet>
      <sheetData sheetId="0">
        <row r="3">
          <cell r="D3" t="str">
            <v xml:space="preserve">Portfolio Level (PL)– All Sectors </v>
          </cell>
          <cell r="E3" t="str">
            <v>MetricsPort</v>
          </cell>
        </row>
        <row r="4">
          <cell r="D4" t="str">
            <v>Residential (RSF)</v>
          </cell>
          <cell r="E4" t="str">
            <v>MetricsRSF</v>
          </cell>
        </row>
        <row r="5">
          <cell r="D5" t="str">
            <v>Residential Sector – Multi-family (RMF)</v>
          </cell>
          <cell r="E5" t="str">
            <v>MetricsRMF</v>
          </cell>
        </row>
        <row r="6">
          <cell r="D6" t="str">
            <v xml:space="preserve">Commercial Sector (C) </v>
          </cell>
          <cell r="E6" t="str">
            <v>MetricsCom</v>
          </cell>
        </row>
        <row r="7">
          <cell r="D7" t="str">
            <v>Public Sector (P)</v>
          </cell>
          <cell r="E7" t="str">
            <v>MetricsPub</v>
          </cell>
        </row>
        <row r="8">
          <cell r="D8" t="str">
            <v>Industrial (I)</v>
          </cell>
          <cell r="E8" t="str">
            <v>MetricsInd</v>
          </cell>
        </row>
        <row r="9">
          <cell r="D9" t="str">
            <v>Agricultural (A)</v>
          </cell>
          <cell r="E9" t="str">
            <v>MetricsAg</v>
          </cell>
        </row>
        <row r="10">
          <cell r="D10" t="str">
            <v>Codes &amp; Standards (CS)</v>
          </cell>
          <cell r="E10" t="str">
            <v>MetricsCS</v>
          </cell>
        </row>
        <row r="11">
          <cell r="D11" t="str">
            <v>Workforce Education and Training (WET)</v>
          </cell>
          <cell r="E11" t="str">
            <v>MetricsWET</v>
          </cell>
        </row>
        <row r="12">
          <cell r="D12" t="str">
            <v>Emerging Technologies (ET)</v>
          </cell>
          <cell r="E12" t="str">
            <v>MetricsET</v>
          </cell>
        </row>
      </sheetData>
      <sheetData sheetId="1"/>
      <sheetData sheetId="2"/>
      <sheetData sheetId="3">
        <row r="2">
          <cell r="C2" t="str">
            <v>Data Point</v>
          </cell>
          <cell r="D2" t="str">
            <v>Agricultural</v>
          </cell>
          <cell r="E2" t="str">
            <v>Commercial</v>
          </cell>
          <cell r="F2" t="str">
            <v>Industrial</v>
          </cell>
          <cell r="G2" t="str">
            <v>Public</v>
          </cell>
          <cell r="H2" t="str">
            <v>Res - Single Fam</v>
          </cell>
          <cell r="I2" t="str">
            <v>Res - Multi-Fam</v>
          </cell>
        </row>
        <row r="3">
          <cell r="C3" t="str">
            <v>Total # of Sector Customers</v>
          </cell>
          <cell r="D3">
            <v>117787</v>
          </cell>
          <cell r="E3">
            <v>639742</v>
          </cell>
          <cell r="F3">
            <v>62876</v>
          </cell>
          <cell r="G3">
            <v>75222</v>
          </cell>
          <cell r="H3">
            <v>4503484</v>
          </cell>
          <cell r="I3">
            <v>2203804</v>
          </cell>
        </row>
        <row r="4">
          <cell r="C4" t="str">
            <v>Total # of Large Customers</v>
          </cell>
          <cell r="D4">
            <v>3742</v>
          </cell>
          <cell r="E4">
            <v>12135</v>
          </cell>
          <cell r="F4">
            <v>2451</v>
          </cell>
        </row>
        <row r="5">
          <cell r="C5" t="str">
            <v>Total # of Medium Customers</v>
          </cell>
          <cell r="D5">
            <v>31659</v>
          </cell>
          <cell r="E5">
            <v>116106</v>
          </cell>
          <cell r="F5">
            <v>11472</v>
          </cell>
        </row>
        <row r="6">
          <cell r="C6" t="str">
            <v>Total # of Small Customers</v>
          </cell>
          <cell r="D6">
            <v>82386</v>
          </cell>
          <cell r="E6">
            <v>511501</v>
          </cell>
          <cell r="F6">
            <v>48953</v>
          </cell>
        </row>
        <row r="7">
          <cell r="C7" t="str">
            <v>Total # of DAC Customers</v>
          </cell>
          <cell r="H7">
            <v>545519</v>
          </cell>
          <cell r="I7">
            <v>265155</v>
          </cell>
        </row>
        <row r="8">
          <cell r="C8" t="str">
            <v>Total # of HTR Customers</v>
          </cell>
          <cell r="E8">
            <v>260770</v>
          </cell>
          <cell r="H8">
            <v>677272</v>
          </cell>
          <cell r="I8">
            <v>214995</v>
          </cell>
        </row>
        <row r="9">
          <cell r="C9" t="str">
            <v># of Participating Customers</v>
          </cell>
          <cell r="D9">
            <v>1588</v>
          </cell>
          <cell r="E9">
            <v>15009</v>
          </cell>
          <cell r="F9">
            <v>558</v>
          </cell>
          <cell r="G9">
            <v>1398</v>
          </cell>
          <cell r="H9">
            <v>51479</v>
          </cell>
          <cell r="I9">
            <v>6317</v>
          </cell>
        </row>
        <row r="10">
          <cell r="C10" t="str">
            <v># of Participating Large Customers</v>
          </cell>
          <cell r="D10">
            <v>308</v>
          </cell>
          <cell r="E10">
            <v>4602</v>
          </cell>
          <cell r="F10">
            <v>149</v>
          </cell>
        </row>
        <row r="11">
          <cell r="C11" t="str">
            <v># of Participating Medium Customers</v>
          </cell>
          <cell r="D11">
            <v>770</v>
          </cell>
          <cell r="E11">
            <v>5805</v>
          </cell>
          <cell r="F11">
            <v>224</v>
          </cell>
        </row>
        <row r="12">
          <cell r="C12" t="str">
            <v># of Participating Small Customers</v>
          </cell>
          <cell r="D12">
            <v>510</v>
          </cell>
          <cell r="E12">
            <v>4602</v>
          </cell>
          <cell r="F12">
            <v>185</v>
          </cell>
        </row>
        <row r="13">
          <cell r="C13" t="str">
            <v># of Participating DAC Customers</v>
          </cell>
          <cell r="H13">
            <v>11957</v>
          </cell>
          <cell r="I13">
            <v>2313</v>
          </cell>
        </row>
        <row r="14">
          <cell r="C14" t="str">
            <v># of Participating HTR Customers</v>
          </cell>
          <cell r="E14">
            <v>4702</v>
          </cell>
          <cell r="H14">
            <v>13005</v>
          </cell>
          <cell r="I14">
            <v>1984</v>
          </cell>
        </row>
        <row r="15">
          <cell r="C15" t="str">
            <v>Total # of Projects</v>
          </cell>
          <cell r="G15">
            <v>912</v>
          </cell>
          <cell r="I15">
            <v>9482</v>
          </cell>
        </row>
        <row r="16">
          <cell r="C16" t="str">
            <v>Total annual sector max demand (kW)</v>
          </cell>
          <cell r="E16">
            <v>13715716.945500001</v>
          </cell>
          <cell r="F16">
            <v>5674108.1699999999</v>
          </cell>
        </row>
        <row r="17">
          <cell r="C17" t="str">
            <v>Total annual sector elec usage (kWh)</v>
          </cell>
          <cell r="E17">
            <v>33942505759.975399</v>
          </cell>
          <cell r="F17">
            <v>9302621423.8720608</v>
          </cell>
        </row>
        <row r="18">
          <cell r="C18" t="str">
            <v>Total annual sector gas usage (therms)</v>
          </cell>
          <cell r="E18">
            <v>1099729865.5796299</v>
          </cell>
          <cell r="F18">
            <v>3885045880.7884898</v>
          </cell>
        </row>
        <row r="19">
          <cell r="C19" t="str">
            <v>Total sector energy usage (Btu)</v>
          </cell>
          <cell r="G19">
            <v>36372575370904.5</v>
          </cell>
        </row>
        <row r="20">
          <cell r="C20" t="str">
            <v>Total sq. ft. of all sector customers</v>
          </cell>
          <cell r="E20">
            <v>2082752874.3275604</v>
          </cell>
          <cell r="I20">
            <v>2006709876.6389234</v>
          </cell>
        </row>
        <row r="21">
          <cell r="C21" t="str">
            <v>Sq. ft. of participating customers</v>
          </cell>
          <cell r="E21">
            <v>48863507.305730052</v>
          </cell>
          <cell r="I21">
            <v>5752047.954685661</v>
          </cell>
        </row>
        <row r="22">
          <cell r="C22" t="str">
            <v>Sq. ft. of benchmarked customers</v>
          </cell>
          <cell r="E22">
            <v>248114499</v>
          </cell>
          <cell r="I22">
            <v>389722.41959877522</v>
          </cell>
        </row>
        <row r="23">
          <cell r="C23" t="str">
            <v>Sq. ft. of benchmarked large customers</v>
          </cell>
        </row>
        <row r="24">
          <cell r="C24" t="str">
            <v>Sq. ft. of benchmarked medium customers</v>
          </cell>
        </row>
        <row r="25">
          <cell r="C25" t="str">
            <v>Sq. ft. of benchmarked small customers</v>
          </cell>
        </row>
        <row r="26">
          <cell r="C26" t="str">
            <v>Total # of benchmarked customers</v>
          </cell>
          <cell r="E26">
            <v>1538</v>
          </cell>
          <cell r="G26">
            <v>479</v>
          </cell>
          <cell r="I26">
            <v>428</v>
          </cell>
        </row>
        <row r="27">
          <cell r="C27" t="str">
            <v># of benchmarked large customers</v>
          </cell>
          <cell r="E27">
            <v>415</v>
          </cell>
        </row>
        <row r="28">
          <cell r="C28" t="str">
            <v># of benchmarked medium customers</v>
          </cell>
          <cell r="E28">
            <v>642</v>
          </cell>
        </row>
        <row r="29">
          <cell r="C29" t="str">
            <v># of benchmarked small customers</v>
          </cell>
          <cell r="E29">
            <v>481</v>
          </cell>
        </row>
        <row r="30">
          <cell r="C30" t="str">
            <v># of benchmarked DAC customers</v>
          </cell>
        </row>
        <row r="31">
          <cell r="C31" t="str">
            <v># of benchmarked HTR customers</v>
          </cell>
          <cell r="E31">
            <v>433</v>
          </cell>
          <cell r="I31">
            <v>56</v>
          </cell>
        </row>
        <row r="33">
          <cell r="A33" t="str">
            <v>Index</v>
          </cell>
          <cell r="B33" t="str">
            <v>Segment</v>
          </cell>
          <cell r="C33" t="str">
            <v>Metric Description</v>
          </cell>
          <cell r="D33" t="str">
            <v>Data Type</v>
          </cell>
          <cell r="E33" t="str">
            <v>PG&amp;E Source</v>
          </cell>
          <cell r="F33" t="str">
            <v>Metric</v>
          </cell>
          <cell r="G33" t="str">
            <v>Numerator</v>
          </cell>
          <cell r="H33" t="str">
            <v>Denominator</v>
          </cell>
          <cell r="I33" t="str">
            <v>Numerator Description</v>
          </cell>
          <cell r="J33" t="str">
            <v>Denominator Description</v>
          </cell>
        </row>
        <row r="34">
          <cell r="A34">
            <v>13</v>
          </cell>
          <cell r="B34" t="str">
            <v>Portfolio</v>
          </cell>
          <cell r="C34" t="str">
            <v>First year annual kW gross in Disadvantaged Communities</v>
          </cell>
          <cell r="D34" t="str">
            <v>Metric</v>
          </cell>
          <cell r="E34" t="str">
            <v>MDA Team</v>
          </cell>
          <cell r="F34">
            <v>21120</v>
          </cell>
          <cell r="I34" t="str">
            <v>N/A</v>
          </cell>
          <cell r="J34" t="str">
            <v>N/A</v>
          </cell>
        </row>
        <row r="35">
          <cell r="A35">
            <v>14</v>
          </cell>
          <cell r="B35" t="str">
            <v>Portfolio</v>
          </cell>
          <cell r="C35" t="str">
            <v>First year annual kW net in Disadvantaged Communities</v>
          </cell>
          <cell r="D35" t="str">
            <v>Metric</v>
          </cell>
          <cell r="E35" t="str">
            <v>MDA Team</v>
          </cell>
          <cell r="F35">
            <v>13440</v>
          </cell>
          <cell r="I35" t="str">
            <v>N/A</v>
          </cell>
          <cell r="J35" t="str">
            <v>N/A</v>
          </cell>
        </row>
        <row r="36">
          <cell r="A36">
            <v>15</v>
          </cell>
          <cell r="B36" t="str">
            <v>Portfolio</v>
          </cell>
          <cell r="C36" t="str">
            <v>First year annual kWh gross in Disadvantaged Communities</v>
          </cell>
          <cell r="D36" t="str">
            <v>Metric</v>
          </cell>
          <cell r="E36" t="str">
            <v>MDA Team</v>
          </cell>
          <cell r="F36">
            <v>93840000</v>
          </cell>
          <cell r="I36" t="str">
            <v>N/A</v>
          </cell>
          <cell r="J36" t="str">
            <v>N/A</v>
          </cell>
        </row>
        <row r="37">
          <cell r="A37">
            <v>16</v>
          </cell>
          <cell r="B37" t="str">
            <v>Portfolio</v>
          </cell>
          <cell r="C37" t="str">
            <v>First year annual kWh net in Disadvantaged Communities</v>
          </cell>
          <cell r="D37" t="str">
            <v>Metric</v>
          </cell>
          <cell r="E37" t="str">
            <v>MDA Team</v>
          </cell>
          <cell r="F37">
            <v>58850000</v>
          </cell>
          <cell r="I37" t="str">
            <v>N/A</v>
          </cell>
          <cell r="J37" t="str">
            <v>N/A</v>
          </cell>
        </row>
        <row r="38">
          <cell r="A38">
            <v>17</v>
          </cell>
          <cell r="B38" t="str">
            <v>Portfolio</v>
          </cell>
          <cell r="C38" t="str">
            <v>First year annual Therm gross in Disadvantaged Communities</v>
          </cell>
          <cell r="D38" t="str">
            <v>Metric</v>
          </cell>
          <cell r="E38" t="str">
            <v>MDA Team</v>
          </cell>
          <cell r="F38">
            <v>2040000</v>
          </cell>
          <cell r="I38" t="str">
            <v>N/A</v>
          </cell>
          <cell r="J38" t="str">
            <v>N/A</v>
          </cell>
        </row>
        <row r="39">
          <cell r="A39">
            <v>18</v>
          </cell>
          <cell r="B39" t="str">
            <v>Portfolio</v>
          </cell>
          <cell r="C39" t="str">
            <v>First year annual Therm net in Disadvantaged Communities</v>
          </cell>
          <cell r="D39" t="str">
            <v>Metric</v>
          </cell>
          <cell r="E39" t="str">
            <v>MDA Team</v>
          </cell>
          <cell r="F39">
            <v>1180000</v>
          </cell>
          <cell r="I39" t="str">
            <v>N/A</v>
          </cell>
          <cell r="J39" t="str">
            <v>N/A</v>
          </cell>
        </row>
        <row r="40">
          <cell r="A40">
            <v>19</v>
          </cell>
          <cell r="B40" t="str">
            <v>Portfolio</v>
          </cell>
          <cell r="C40" t="str">
            <v>Lifecycle ex-ante kW gross in Disadvantaged Communities</v>
          </cell>
          <cell r="D40" t="str">
            <v>Metric</v>
          </cell>
          <cell r="E40" t="str">
            <v>MDA Team</v>
          </cell>
          <cell r="F40">
            <v>205010</v>
          </cell>
          <cell r="I40" t="str">
            <v>N/A</v>
          </cell>
          <cell r="J40" t="str">
            <v>N/A</v>
          </cell>
        </row>
        <row r="41">
          <cell r="A41">
            <v>20</v>
          </cell>
          <cell r="B41" t="str">
            <v>Portfolio</v>
          </cell>
          <cell r="C41" t="str">
            <v>Lifecycle ex-ante kW net in Disadvantaged Communities</v>
          </cell>
          <cell r="D41" t="str">
            <v>Metric</v>
          </cell>
          <cell r="E41" t="str">
            <v>MDA Team</v>
          </cell>
          <cell r="F41">
            <v>132130</v>
          </cell>
          <cell r="I41" t="str">
            <v>N/A</v>
          </cell>
          <cell r="J41" t="str">
            <v>N/A</v>
          </cell>
        </row>
        <row r="42">
          <cell r="A42">
            <v>21</v>
          </cell>
          <cell r="B42" t="str">
            <v>Portfolio</v>
          </cell>
          <cell r="C42" t="str">
            <v>Lifecycle ex-ante kWh gross in Disadvantaged Communities</v>
          </cell>
          <cell r="D42" t="str">
            <v>Metric</v>
          </cell>
          <cell r="E42" t="str">
            <v>MDA Team</v>
          </cell>
          <cell r="F42">
            <v>1044750000</v>
          </cell>
          <cell r="I42" t="str">
            <v>N/A</v>
          </cell>
          <cell r="J42" t="str">
            <v>N/A</v>
          </cell>
        </row>
        <row r="43">
          <cell r="A43">
            <v>22</v>
          </cell>
          <cell r="B43" t="str">
            <v>Portfolio</v>
          </cell>
          <cell r="C43" t="str">
            <v>Lifecycle ex-ante kWh net in Disadvantaged Communities</v>
          </cell>
          <cell r="D43" t="str">
            <v>Metric</v>
          </cell>
          <cell r="E43" t="str">
            <v>MDA Team</v>
          </cell>
          <cell r="F43">
            <v>652530000</v>
          </cell>
          <cell r="I43" t="str">
            <v>N/A</v>
          </cell>
          <cell r="J43" t="str">
            <v>N/A</v>
          </cell>
        </row>
        <row r="44">
          <cell r="A44">
            <v>23</v>
          </cell>
          <cell r="B44" t="str">
            <v>Portfolio</v>
          </cell>
          <cell r="C44" t="str">
            <v>Lifecycle ex-ante Therm gross in Disadvantaged Communities</v>
          </cell>
          <cell r="D44" t="str">
            <v>Metric</v>
          </cell>
          <cell r="E44" t="str">
            <v>MDA Team</v>
          </cell>
          <cell r="F44">
            <v>26320000</v>
          </cell>
          <cell r="I44" t="str">
            <v>N/A</v>
          </cell>
          <cell r="J44" t="str">
            <v>N/A</v>
          </cell>
        </row>
        <row r="45">
          <cell r="A45">
            <v>24</v>
          </cell>
          <cell r="B45" t="str">
            <v>Portfolio</v>
          </cell>
          <cell r="C45" t="str">
            <v>Lifecycle ex-ante Therm net in Disadvantaged Communities</v>
          </cell>
          <cell r="D45" t="str">
            <v>Metric</v>
          </cell>
          <cell r="E45" t="str">
            <v>MDA Team</v>
          </cell>
          <cell r="F45">
            <v>15230000</v>
          </cell>
          <cell r="I45" t="str">
            <v>N/A</v>
          </cell>
          <cell r="J45" t="str">
            <v>N/A</v>
          </cell>
        </row>
        <row r="46">
          <cell r="A46">
            <v>25</v>
          </cell>
          <cell r="B46" t="str">
            <v>Portfolio</v>
          </cell>
          <cell r="C46" t="str">
            <v>First year annual kW gross in Hard-to-Reach Markets</v>
          </cell>
          <cell r="D46" t="str">
            <v>Metric</v>
          </cell>
          <cell r="E46" t="str">
            <v>MDA Team</v>
          </cell>
          <cell r="F46">
            <v>35780</v>
          </cell>
          <cell r="I46" t="str">
            <v>N/A</v>
          </cell>
          <cell r="J46" t="str">
            <v>N/A</v>
          </cell>
        </row>
        <row r="47">
          <cell r="A47">
            <v>26</v>
          </cell>
          <cell r="B47" t="str">
            <v>Portfolio</v>
          </cell>
          <cell r="C47" t="str">
            <v>First year annual kW net in Hard-to-Reach Markets</v>
          </cell>
          <cell r="D47" t="str">
            <v>Metric</v>
          </cell>
          <cell r="E47" t="str">
            <v>MDA Team</v>
          </cell>
          <cell r="F47">
            <v>22660</v>
          </cell>
          <cell r="I47" t="str">
            <v>N/A</v>
          </cell>
          <cell r="J47" t="str">
            <v>N/A</v>
          </cell>
        </row>
        <row r="48">
          <cell r="A48">
            <v>27</v>
          </cell>
          <cell r="B48" t="str">
            <v>Portfolio</v>
          </cell>
          <cell r="C48" t="str">
            <v>First year annual kWh gross in Hard-to-Reach Markets</v>
          </cell>
          <cell r="D48" t="str">
            <v>Metric</v>
          </cell>
          <cell r="E48" t="str">
            <v>MDA Team</v>
          </cell>
          <cell r="F48">
            <v>166790000</v>
          </cell>
          <cell r="I48" t="str">
            <v>N/A</v>
          </cell>
          <cell r="J48" t="str">
            <v>N/A</v>
          </cell>
        </row>
        <row r="49">
          <cell r="A49">
            <v>28</v>
          </cell>
          <cell r="B49" t="str">
            <v>Portfolio</v>
          </cell>
          <cell r="C49" t="str">
            <v>First year annual kWh net in Hard-to-Reach Markets</v>
          </cell>
          <cell r="D49" t="str">
            <v>Metric</v>
          </cell>
          <cell r="E49" t="str">
            <v>MDA Team</v>
          </cell>
          <cell r="F49">
            <v>105290000</v>
          </cell>
          <cell r="I49" t="str">
            <v>N/A</v>
          </cell>
          <cell r="J49" t="str">
            <v>N/A</v>
          </cell>
        </row>
        <row r="50">
          <cell r="A50">
            <v>29</v>
          </cell>
          <cell r="B50" t="str">
            <v>Portfolio</v>
          </cell>
          <cell r="C50" t="str">
            <v>First year annual Therm gross in Hard-to-Reach Markets</v>
          </cell>
          <cell r="D50" t="str">
            <v>Metric</v>
          </cell>
          <cell r="E50" t="str">
            <v>MDA Team</v>
          </cell>
          <cell r="F50">
            <v>5570000</v>
          </cell>
          <cell r="I50" t="str">
            <v>N/A</v>
          </cell>
          <cell r="J50" t="str">
            <v>N/A</v>
          </cell>
        </row>
        <row r="51">
          <cell r="A51">
            <v>30</v>
          </cell>
          <cell r="B51" t="str">
            <v>Portfolio</v>
          </cell>
          <cell r="C51" t="str">
            <v>First year annual Therm net in Hard-to-Reach Markets</v>
          </cell>
          <cell r="D51" t="str">
            <v>Metric</v>
          </cell>
          <cell r="E51" t="str">
            <v>MDA Team</v>
          </cell>
          <cell r="F51">
            <v>3260000</v>
          </cell>
          <cell r="I51" t="str">
            <v>N/A</v>
          </cell>
          <cell r="J51" t="str">
            <v>N/A</v>
          </cell>
        </row>
        <row r="52">
          <cell r="A52">
            <v>31</v>
          </cell>
          <cell r="B52" t="str">
            <v>Portfolio</v>
          </cell>
          <cell r="C52" t="str">
            <v>Lifecycle ex-ante kW gross in Hard-to-Reach Markets</v>
          </cell>
          <cell r="D52" t="str">
            <v>Metric</v>
          </cell>
          <cell r="E52" t="str">
            <v>MDA Team</v>
          </cell>
          <cell r="F52">
            <v>568830</v>
          </cell>
          <cell r="I52" t="str">
            <v>N/A</v>
          </cell>
          <cell r="J52" t="str">
            <v>N/A</v>
          </cell>
        </row>
        <row r="53">
          <cell r="A53">
            <v>32</v>
          </cell>
          <cell r="B53" t="str">
            <v>Portfolio</v>
          </cell>
          <cell r="C53" t="str">
            <v>Lifecycle ex-ante kW net in Hard-to-Reach Markets</v>
          </cell>
          <cell r="D53" t="str">
            <v>Metric</v>
          </cell>
          <cell r="E53" t="str">
            <v>MDA Team</v>
          </cell>
          <cell r="F53">
            <v>419520</v>
          </cell>
          <cell r="I53" t="str">
            <v>N/A</v>
          </cell>
          <cell r="J53" t="str">
            <v>N/A</v>
          </cell>
        </row>
        <row r="54">
          <cell r="A54">
            <v>33</v>
          </cell>
          <cell r="B54" t="str">
            <v>Portfolio</v>
          </cell>
          <cell r="C54" t="str">
            <v>Lifecycle ex-ante kWh gross in Hard-to-Reach Markets</v>
          </cell>
          <cell r="D54" t="str">
            <v>Metric</v>
          </cell>
          <cell r="E54" t="str">
            <v>MDA Team</v>
          </cell>
          <cell r="F54">
            <v>1768050000</v>
          </cell>
          <cell r="I54" t="str">
            <v>N/A</v>
          </cell>
          <cell r="J54" t="str">
            <v>N/A</v>
          </cell>
        </row>
        <row r="55">
          <cell r="A55">
            <v>34</v>
          </cell>
          <cell r="B55" t="str">
            <v>Portfolio</v>
          </cell>
          <cell r="C55" t="str">
            <v>Lifecycle ex-ante kWh net in Hard-to-Reach Markets</v>
          </cell>
          <cell r="D55" t="str">
            <v>Metric</v>
          </cell>
          <cell r="E55" t="str">
            <v>MDA Team</v>
          </cell>
          <cell r="F55">
            <v>1110890000</v>
          </cell>
          <cell r="I55" t="str">
            <v>N/A</v>
          </cell>
          <cell r="J55" t="str">
            <v>N/A</v>
          </cell>
        </row>
        <row r="56">
          <cell r="A56">
            <v>35</v>
          </cell>
          <cell r="B56" t="str">
            <v>Portfolio</v>
          </cell>
          <cell r="C56" t="str">
            <v>Lifecycle ex-ante Therm gross in Hard-to-Reach Markets</v>
          </cell>
          <cell r="D56" t="str">
            <v>Metric</v>
          </cell>
          <cell r="E56" t="str">
            <v>MDA Team</v>
          </cell>
          <cell r="F56">
            <v>62850000</v>
          </cell>
          <cell r="I56" t="str">
            <v>N/A</v>
          </cell>
          <cell r="J56" t="str">
            <v>N/A</v>
          </cell>
        </row>
        <row r="57">
          <cell r="A57">
            <v>36</v>
          </cell>
          <cell r="B57" t="str">
            <v>Portfolio</v>
          </cell>
          <cell r="C57" t="str">
            <v>Lifecycle ex-ante Therm net in Hard-to-Reach Markets</v>
          </cell>
          <cell r="D57" t="str">
            <v>Metric</v>
          </cell>
          <cell r="E57" t="str">
            <v>MDA Team</v>
          </cell>
          <cell r="F57">
            <v>36410000</v>
          </cell>
          <cell r="I57" t="str">
            <v>N/A</v>
          </cell>
          <cell r="J57" t="str">
            <v>N/A</v>
          </cell>
        </row>
        <row r="58">
          <cell r="A58">
            <v>56</v>
          </cell>
          <cell r="B58" t="str">
            <v>Res - SF</v>
          </cell>
          <cell r="C58" t="str">
            <v>Average lifecycle ex-ante kW net savings per participant - Opt-in - Downstream</v>
          </cell>
          <cell r="D58" t="str">
            <v>Metric</v>
          </cell>
          <cell r="E58" t="str">
            <v>MDA Team</v>
          </cell>
          <cell r="G58" t="str">
            <v>Confirm method with Res</v>
          </cell>
          <cell r="H58">
            <v>51479</v>
          </cell>
          <cell r="I58" t="str">
            <v>Lifecycle ex-ante kW net from downstream</v>
          </cell>
          <cell r="J58" t="str">
            <v>Total number of downstream participants</v>
          </cell>
        </row>
        <row r="59">
          <cell r="A59">
            <v>57</v>
          </cell>
          <cell r="B59" t="str">
            <v>Res - SF</v>
          </cell>
          <cell r="C59" t="str">
            <v>Average lifecycle ex-ante kWh net savings per participant - Opt-in - Downstream</v>
          </cell>
          <cell r="D59" t="str">
            <v>Metric</v>
          </cell>
          <cell r="E59" t="str">
            <v>MDA Team</v>
          </cell>
          <cell r="G59" t="str">
            <v>Confirm method with Res</v>
          </cell>
          <cell r="H59">
            <v>51479</v>
          </cell>
          <cell r="I59" t="str">
            <v>Lifecycle ex-ante kWh net from downstream</v>
          </cell>
          <cell r="J59" t="str">
            <v>Total number of downstream participants</v>
          </cell>
        </row>
        <row r="60">
          <cell r="A60">
            <v>58</v>
          </cell>
          <cell r="B60" t="str">
            <v>Res - SF</v>
          </cell>
          <cell r="C60" t="str">
            <v>Average lifecycle ex-ante Therm net savings per participant - Opt-in - Downstream</v>
          </cell>
          <cell r="D60" t="str">
            <v>Metric</v>
          </cell>
          <cell r="E60" t="str">
            <v>MDA Team</v>
          </cell>
          <cell r="G60" t="str">
            <v>Confirm method with Res</v>
          </cell>
          <cell r="H60">
            <v>51479</v>
          </cell>
          <cell r="I60" t="str">
            <v>Lifecycle ex-ante therm net from downstream</v>
          </cell>
          <cell r="J60" t="str">
            <v>Total number of downstream participants</v>
          </cell>
        </row>
        <row r="61">
          <cell r="A61">
            <v>59</v>
          </cell>
          <cell r="B61" t="str">
            <v>Res - SF</v>
          </cell>
          <cell r="C61" t="str">
            <v>Average lifecycle ex-ante kW net savings per participant - Opt-in - Midstream</v>
          </cell>
          <cell r="D61" t="str">
            <v>Metric</v>
          </cell>
          <cell r="E61" t="str">
            <v>MDA Team</v>
          </cell>
          <cell r="G61" t="str">
            <v>Confirm method with Res</v>
          </cell>
          <cell r="H61" t="str">
            <v>N/A</v>
          </cell>
          <cell r="I61" t="str">
            <v>Lifecycle ex-ante kW net from midstream</v>
          </cell>
          <cell r="J61" t="str">
            <v>Total number of midstream participants</v>
          </cell>
        </row>
        <row r="62">
          <cell r="A62">
            <v>60</v>
          </cell>
          <cell r="B62" t="str">
            <v>Res - SF</v>
          </cell>
          <cell r="C62" t="str">
            <v>Average lifecycle ex-ante kWh net savings per participant - Opt-in - Midstream</v>
          </cell>
          <cell r="D62" t="str">
            <v>Metric</v>
          </cell>
          <cell r="E62" t="str">
            <v>MDA Team</v>
          </cell>
          <cell r="G62" t="str">
            <v>Confirm method with Res</v>
          </cell>
          <cell r="H62" t="str">
            <v>N/A</v>
          </cell>
          <cell r="I62" t="str">
            <v>Lifecycle ex-ante kWh net from midstream</v>
          </cell>
          <cell r="J62" t="str">
            <v>Total number of midstream participants</v>
          </cell>
        </row>
        <row r="63">
          <cell r="A63">
            <v>61</v>
          </cell>
          <cell r="B63" t="str">
            <v>Res - SF</v>
          </cell>
          <cell r="C63" t="str">
            <v>Average lifecycle ex-ante Therm net savings per participant - Opt-in - Midstream</v>
          </cell>
          <cell r="D63" t="str">
            <v>Metric</v>
          </cell>
          <cell r="E63" t="str">
            <v>MDA Team</v>
          </cell>
          <cell r="G63" t="str">
            <v>Confirm method with Res</v>
          </cell>
          <cell r="H63" t="str">
            <v>N/A</v>
          </cell>
          <cell r="I63" t="str">
            <v>Lifecycle ex-ante therm net from midstream</v>
          </cell>
          <cell r="J63" t="str">
            <v>Total number of midstream participants</v>
          </cell>
        </row>
        <row r="64">
          <cell r="A64">
            <v>62</v>
          </cell>
          <cell r="B64" t="str">
            <v>Res - SF</v>
          </cell>
          <cell r="C64" t="str">
            <v>Average lifecycle ex-ante kW net savings per participant - Opt-out</v>
          </cell>
          <cell r="D64" t="str">
            <v>Metric</v>
          </cell>
          <cell r="E64" t="str">
            <v>MDA Team</v>
          </cell>
          <cell r="G64" t="str">
            <v>Confirm method with Res</v>
          </cell>
          <cell r="H64">
            <v>1580631</v>
          </cell>
          <cell r="I64" t="str">
            <v>Lifecycle ex-ante kW net from opt-out</v>
          </cell>
          <cell r="J64" t="str">
            <v>Total number of opt-out participants</v>
          </cell>
        </row>
        <row r="65">
          <cell r="A65">
            <v>63</v>
          </cell>
          <cell r="B65" t="str">
            <v>Res - SF</v>
          </cell>
          <cell r="C65" t="str">
            <v>Average lifecycle ex-ante kWh net savings per participant - Opt-out</v>
          </cell>
          <cell r="D65" t="str">
            <v>Metric</v>
          </cell>
          <cell r="E65" t="str">
            <v>MDA Team</v>
          </cell>
          <cell r="G65" t="str">
            <v>Confirm method with Res</v>
          </cell>
          <cell r="H65">
            <v>1580631</v>
          </cell>
          <cell r="I65" t="str">
            <v>Lifecycle ex-ante kWh net from opt-out</v>
          </cell>
          <cell r="J65" t="str">
            <v>Total number of opt-out participants</v>
          </cell>
        </row>
        <row r="66">
          <cell r="A66">
            <v>64</v>
          </cell>
          <cell r="B66" t="str">
            <v>Res - SF</v>
          </cell>
          <cell r="C66" t="str">
            <v>Average lifecycle ex-ante Therm net savings per participant - Opt-out</v>
          </cell>
          <cell r="D66" t="str">
            <v>Metric</v>
          </cell>
          <cell r="E66" t="str">
            <v>MDA Team</v>
          </cell>
          <cell r="G66" t="str">
            <v>Confirm method with Res</v>
          </cell>
          <cell r="H66">
            <v>1580631</v>
          </cell>
          <cell r="I66" t="str">
            <v>Lifecycle ex-ante therm net from opt-out</v>
          </cell>
          <cell r="J66" t="str">
            <v>Total number of opt-out participants</v>
          </cell>
        </row>
        <row r="67">
          <cell r="A67">
            <v>65</v>
          </cell>
          <cell r="B67" t="str">
            <v>Res - SF</v>
          </cell>
          <cell r="C67" t="str">
            <v>Average lifecycle ex-ante kW net savings per participant - Opt-in - Upstream</v>
          </cell>
          <cell r="D67" t="str">
            <v>Metric</v>
          </cell>
          <cell r="E67" t="str">
            <v>MDA Team</v>
          </cell>
          <cell r="G67" t="str">
            <v>Confirm method with Res</v>
          </cell>
          <cell r="H67" t="str">
            <v>N/A</v>
          </cell>
          <cell r="I67" t="str">
            <v>Lifecycle ex-ante kW net from upstream</v>
          </cell>
          <cell r="J67" t="str">
            <v>Total number of upstream participants</v>
          </cell>
        </row>
        <row r="68">
          <cell r="A68">
            <v>66</v>
          </cell>
          <cell r="B68" t="str">
            <v>Res - SF</v>
          </cell>
          <cell r="C68" t="str">
            <v>Average lifecycle ex-ante kWh net savings per participant - Opt-in - Upstream</v>
          </cell>
          <cell r="D68" t="str">
            <v>Metric</v>
          </cell>
          <cell r="E68" t="str">
            <v>MDA Team</v>
          </cell>
          <cell r="G68" t="str">
            <v>Confirm method with Res</v>
          </cell>
          <cell r="H68" t="str">
            <v>N/A</v>
          </cell>
          <cell r="I68" t="str">
            <v>Lifecycle ex-ante kWh net from upstream</v>
          </cell>
          <cell r="J68" t="str">
            <v>Total number of upstream participants</v>
          </cell>
        </row>
        <row r="69">
          <cell r="A69">
            <v>67</v>
          </cell>
          <cell r="B69" t="str">
            <v>Res - SF</v>
          </cell>
          <cell r="C69" t="str">
            <v>Average lifecycle ex-ante Therm net savings per participant - Opt-in - Upstream</v>
          </cell>
          <cell r="D69" t="str">
            <v>Metric</v>
          </cell>
          <cell r="E69" t="str">
            <v>MDA Team</v>
          </cell>
          <cell r="G69" t="str">
            <v>Confirm method with Res</v>
          </cell>
          <cell r="H69" t="str">
            <v>N/A</v>
          </cell>
          <cell r="I69" t="str">
            <v>Lifecycle ex-ante therm net from upstream</v>
          </cell>
          <cell r="J69" t="str">
            <v>Total number of upstream participants</v>
          </cell>
        </row>
        <row r="70">
          <cell r="A70">
            <v>68</v>
          </cell>
          <cell r="B70" t="str">
            <v>Res - SF</v>
          </cell>
          <cell r="C70" t="str">
            <v>Percent of participation relative to eligible population</v>
          </cell>
          <cell r="D70" t="str">
            <v>Metric</v>
          </cell>
          <cell r="E70" t="str">
            <v>MDA Team</v>
          </cell>
          <cell r="G70">
            <v>51479</v>
          </cell>
          <cell r="H70">
            <v>4503484</v>
          </cell>
          <cell r="I70" t="str">
            <v># of Participating Customers</v>
          </cell>
          <cell r="J70" t="str">
            <v>Total # of Sector Customers</v>
          </cell>
        </row>
        <row r="71">
          <cell r="A71">
            <v>69</v>
          </cell>
          <cell r="B71" t="str">
            <v>Res - SF</v>
          </cell>
          <cell r="C71" t="str">
            <v>Percent of participation in disadvantaged communities</v>
          </cell>
          <cell r="D71" t="str">
            <v>Metric</v>
          </cell>
          <cell r="E71" t="str">
            <v>MDA Team</v>
          </cell>
          <cell r="G71">
            <v>11957</v>
          </cell>
          <cell r="H71">
            <v>545519</v>
          </cell>
          <cell r="I71" t="str">
            <v># of Participating DAC Customers</v>
          </cell>
          <cell r="J71" t="str">
            <v>Total # of DAC Customers</v>
          </cell>
        </row>
        <row r="72">
          <cell r="A72">
            <v>70</v>
          </cell>
          <cell r="B72" t="str">
            <v>Res - SF</v>
          </cell>
          <cell r="C72" t="str">
            <v>Percent of participation by customers defined as “hard‐to‐reach”</v>
          </cell>
          <cell r="D72" t="str">
            <v>Metric</v>
          </cell>
          <cell r="E72" t="str">
            <v>MDA Team</v>
          </cell>
          <cell r="G72">
            <v>13005</v>
          </cell>
          <cell r="H72">
            <v>677272</v>
          </cell>
          <cell r="I72" t="str">
            <v># of Participating HTR Customers</v>
          </cell>
          <cell r="J72" t="str">
            <v>Total # of HTR Customers</v>
          </cell>
        </row>
        <row r="73">
          <cell r="A73">
            <v>77</v>
          </cell>
          <cell r="B73" t="str">
            <v>Res - SF</v>
          </cell>
          <cell r="C73" t="str">
            <v>Average electric and gas usage per household</v>
          </cell>
          <cell r="D73" t="str">
            <v>Indicator</v>
          </cell>
          <cell r="E73" t="str">
            <v>Unknown</v>
          </cell>
          <cell r="G73">
            <v>0</v>
          </cell>
          <cell r="H73">
            <v>4503484</v>
          </cell>
          <cell r="I73" t="str">
            <v>Total sector energy usage (Btu)</v>
          </cell>
          <cell r="J73" t="str">
            <v>Total # of sector customers</v>
          </cell>
        </row>
        <row r="74">
          <cell r="A74">
            <v>115</v>
          </cell>
          <cell r="B74" t="str">
            <v>Res - MF</v>
          </cell>
          <cell r="C74" t="str">
            <v>Lifecycle ex-ante kW net per project (building)</v>
          </cell>
          <cell r="D74" t="str">
            <v>Metric</v>
          </cell>
          <cell r="E74" t="str">
            <v>MDA Team</v>
          </cell>
          <cell r="H74">
            <v>56986.82</v>
          </cell>
          <cell r="I74" t="str">
            <v>Lifecycle ex-ante kW net (Non-Audit)</v>
          </cell>
          <cell r="J74" t="str">
            <v>Total # of Sector buildings</v>
          </cell>
        </row>
        <row r="75">
          <cell r="A75">
            <v>116</v>
          </cell>
          <cell r="B75" t="str">
            <v>Res - MF</v>
          </cell>
          <cell r="C75" t="str">
            <v>Lifecycle ex-ante kWh net per project (building)</v>
          </cell>
          <cell r="D75" t="str">
            <v>Metric</v>
          </cell>
          <cell r="E75" t="str">
            <v>MDA Team</v>
          </cell>
          <cell r="H75">
            <v>56986.82</v>
          </cell>
          <cell r="I75" t="str">
            <v>Lifecycle ex-ante kWh net (Non-Audit)</v>
          </cell>
          <cell r="J75" t="str">
            <v>Total # of Sector buildings</v>
          </cell>
        </row>
        <row r="76">
          <cell r="A76">
            <v>117</v>
          </cell>
          <cell r="B76" t="str">
            <v>Res - MF</v>
          </cell>
          <cell r="C76" t="str">
            <v>Lifecycle ex-ante Therm net per project (building)</v>
          </cell>
          <cell r="D76" t="str">
            <v>Metric</v>
          </cell>
          <cell r="E76" t="str">
            <v>MDA Team</v>
          </cell>
          <cell r="H76">
            <v>56986.82</v>
          </cell>
          <cell r="I76" t="str">
            <v>Lifecycle ex-ante Therm net (Non-Audit)</v>
          </cell>
          <cell r="J76" t="str">
            <v>Total # of Sector buildings</v>
          </cell>
        </row>
        <row r="77">
          <cell r="A77">
            <v>118</v>
          </cell>
          <cell r="B77" t="str">
            <v>Res - MF</v>
          </cell>
          <cell r="C77" t="str">
            <v>Lifecycle ex-ante kW net per project (property)</v>
          </cell>
          <cell r="D77" t="str">
            <v>Metric</v>
          </cell>
          <cell r="E77" t="str">
            <v>N/A</v>
          </cell>
          <cell r="H77">
            <v>9482</v>
          </cell>
          <cell r="I77" t="str">
            <v>Lifecycle ex-ante kW net (Non-Audit)</v>
          </cell>
          <cell r="J77" t="str">
            <v>Total # of projects</v>
          </cell>
        </row>
        <row r="78">
          <cell r="A78">
            <v>119</v>
          </cell>
          <cell r="B78" t="str">
            <v>Res - MF</v>
          </cell>
          <cell r="C78" t="str">
            <v>Lifecycle ex-ante kWh net per project (property)</v>
          </cell>
          <cell r="D78" t="str">
            <v>Metric</v>
          </cell>
          <cell r="E78" t="str">
            <v>N/A</v>
          </cell>
          <cell r="H78">
            <v>9482</v>
          </cell>
          <cell r="I78" t="str">
            <v>Lifecycle ex-ante kWh net (Non-Audit)</v>
          </cell>
          <cell r="J78" t="str">
            <v>Total # of projects</v>
          </cell>
        </row>
        <row r="79">
          <cell r="A79">
            <v>120</v>
          </cell>
          <cell r="B79" t="str">
            <v>Res - MF</v>
          </cell>
          <cell r="C79" t="str">
            <v>Lifecycle ex-ante Therm net per project (property)</v>
          </cell>
          <cell r="D79" t="str">
            <v>Metric</v>
          </cell>
          <cell r="E79" t="str">
            <v>N/A</v>
          </cell>
          <cell r="H79">
            <v>9482</v>
          </cell>
          <cell r="I79" t="str">
            <v>Lifecycle ex-ante Therm net (Non-Audit)</v>
          </cell>
          <cell r="J79" t="str">
            <v>Total # of projects</v>
          </cell>
        </row>
        <row r="80">
          <cell r="A80">
            <v>121</v>
          </cell>
          <cell r="B80" t="str">
            <v>Res - MF</v>
          </cell>
          <cell r="C80" t="str">
            <v>Lifecycle ex-ante kW net per square foot</v>
          </cell>
          <cell r="D80" t="str">
            <v>Metric</v>
          </cell>
          <cell r="E80" t="str">
            <v>MDA Team</v>
          </cell>
          <cell r="H80">
            <v>5752047.954685661</v>
          </cell>
          <cell r="I80" t="str">
            <v>Lifecycle ex-ante kW net</v>
          </cell>
          <cell r="J80" t="str">
            <v>Sq. ft. of participating customers</v>
          </cell>
        </row>
        <row r="81">
          <cell r="A81">
            <v>122</v>
          </cell>
          <cell r="B81" t="str">
            <v>Res - MF</v>
          </cell>
          <cell r="C81" t="str">
            <v>Lifecycle ex-ante kWh net per square foot</v>
          </cell>
          <cell r="D81" t="str">
            <v>Metric</v>
          </cell>
          <cell r="E81" t="str">
            <v>MDA Team</v>
          </cell>
          <cell r="H81">
            <v>5752047.954685661</v>
          </cell>
          <cell r="I81" t="str">
            <v>Lifecycle ex-ante kWh net</v>
          </cell>
          <cell r="J81" t="str">
            <v>Sq. ft. of participating customers</v>
          </cell>
        </row>
        <row r="82">
          <cell r="A82">
            <v>123</v>
          </cell>
          <cell r="B82" t="str">
            <v>Res - MF</v>
          </cell>
          <cell r="C82" t="str">
            <v>Lifecycle ex-ante Therm net per square foot</v>
          </cell>
          <cell r="D82" t="str">
            <v>Metric</v>
          </cell>
          <cell r="E82" t="str">
            <v>MDA Team</v>
          </cell>
          <cell r="H82">
            <v>5752047.954685661</v>
          </cell>
          <cell r="I82" t="str">
            <v>Lifecycle ex-ante Therm net</v>
          </cell>
          <cell r="J82" t="str">
            <v>Sq. ft. of participating customers</v>
          </cell>
        </row>
        <row r="83">
          <cell r="A83">
            <v>124</v>
          </cell>
          <cell r="B83" t="str">
            <v>Res - MF</v>
          </cell>
          <cell r="C83" t="str">
            <v>Percent of participation relative to eligible population by property</v>
          </cell>
          <cell r="D83" t="str">
            <v>Metric</v>
          </cell>
          <cell r="E83" t="str">
            <v>MDA Team</v>
          </cell>
          <cell r="G83">
            <v>9482</v>
          </cell>
          <cell r="H83">
            <v>2203804</v>
          </cell>
          <cell r="I83" t="str">
            <v>Total # of projects</v>
          </cell>
          <cell r="J83" t="str">
            <v>Total # of Sector Customers</v>
          </cell>
        </row>
        <row r="84">
          <cell r="A84">
            <v>125</v>
          </cell>
          <cell r="B84" t="str">
            <v>Res - MF</v>
          </cell>
          <cell r="C84" t="str">
            <v>Percent of participation relative to eligible population by unit</v>
          </cell>
          <cell r="D84" t="str">
            <v>Metric</v>
          </cell>
          <cell r="E84" t="str">
            <v>MDA Team</v>
          </cell>
          <cell r="G84">
            <v>6317</v>
          </cell>
          <cell r="H84">
            <v>2203804</v>
          </cell>
          <cell r="I84" t="str">
            <v># of Participating Customers</v>
          </cell>
          <cell r="J84" t="str">
            <v>Total # of Sector Customers</v>
          </cell>
        </row>
        <row r="85">
          <cell r="A85">
            <v>126</v>
          </cell>
          <cell r="B85" t="str">
            <v>Res - MF</v>
          </cell>
          <cell r="C85" t="str">
            <v xml:space="preserve"> Percent of square feet of eligible population participating (by property)</v>
          </cell>
          <cell r="D85" t="str">
            <v>Metric</v>
          </cell>
          <cell r="E85" t="str">
            <v>MDA Team</v>
          </cell>
          <cell r="G85">
            <v>5752047.954685661</v>
          </cell>
          <cell r="H85">
            <v>2006709876.6389234</v>
          </cell>
          <cell r="I85" t="str">
            <v>Sq. ft. of participating customers</v>
          </cell>
          <cell r="J85" t="str">
            <v>Total sq. ft. of all sector customers</v>
          </cell>
        </row>
        <row r="86">
          <cell r="A86">
            <v>127</v>
          </cell>
          <cell r="B86" t="str">
            <v>Res - MF</v>
          </cell>
          <cell r="C86" t="str">
            <v>Percent of participation in disadvantaged communities</v>
          </cell>
          <cell r="D86" t="str">
            <v>Metric</v>
          </cell>
          <cell r="E86" t="str">
            <v>MDA Team</v>
          </cell>
          <cell r="G86">
            <v>2313</v>
          </cell>
          <cell r="H86">
            <v>265155</v>
          </cell>
          <cell r="I86" t="str">
            <v># of Participating DAC Customers</v>
          </cell>
          <cell r="J86" t="str">
            <v>Total # of DAC Customers</v>
          </cell>
        </row>
        <row r="87">
          <cell r="A87">
            <v>128</v>
          </cell>
          <cell r="B87" t="str">
            <v>Res - MF</v>
          </cell>
          <cell r="C87" t="str">
            <v xml:space="preserve"> Percent of participation by customers defined as “hard‐to‐reach”</v>
          </cell>
          <cell r="D87" t="str">
            <v>Metric</v>
          </cell>
          <cell r="E87" t="str">
            <v>MDA Team</v>
          </cell>
          <cell r="G87">
            <v>1984</v>
          </cell>
          <cell r="H87">
            <v>214995</v>
          </cell>
          <cell r="I87" t="str">
            <v># of Participating HTR Customers</v>
          </cell>
          <cell r="J87" t="str">
            <v>Total # of HTR Customers</v>
          </cell>
        </row>
        <row r="88">
          <cell r="A88">
            <v>129</v>
          </cell>
          <cell r="B88" t="str">
            <v>Res - MF</v>
          </cell>
          <cell r="C88" t="str">
            <v>Percent of benchmarked multi‐family properties relative to the eligible population</v>
          </cell>
          <cell r="D88" t="str">
            <v>Metric</v>
          </cell>
          <cell r="E88" t="str">
            <v>MDA Team</v>
          </cell>
          <cell r="G88">
            <v>428</v>
          </cell>
          <cell r="H88">
            <v>2203804</v>
          </cell>
          <cell r="I88" t="str">
            <v>Total # of benchmarked customers</v>
          </cell>
          <cell r="J88" t="str">
            <v>Total # of Sector Customers</v>
          </cell>
        </row>
        <row r="89">
          <cell r="A89">
            <v>130</v>
          </cell>
          <cell r="B89" t="str">
            <v>Res - MF</v>
          </cell>
          <cell r="C89" t="str">
            <v>Percent of benchmarking by properties defined as “hard‐to‐reach”</v>
          </cell>
          <cell r="D89" t="str">
            <v>Metric</v>
          </cell>
          <cell r="E89" t="str">
            <v>MDA Team</v>
          </cell>
          <cell r="G89">
            <v>56</v>
          </cell>
          <cell r="H89">
            <v>214995</v>
          </cell>
          <cell r="I89" t="str">
            <v># of benchmarked HTR customers</v>
          </cell>
          <cell r="J89" t="str">
            <v>Total # of HTR Customers</v>
          </cell>
        </row>
        <row r="90">
          <cell r="A90">
            <v>137</v>
          </cell>
          <cell r="B90" t="str">
            <v>Res - MF</v>
          </cell>
          <cell r="C90" t="str">
            <v>Average electric and gas usage per unit</v>
          </cell>
          <cell r="D90" t="str">
            <v>Indicator</v>
          </cell>
          <cell r="E90" t="str">
            <v>MDA Team</v>
          </cell>
          <cell r="G90">
            <v>0</v>
          </cell>
          <cell r="H90">
            <v>2006709876.6389234</v>
          </cell>
          <cell r="I90" t="str">
            <v>Total sector energy usage (Btu)</v>
          </cell>
          <cell r="J90" t="str">
            <v>Total sq. ft. of all sector customers</v>
          </cell>
        </row>
        <row r="91">
          <cell r="A91">
            <v>138</v>
          </cell>
          <cell r="B91" t="str">
            <v>Res - MF</v>
          </cell>
          <cell r="C91" t="str">
            <v>Average electric and gas usage per square foot</v>
          </cell>
          <cell r="D91" t="str">
            <v>Indicator</v>
          </cell>
          <cell r="E91" t="str">
            <v>MDA Team</v>
          </cell>
          <cell r="G91">
            <v>0</v>
          </cell>
          <cell r="H91">
            <v>2006709876.6389234</v>
          </cell>
          <cell r="I91" t="str">
            <v>Total sector energy usage (Btu)</v>
          </cell>
          <cell r="J91" t="str">
            <v>Total sq. ft. of all sector customers</v>
          </cell>
        </row>
        <row r="92">
          <cell r="A92">
            <v>151</v>
          </cell>
          <cell r="B92" t="str">
            <v>Commercial</v>
          </cell>
          <cell r="C92" t="str">
            <v xml:space="preserve">Percent first year annual kW gross </v>
          </cell>
          <cell r="D92" t="str">
            <v>Metric</v>
          </cell>
          <cell r="E92" t="str">
            <v>MDA Team</v>
          </cell>
          <cell r="H92">
            <v>13715716.945500001</v>
          </cell>
          <cell r="I92" t="str">
            <v>First year annual kW gross</v>
          </cell>
          <cell r="J92" t="str">
            <v>Total annual sector max demand (kW)</v>
          </cell>
        </row>
        <row r="93">
          <cell r="A93">
            <v>152</v>
          </cell>
          <cell r="B93" t="str">
            <v>Commercial</v>
          </cell>
          <cell r="C93" t="str">
            <v>Percent first year annual kW net</v>
          </cell>
          <cell r="D93" t="str">
            <v>Metric</v>
          </cell>
          <cell r="E93" t="str">
            <v>MDA Team</v>
          </cell>
          <cell r="H93">
            <v>13715716.945500001</v>
          </cell>
          <cell r="I93" t="str">
            <v>First year annual kW net</v>
          </cell>
          <cell r="J93" t="str">
            <v>Total annual sector max demand (kW)</v>
          </cell>
        </row>
        <row r="94">
          <cell r="A94">
            <v>153</v>
          </cell>
          <cell r="B94" t="str">
            <v>Commercial</v>
          </cell>
          <cell r="C94" t="str">
            <v>Percent first year annual kWh gross</v>
          </cell>
          <cell r="D94" t="str">
            <v>Metric</v>
          </cell>
          <cell r="E94" t="str">
            <v>MDA Team</v>
          </cell>
          <cell r="H94">
            <v>33942505759.975399</v>
          </cell>
          <cell r="I94" t="str">
            <v>First year annual kWh gross</v>
          </cell>
          <cell r="J94" t="str">
            <v>Total annual sector elec usage (kWh)</v>
          </cell>
        </row>
        <row r="95">
          <cell r="A95">
            <v>154</v>
          </cell>
          <cell r="B95" t="str">
            <v>Commercial</v>
          </cell>
          <cell r="C95" t="str">
            <v>Percent first year annual kWh net</v>
          </cell>
          <cell r="D95" t="str">
            <v>Metric</v>
          </cell>
          <cell r="E95" t="str">
            <v>MDA Team</v>
          </cell>
          <cell r="H95">
            <v>33942505759.975399</v>
          </cell>
          <cell r="I95" t="str">
            <v>First year annual kWh net</v>
          </cell>
          <cell r="J95" t="str">
            <v>Total annual sector elec usage (kWh)</v>
          </cell>
        </row>
        <row r="96">
          <cell r="A96">
            <v>155</v>
          </cell>
          <cell r="B96" t="str">
            <v>Commercial</v>
          </cell>
          <cell r="C96" t="str">
            <v>Percent first year annual Therm gross</v>
          </cell>
          <cell r="D96" t="str">
            <v>Metric</v>
          </cell>
          <cell r="E96" t="str">
            <v>MDA Team</v>
          </cell>
          <cell r="H96">
            <v>1099729865.5796299</v>
          </cell>
          <cell r="I96" t="str">
            <v>First year annual Therm gross</v>
          </cell>
          <cell r="J96" t="str">
            <v>Total annual sector gas usage (therms)</v>
          </cell>
        </row>
        <row r="97">
          <cell r="A97">
            <v>156</v>
          </cell>
          <cell r="B97" t="str">
            <v>Commercial</v>
          </cell>
          <cell r="C97" t="str">
            <v>Percent first year annual Therm net</v>
          </cell>
          <cell r="D97" t="str">
            <v>Metric</v>
          </cell>
          <cell r="E97" t="str">
            <v>MDA Team</v>
          </cell>
          <cell r="H97">
            <v>1099729865.5796299</v>
          </cell>
          <cell r="I97" t="str">
            <v>First year annual Therm net</v>
          </cell>
          <cell r="J97" t="str">
            <v>Total annual sector gas usage (therms)</v>
          </cell>
        </row>
        <row r="98">
          <cell r="A98">
            <v>157</v>
          </cell>
          <cell r="B98" t="str">
            <v>Commercial</v>
          </cell>
          <cell r="C98" t="str">
            <v>Percent lifecycle ex-ante kW gross</v>
          </cell>
          <cell r="D98" t="str">
            <v>Metric</v>
          </cell>
          <cell r="E98" t="str">
            <v>MDA Team</v>
          </cell>
          <cell r="H98">
            <v>13715716.945500001</v>
          </cell>
          <cell r="I98" t="str">
            <v>Lifecycle ex-ante kW gross</v>
          </cell>
          <cell r="J98" t="str">
            <v>Total annual sector max demand (kW)</v>
          </cell>
        </row>
        <row r="99">
          <cell r="A99">
            <v>158</v>
          </cell>
          <cell r="B99" t="str">
            <v>Commercial</v>
          </cell>
          <cell r="C99" t="str">
            <v>Percent lifecycle ex-ante kW net</v>
          </cell>
          <cell r="D99" t="str">
            <v>Metric</v>
          </cell>
          <cell r="E99" t="str">
            <v>MDA Team</v>
          </cell>
          <cell r="H99">
            <v>13715716.945500001</v>
          </cell>
          <cell r="I99" t="str">
            <v>Lifecycle ex-ante kW net</v>
          </cell>
          <cell r="J99" t="str">
            <v>Total annual sector max demand (kW)</v>
          </cell>
        </row>
        <row r="100">
          <cell r="A100">
            <v>159</v>
          </cell>
          <cell r="B100" t="str">
            <v>Commercial</v>
          </cell>
          <cell r="C100" t="str">
            <v>Percent lifecycle ex-ante kWh gross</v>
          </cell>
          <cell r="D100" t="str">
            <v>Metric</v>
          </cell>
          <cell r="E100" t="str">
            <v>MDA Team</v>
          </cell>
          <cell r="H100">
            <v>33942505759.975399</v>
          </cell>
          <cell r="I100" t="str">
            <v>Lifecycle ex-ante kWh gross</v>
          </cell>
          <cell r="J100" t="str">
            <v>Total annual sector elec usage (kWh)</v>
          </cell>
        </row>
        <row r="101">
          <cell r="A101">
            <v>160</v>
          </cell>
          <cell r="B101" t="str">
            <v>Commercial</v>
          </cell>
          <cell r="C101" t="str">
            <v>Percent lifecycle ex-ante kWh net</v>
          </cell>
          <cell r="D101" t="str">
            <v>Metric</v>
          </cell>
          <cell r="E101" t="str">
            <v>MDA Team</v>
          </cell>
          <cell r="H101">
            <v>33942505759.975399</v>
          </cell>
          <cell r="I101" t="str">
            <v>Lifecycle ex-ante kWh net</v>
          </cell>
          <cell r="J101" t="str">
            <v>Total annual sector elec usage (kWh)</v>
          </cell>
        </row>
        <row r="102">
          <cell r="A102">
            <v>161</v>
          </cell>
          <cell r="B102" t="str">
            <v>Commercial</v>
          </cell>
          <cell r="C102" t="str">
            <v>Percent lifecycle ex-ante Therm gross</v>
          </cell>
          <cell r="D102" t="str">
            <v>Metric</v>
          </cell>
          <cell r="E102" t="str">
            <v>MDA Team</v>
          </cell>
          <cell r="H102">
            <v>1099729865.5796299</v>
          </cell>
          <cell r="I102" t="str">
            <v>Lifecycle ex-ante Therm gross</v>
          </cell>
          <cell r="J102" t="str">
            <v>Total annual sector gas usage (therms)</v>
          </cell>
        </row>
        <row r="103">
          <cell r="A103">
            <v>162</v>
          </cell>
          <cell r="B103" t="str">
            <v>Commercial</v>
          </cell>
          <cell r="C103" t="str">
            <v>Percent lifecycle ex-ante Therm net</v>
          </cell>
          <cell r="D103" t="str">
            <v>Metric</v>
          </cell>
          <cell r="E103" t="str">
            <v>MDA Team</v>
          </cell>
          <cell r="H103">
            <v>1099729865.5796299</v>
          </cell>
          <cell r="I103" t="str">
            <v>Lifecycle ex-ante Therm net</v>
          </cell>
          <cell r="J103" t="str">
            <v>Total annual sector gas usage (therms)</v>
          </cell>
        </row>
        <row r="104">
          <cell r="A104">
            <v>165</v>
          </cell>
          <cell r="B104" t="str">
            <v>Commercial</v>
          </cell>
          <cell r="C104" t="str">
            <v>Percent lifecycle gross kWh</v>
          </cell>
          <cell r="D104" t="str">
            <v>Metric</v>
          </cell>
          <cell r="E104" t="str">
            <v>MDA Team</v>
          </cell>
          <cell r="H104">
            <v>5406749213.2316599</v>
          </cell>
          <cell r="I104" t="str">
            <v>Lifecycle gross kWh</v>
          </cell>
          <cell r="J104" t="str">
            <v>Annual sector elec usage of participants</v>
          </cell>
        </row>
        <row r="105">
          <cell r="A105">
            <v>166</v>
          </cell>
          <cell r="B105" t="str">
            <v>Commercial</v>
          </cell>
          <cell r="C105" t="str">
            <v>Percent lifecycle gross Therms</v>
          </cell>
          <cell r="D105" t="str">
            <v>Metric</v>
          </cell>
          <cell r="E105" t="str">
            <v>MDA Team</v>
          </cell>
          <cell r="H105">
            <v>42202462.835056998</v>
          </cell>
          <cell r="I105" t="str">
            <v>Lifecycle gross therms</v>
          </cell>
          <cell r="J105" t="str">
            <v>Annual sector gas usage of participants</v>
          </cell>
        </row>
        <row r="106">
          <cell r="A106">
            <v>167</v>
          </cell>
          <cell r="B106" t="str">
            <v>Commercial</v>
          </cell>
          <cell r="C106" t="str">
            <v>Percent of participation relative to eligible population for large customers</v>
          </cell>
          <cell r="D106" t="str">
            <v>Metric</v>
          </cell>
          <cell r="E106" t="str">
            <v>MDA Team</v>
          </cell>
          <cell r="G106">
            <v>4602</v>
          </cell>
          <cell r="H106">
            <v>12135</v>
          </cell>
          <cell r="I106" t="str">
            <v># of participating large customers</v>
          </cell>
          <cell r="J106" t="str">
            <v>Total # of large customers</v>
          </cell>
        </row>
        <row r="107">
          <cell r="A107">
            <v>168</v>
          </cell>
          <cell r="B107" t="str">
            <v>Commercial</v>
          </cell>
          <cell r="C107" t="str">
            <v>Percent of participation relative to eligible population for medium customers</v>
          </cell>
          <cell r="D107" t="str">
            <v>Metric</v>
          </cell>
          <cell r="E107" t="str">
            <v>MDA Team</v>
          </cell>
          <cell r="G107">
            <v>5805</v>
          </cell>
          <cell r="H107">
            <v>116106</v>
          </cell>
          <cell r="I107" t="str">
            <v># of participating medium customers</v>
          </cell>
          <cell r="J107" t="str">
            <v>Total # of medium customers</v>
          </cell>
        </row>
        <row r="108">
          <cell r="A108">
            <v>169</v>
          </cell>
          <cell r="B108" t="str">
            <v>Commercial</v>
          </cell>
          <cell r="C108" t="str">
            <v>Percent of participation relative to eligible population for  small customers</v>
          </cell>
          <cell r="D108" t="str">
            <v>Metric</v>
          </cell>
          <cell r="E108" t="str">
            <v>MDA Team</v>
          </cell>
          <cell r="G108">
            <v>4602</v>
          </cell>
          <cell r="H108">
            <v>511501</v>
          </cell>
          <cell r="I108" t="str">
            <v># of participating small customers</v>
          </cell>
          <cell r="J108" t="str">
            <v>Total # of small customers</v>
          </cell>
        </row>
        <row r="109">
          <cell r="A109">
            <v>170</v>
          </cell>
          <cell r="B109" t="str">
            <v>Commercial</v>
          </cell>
          <cell r="C109" t="str">
            <v>Percent of square feet of eligible population</v>
          </cell>
          <cell r="D109" t="str">
            <v>Metric</v>
          </cell>
          <cell r="E109" t="str">
            <v>MDA Team</v>
          </cell>
          <cell r="G109">
            <v>48863507.305730052</v>
          </cell>
          <cell r="H109">
            <v>2082752874.3275604</v>
          </cell>
          <cell r="I109" t="str">
            <v>Sq. ft. of participating customers</v>
          </cell>
          <cell r="J109" t="str">
            <v>Total sq. ft. of all sector customers</v>
          </cell>
        </row>
        <row r="110">
          <cell r="A110">
            <v>171</v>
          </cell>
          <cell r="B110" t="str">
            <v>Commercial</v>
          </cell>
          <cell r="C110" t="str">
            <v>Percent of participation by customers defined as “hard‐to‐reach”</v>
          </cell>
          <cell r="D110" t="str">
            <v>Metric</v>
          </cell>
          <cell r="E110" t="str">
            <v>MDA Team</v>
          </cell>
          <cell r="G110">
            <v>4702</v>
          </cell>
          <cell r="H110">
            <v>260770</v>
          </cell>
          <cell r="I110" t="str">
            <v># of participating HTR customers</v>
          </cell>
          <cell r="J110" t="str">
            <v>Total # of HTR customers</v>
          </cell>
        </row>
        <row r="111">
          <cell r="A111">
            <v>172</v>
          </cell>
          <cell r="B111" t="str">
            <v>Commercial</v>
          </cell>
          <cell r="C111" t="str">
            <v>Percent of benchmarked square feet of eligible population</v>
          </cell>
          <cell r="D111" t="str">
            <v>Metric</v>
          </cell>
          <cell r="E111" t="str">
            <v>MDA Team</v>
          </cell>
          <cell r="G111">
            <v>248114499</v>
          </cell>
          <cell r="H111">
            <v>2082752874.3275604</v>
          </cell>
          <cell r="I111" t="str">
            <v>Sq. ft. of benchmarked customers</v>
          </cell>
          <cell r="J111" t="str">
            <v>Total sq. ft. of all sector customers</v>
          </cell>
        </row>
        <row r="112">
          <cell r="A112">
            <v>173</v>
          </cell>
          <cell r="B112" t="str">
            <v>Commercial</v>
          </cell>
          <cell r="C112" t="str">
            <v>Percent of benchmarked customers relative to eligible population for large customers</v>
          </cell>
          <cell r="D112" t="str">
            <v>Metric</v>
          </cell>
          <cell r="E112" t="str">
            <v>MDA Team</v>
          </cell>
          <cell r="G112">
            <v>415</v>
          </cell>
          <cell r="H112">
            <v>12135</v>
          </cell>
          <cell r="I112" t="str">
            <v># of benchmarked large customers</v>
          </cell>
          <cell r="J112" t="str">
            <v>Total # of large customers</v>
          </cell>
        </row>
        <row r="113">
          <cell r="A113">
            <v>174</v>
          </cell>
          <cell r="B113" t="str">
            <v>Commercial</v>
          </cell>
          <cell r="C113" t="str">
            <v>Percent of benchmarked customers relative to eligible population for medium customers</v>
          </cell>
          <cell r="D113" t="str">
            <v>Metric</v>
          </cell>
          <cell r="E113" t="str">
            <v>MDA Team</v>
          </cell>
          <cell r="G113">
            <v>642</v>
          </cell>
          <cell r="H113">
            <v>116106</v>
          </cell>
          <cell r="I113" t="str">
            <v># of benchmarked medium customers</v>
          </cell>
          <cell r="J113" t="str">
            <v>Total # of medium customers</v>
          </cell>
        </row>
        <row r="114">
          <cell r="A114">
            <v>175</v>
          </cell>
          <cell r="B114" t="str">
            <v>Commercial</v>
          </cell>
          <cell r="C114" t="str">
            <v>Percent of benchmarked customers relative to eligible population for small  customers</v>
          </cell>
          <cell r="D114" t="str">
            <v>Metric</v>
          </cell>
          <cell r="E114" t="str">
            <v>MDA Team</v>
          </cell>
          <cell r="G114">
            <v>481</v>
          </cell>
          <cell r="H114">
            <v>511501</v>
          </cell>
          <cell r="I114" t="str">
            <v># of benchmarked small customers</v>
          </cell>
          <cell r="J114" t="str">
            <v>Total # of small customers</v>
          </cell>
        </row>
        <row r="115">
          <cell r="A115">
            <v>176</v>
          </cell>
          <cell r="B115" t="str">
            <v>Commercial</v>
          </cell>
          <cell r="C115" t="str">
            <v>Percent of benchmarking by customers defined as “hard‐to‐reach”</v>
          </cell>
          <cell r="D115" t="str">
            <v>Metric</v>
          </cell>
          <cell r="E115" t="str">
            <v>MDA Team</v>
          </cell>
          <cell r="G115">
            <v>433</v>
          </cell>
          <cell r="H115">
            <v>260770</v>
          </cell>
          <cell r="I115" t="str">
            <v># of benchmarked HTR customers</v>
          </cell>
          <cell r="J115" t="str">
            <v>Total # of HTR customers</v>
          </cell>
        </row>
        <row r="116">
          <cell r="A116">
            <v>183</v>
          </cell>
          <cell r="B116" t="str">
            <v>Commercial</v>
          </cell>
          <cell r="C116" t="str">
            <v>Percent of total projects utilizing Normalized Metered Energy Consumption (NMEC) to estimate savings</v>
          </cell>
          <cell r="D116" t="str">
            <v>Indicator</v>
          </cell>
          <cell r="E116" t="str">
            <v>MDA Team</v>
          </cell>
          <cell r="I116" t="str">
            <v># of custom projects using NMEC to estimate savings</v>
          </cell>
          <cell r="J116" t="str">
            <v># of custom projects</v>
          </cell>
        </row>
        <row r="117">
          <cell r="A117">
            <v>184</v>
          </cell>
          <cell r="B117" t="str">
            <v>Commercial</v>
          </cell>
          <cell r="C117" t="str">
            <v>Percent of total savings (gross kWh and therm) derived from NMEC analysis</v>
          </cell>
          <cell r="D117" t="str">
            <v>Indicator</v>
          </cell>
          <cell r="E117" t="str">
            <v>MDA Team</v>
          </cell>
          <cell r="I117" t="str">
            <v>Total custom savings derived from NMEC analysis</v>
          </cell>
          <cell r="J117" t="str">
            <v>Total custom savings</v>
          </cell>
        </row>
        <row r="118">
          <cell r="A118">
            <v>185</v>
          </cell>
          <cell r="B118" t="str">
            <v>Commercial</v>
          </cell>
          <cell r="C118" t="str">
            <v>Percent Improvement in customer satisfaction</v>
          </cell>
          <cell r="D118" t="str">
            <v>Indicator</v>
          </cell>
          <cell r="E118" t="str">
            <v>Unknown</v>
          </cell>
          <cell r="I118" t="str">
            <v>TBD</v>
          </cell>
          <cell r="J118" t="str">
            <v>TBD</v>
          </cell>
        </row>
        <row r="119">
          <cell r="A119">
            <v>186</v>
          </cell>
          <cell r="B119" t="str">
            <v>Commercial</v>
          </cell>
          <cell r="C119" t="str">
            <v>Percent Improvement in trade ally satisfaction</v>
          </cell>
          <cell r="D119" t="str">
            <v>Indicator</v>
          </cell>
          <cell r="E119" t="str">
            <v>Unknown</v>
          </cell>
          <cell r="I119" t="str">
            <v>TBD</v>
          </cell>
          <cell r="J119" t="str">
            <v>TBD</v>
          </cell>
        </row>
        <row r="120">
          <cell r="A120">
            <v>187</v>
          </cell>
          <cell r="B120" t="str">
            <v>Commercial</v>
          </cell>
          <cell r="C120" t="str">
            <v>Percent of total investments made by ratepayers and private capital</v>
          </cell>
          <cell r="D120" t="str">
            <v>Indicator</v>
          </cell>
          <cell r="E120" t="str">
            <v>MDA Team</v>
          </cell>
          <cell r="I120" t="str">
            <v>Total incentive amount</v>
          </cell>
          <cell r="J120" t="str">
            <v>Total project costs</v>
          </cell>
        </row>
        <row r="121">
          <cell r="A121">
            <v>201</v>
          </cell>
          <cell r="B121" t="str">
            <v>Public</v>
          </cell>
          <cell r="C121" t="str">
            <v>Percent annual net kW per project building or facility</v>
          </cell>
          <cell r="D121" t="str">
            <v>Indicator</v>
          </cell>
          <cell r="E121" t="str">
            <v>MDA Team</v>
          </cell>
          <cell r="H121">
            <v>912</v>
          </cell>
          <cell r="I121" t="str">
            <v>First year annual kW net</v>
          </cell>
          <cell r="J121" t="str">
            <v>Total # of projects</v>
          </cell>
        </row>
        <row r="122">
          <cell r="A122">
            <v>202</v>
          </cell>
          <cell r="B122" t="str">
            <v>Public</v>
          </cell>
          <cell r="C122" t="str">
            <v>Percent annual net kWh per project building or facility</v>
          </cell>
          <cell r="D122" t="str">
            <v>Indicator</v>
          </cell>
          <cell r="E122" t="str">
            <v>MDA Team</v>
          </cell>
          <cell r="H122">
            <v>912</v>
          </cell>
          <cell r="I122" t="str">
            <v>First year annual kWh net</v>
          </cell>
          <cell r="J122" t="str">
            <v>Total # of projects</v>
          </cell>
        </row>
        <row r="123">
          <cell r="A123">
            <v>203</v>
          </cell>
          <cell r="B123" t="str">
            <v>Public</v>
          </cell>
          <cell r="C123" t="str">
            <v>Percent annual net Therms per project building or facility</v>
          </cell>
          <cell r="D123" t="str">
            <v>Indicator</v>
          </cell>
          <cell r="E123" t="str">
            <v>MDA Team</v>
          </cell>
          <cell r="H123">
            <v>912</v>
          </cell>
          <cell r="I123" t="str">
            <v>First year annual Therm net</v>
          </cell>
          <cell r="J123" t="str">
            <v>Total # of projects</v>
          </cell>
        </row>
        <row r="124">
          <cell r="A124">
            <v>204</v>
          </cell>
          <cell r="B124" t="str">
            <v>Public</v>
          </cell>
          <cell r="C124" t="str">
            <v>Average annual net kw savings per project building floor plan area</v>
          </cell>
          <cell r="D124" t="str">
            <v>Indicator</v>
          </cell>
          <cell r="E124" t="str">
            <v>MDA Team</v>
          </cell>
          <cell r="H124">
            <v>0</v>
          </cell>
          <cell r="I124" t="str">
            <v>First year annual kW net</v>
          </cell>
          <cell r="J124" t="str">
            <v>Sq. ft. of participating customers</v>
          </cell>
        </row>
        <row r="125">
          <cell r="A125">
            <v>205</v>
          </cell>
          <cell r="B125" t="str">
            <v>Public</v>
          </cell>
          <cell r="C125" t="str">
            <v>Average annual net kw savings per project building floor plan area</v>
          </cell>
          <cell r="D125" t="str">
            <v>Indicator</v>
          </cell>
          <cell r="E125" t="str">
            <v>MDA Team</v>
          </cell>
          <cell r="H125">
            <v>0</v>
          </cell>
          <cell r="I125" t="str">
            <v>First year annual kWh net</v>
          </cell>
          <cell r="J125" t="str">
            <v>Sq. ft. of participating customers</v>
          </cell>
        </row>
        <row r="126">
          <cell r="A126">
            <v>206</v>
          </cell>
          <cell r="B126" t="str">
            <v>Public</v>
          </cell>
          <cell r="C126" t="str">
            <v>Average annual net Therm savings per project building floor plan area</v>
          </cell>
          <cell r="D126" t="str">
            <v>Indicator</v>
          </cell>
          <cell r="E126" t="str">
            <v>MDA Team</v>
          </cell>
          <cell r="H126">
            <v>0</v>
          </cell>
          <cell r="I126" t="str">
            <v>First year annual Therm net</v>
          </cell>
          <cell r="J126" t="str">
            <v>Sq. ft. of participating customers</v>
          </cell>
        </row>
        <row r="127">
          <cell r="A127">
            <v>207</v>
          </cell>
          <cell r="B127" t="str">
            <v>Public</v>
          </cell>
          <cell r="C127" t="str">
            <v>Average annual Net kW savings per annual flow through project water/wastewater facilities</v>
          </cell>
          <cell r="D127" t="str">
            <v>Indicator</v>
          </cell>
          <cell r="E127" t="str">
            <v>Unknown</v>
          </cell>
          <cell r="I127" t="str">
            <v>First year annual kW net from water/wastewater customers</v>
          </cell>
          <cell r="J127" t="str">
            <v>???</v>
          </cell>
        </row>
        <row r="128">
          <cell r="A128">
            <v>208</v>
          </cell>
          <cell r="B128" t="str">
            <v>Public</v>
          </cell>
          <cell r="C128" t="str">
            <v>Average annual Net kWh savings per annual flow through project water/wastewater facilities</v>
          </cell>
          <cell r="D128" t="str">
            <v>Indicator</v>
          </cell>
          <cell r="E128" t="str">
            <v>Unknown</v>
          </cell>
          <cell r="I128" t="str">
            <v>First year annual kWh net from water/wastewater customers</v>
          </cell>
          <cell r="J128" t="str">
            <v>???</v>
          </cell>
        </row>
        <row r="129">
          <cell r="A129">
            <v>209</v>
          </cell>
          <cell r="B129" t="str">
            <v>Public</v>
          </cell>
          <cell r="C129" t="str">
            <v>Average annual Net Therms savings per annual flow through project water/wastewater facilities</v>
          </cell>
          <cell r="D129" t="str">
            <v>Indicator</v>
          </cell>
          <cell r="E129" t="str">
            <v>Unknown</v>
          </cell>
          <cell r="I129" t="str">
            <v>First year annual Therm net from water/wastewater customers</v>
          </cell>
          <cell r="J129" t="str">
            <v>???</v>
          </cell>
        </row>
        <row r="130">
          <cell r="A130">
            <v>210</v>
          </cell>
          <cell r="B130" t="str">
            <v>Public</v>
          </cell>
          <cell r="C130" t="str">
            <v>Percent of Public Sector accounts participating in programs</v>
          </cell>
          <cell r="D130" t="str">
            <v>Metric</v>
          </cell>
          <cell r="E130" t="str">
            <v>MDA Team</v>
          </cell>
          <cell r="G130">
            <v>1398</v>
          </cell>
          <cell r="H130">
            <v>75222</v>
          </cell>
          <cell r="I130" t="str">
            <v># of participating customers</v>
          </cell>
          <cell r="J130" t="str">
            <v>Total # of sector customers</v>
          </cell>
        </row>
        <row r="131">
          <cell r="A131">
            <v>211</v>
          </cell>
          <cell r="B131" t="str">
            <v>Public</v>
          </cell>
          <cell r="C131" t="str">
            <v>Percent of estimated floorplan area (i.e., ft2) of all Public Sector buildings participating in building projects</v>
          </cell>
          <cell r="D131" t="str">
            <v>Indicator</v>
          </cell>
          <cell r="E131" t="str">
            <v>MDA Team</v>
          </cell>
          <cell r="G131">
            <v>0</v>
          </cell>
          <cell r="H131">
            <v>0</v>
          </cell>
          <cell r="I131" t="str">
            <v>Sq. ft. of participating customers</v>
          </cell>
          <cell r="J131" t="str">
            <v>Total sq. ft. of all sector customers</v>
          </cell>
        </row>
        <row r="132">
          <cell r="A132">
            <v>212</v>
          </cell>
          <cell r="B132" t="str">
            <v>Public</v>
          </cell>
          <cell r="C132" t="str">
            <v>Percent of Public Sector water/wastewater flow enrolled in non‐building water/wastewater programs</v>
          </cell>
          <cell r="D132" t="str">
            <v>Indicator</v>
          </cell>
          <cell r="E132" t="str">
            <v>Unknown</v>
          </cell>
          <cell r="I132" t="str">
            <v>???</v>
          </cell>
          <cell r="J132" t="str">
            <v>???</v>
          </cell>
        </row>
        <row r="133">
          <cell r="A133">
            <v>219</v>
          </cell>
          <cell r="B133" t="str">
            <v>Public</v>
          </cell>
          <cell r="C133" t="str">
            <v>Total program‐backed financing distributed to Public Sector customers requiring repayment</v>
          </cell>
          <cell r="D133" t="str">
            <v>Indicator</v>
          </cell>
          <cell r="E133" t="str">
            <v>Unknown</v>
          </cell>
          <cell r="I133" t="str">
            <v>N/A</v>
          </cell>
          <cell r="J133" t="str">
            <v>N/A</v>
          </cell>
        </row>
        <row r="134">
          <cell r="A134">
            <v>220</v>
          </cell>
          <cell r="B134" t="str">
            <v>Public</v>
          </cell>
          <cell r="C134" t="str">
            <v>Percent of Public Sector buildings with current benchmark</v>
          </cell>
          <cell r="D134" t="str">
            <v>Metric</v>
          </cell>
          <cell r="E134" t="str">
            <v>MDA Team</v>
          </cell>
          <cell r="G134">
            <v>479</v>
          </cell>
          <cell r="H134">
            <v>75222</v>
          </cell>
          <cell r="I134" t="str">
            <v>Total # of benchmarked customers</v>
          </cell>
          <cell r="J134" t="str">
            <v>Total # of sector customers</v>
          </cell>
        </row>
        <row r="135">
          <cell r="A135">
            <v>221</v>
          </cell>
          <cell r="B135" t="str">
            <v>Public</v>
          </cell>
          <cell r="C135" t="str">
            <v xml:space="preserve"> Average energy use intensity of all Public Sector buildings</v>
          </cell>
          <cell r="D135" t="str">
            <v>Metric</v>
          </cell>
          <cell r="E135" t="str">
            <v>MDA Team</v>
          </cell>
          <cell r="G135">
            <v>36372575370904.5</v>
          </cell>
          <cell r="H135">
            <v>75222</v>
          </cell>
          <cell r="I135" t="str">
            <v>Total sector energy usage (Btu)</v>
          </cell>
          <cell r="J135" t="str">
            <v>Total # of sector customers</v>
          </cell>
        </row>
        <row r="136">
          <cell r="A136">
            <v>222</v>
          </cell>
          <cell r="B136" t="str">
            <v>Public</v>
          </cell>
          <cell r="C136" t="str">
            <v>Percent of floorplan area of all Public Sector buildings with current benchmark</v>
          </cell>
          <cell r="D136" t="str">
            <v>Indicator</v>
          </cell>
          <cell r="E136" t="str">
            <v>MDA Team</v>
          </cell>
          <cell r="H136">
            <v>0</v>
          </cell>
          <cell r="I136" t="str">
            <v>Total sq. ft. of sector buildings benchmarked in current year (in Portfolio Manager)</v>
          </cell>
          <cell r="J136" t="str">
            <v>Sq. ft. of benchmarked customers</v>
          </cell>
        </row>
        <row r="137">
          <cell r="A137">
            <v>236</v>
          </cell>
          <cell r="B137" t="str">
            <v>Industrial</v>
          </cell>
          <cell r="C137" t="str">
            <v>Percent of participation relative to eligible population for large customers</v>
          </cell>
          <cell r="D137" t="str">
            <v>Metric</v>
          </cell>
          <cell r="E137" t="str">
            <v>MDA Team</v>
          </cell>
          <cell r="G137">
            <v>149</v>
          </cell>
          <cell r="H137">
            <v>2451</v>
          </cell>
          <cell r="I137" t="str">
            <v># of participating large customers</v>
          </cell>
          <cell r="J137" t="str">
            <v>Total # of large customers</v>
          </cell>
        </row>
        <row r="138">
          <cell r="A138">
            <v>237</v>
          </cell>
          <cell r="B138" t="str">
            <v>Industrial</v>
          </cell>
          <cell r="C138" t="str">
            <v>Percent of participation relative to eligible population for medium customers</v>
          </cell>
          <cell r="D138" t="str">
            <v>Metric</v>
          </cell>
          <cell r="E138" t="str">
            <v>MDA Team</v>
          </cell>
          <cell r="G138">
            <v>224</v>
          </cell>
          <cell r="H138">
            <v>11472</v>
          </cell>
          <cell r="I138" t="str">
            <v># of participating medium customers</v>
          </cell>
          <cell r="J138" t="str">
            <v>Total # of medium customers</v>
          </cell>
        </row>
        <row r="139">
          <cell r="A139">
            <v>238</v>
          </cell>
          <cell r="B139" t="str">
            <v>Industrial</v>
          </cell>
          <cell r="C139" t="str">
            <v>Percent of participation relative to eligible population for  small customers</v>
          </cell>
          <cell r="D139" t="str">
            <v>Metric</v>
          </cell>
          <cell r="E139" t="str">
            <v>MDA Team</v>
          </cell>
          <cell r="G139">
            <v>185</v>
          </cell>
          <cell r="H139">
            <v>48953</v>
          </cell>
          <cell r="I139" t="str">
            <v># of participating small customers</v>
          </cell>
          <cell r="J139" t="str">
            <v>Total # of small customers</v>
          </cell>
        </row>
        <row r="140">
          <cell r="A140">
            <v>239</v>
          </cell>
          <cell r="B140" t="str">
            <v>Industrial</v>
          </cell>
          <cell r="C140" t="str">
            <v>Percent of large customers participating in reporting year that have not received an incentive for the past three years</v>
          </cell>
          <cell r="D140" t="str">
            <v>Indicator</v>
          </cell>
          <cell r="E140" t="str">
            <v>Unknown</v>
          </cell>
          <cell r="H140">
            <v>2451</v>
          </cell>
          <cell r="I140" t="str">
            <v>Annual number of large customers that have not received an incentive for the past 3 years</v>
          </cell>
          <cell r="J140" t="str">
            <v>Total # of large customers</v>
          </cell>
        </row>
        <row r="141">
          <cell r="A141">
            <v>240</v>
          </cell>
          <cell r="B141" t="str">
            <v>Industrial</v>
          </cell>
          <cell r="C141" t="str">
            <v>Percent of medium customers participating in reporting year that have not received an incentive for the past three years</v>
          </cell>
          <cell r="D141" t="str">
            <v>Indicator</v>
          </cell>
          <cell r="E141" t="str">
            <v>Unknown</v>
          </cell>
          <cell r="H141">
            <v>11472</v>
          </cell>
          <cell r="I141" t="str">
            <v>Annual number of medium customers that have not received an incentive for the past 3 years</v>
          </cell>
          <cell r="J141" t="str">
            <v>Total # of medium customers</v>
          </cell>
        </row>
        <row r="142">
          <cell r="A142">
            <v>241</v>
          </cell>
          <cell r="B142" t="str">
            <v>Industrial</v>
          </cell>
          <cell r="C142" t="str">
            <v>Percent of small customers participating in reporting year that have not received an incentive for the past three years</v>
          </cell>
          <cell r="D142" t="str">
            <v>Indicator</v>
          </cell>
          <cell r="E142" t="str">
            <v>Unknown</v>
          </cell>
          <cell r="H142">
            <v>48953</v>
          </cell>
          <cell r="I142" t="str">
            <v>Annual number of small customers that have not received an incentive for the past 3 years</v>
          </cell>
          <cell r="J142" t="str">
            <v>Total # of small customers</v>
          </cell>
        </row>
        <row r="143">
          <cell r="A143">
            <v>248</v>
          </cell>
          <cell r="B143" t="str">
            <v>Industrial</v>
          </cell>
          <cell r="C143" t="str">
            <v xml:space="preserve">Percent first year annual kW gross </v>
          </cell>
          <cell r="D143" t="str">
            <v>Metric</v>
          </cell>
          <cell r="E143" t="str">
            <v>MDA Team</v>
          </cell>
          <cell r="H143">
            <v>5674108.1699999999</v>
          </cell>
          <cell r="I143" t="str">
            <v>First year annual kW gross</v>
          </cell>
          <cell r="J143" t="str">
            <v>Total annual sector max demand (kW)</v>
          </cell>
        </row>
        <row r="144">
          <cell r="A144">
            <v>249</v>
          </cell>
          <cell r="B144" t="str">
            <v>Industrial</v>
          </cell>
          <cell r="C144" t="str">
            <v>Percent first year annual kW net</v>
          </cell>
          <cell r="D144" t="str">
            <v>Metric</v>
          </cell>
          <cell r="E144" t="str">
            <v>MDA Team</v>
          </cell>
          <cell r="H144">
            <v>5674108.1699999999</v>
          </cell>
          <cell r="I144" t="str">
            <v>First year annual kW net</v>
          </cell>
          <cell r="J144" t="str">
            <v>Total annual sector max demand (kW)</v>
          </cell>
        </row>
        <row r="145">
          <cell r="A145">
            <v>250</v>
          </cell>
          <cell r="B145" t="str">
            <v>Industrial</v>
          </cell>
          <cell r="C145" t="str">
            <v>Percent first year annual kWh gross</v>
          </cell>
          <cell r="D145" t="str">
            <v>Metric</v>
          </cell>
          <cell r="E145" t="str">
            <v>MDA Team</v>
          </cell>
          <cell r="H145">
            <v>9302621423.8720608</v>
          </cell>
          <cell r="I145" t="str">
            <v>First year annual kWh gross</v>
          </cell>
          <cell r="J145" t="str">
            <v>Total annual sector elec usage (kWh)</v>
          </cell>
        </row>
        <row r="146">
          <cell r="A146">
            <v>251</v>
          </cell>
          <cell r="B146" t="str">
            <v>Industrial</v>
          </cell>
          <cell r="C146" t="str">
            <v>Percent first year annual kWh net</v>
          </cell>
          <cell r="D146" t="str">
            <v>Metric</v>
          </cell>
          <cell r="E146" t="str">
            <v>MDA Team</v>
          </cell>
          <cell r="H146">
            <v>9302621423.8720608</v>
          </cell>
          <cell r="I146" t="str">
            <v>First year annual kWh net</v>
          </cell>
          <cell r="J146" t="str">
            <v>Total annual sector elec usage (kWh)</v>
          </cell>
        </row>
        <row r="147">
          <cell r="A147">
            <v>252</v>
          </cell>
          <cell r="B147" t="str">
            <v>Industrial</v>
          </cell>
          <cell r="C147" t="str">
            <v>Percent first year annual Therm gross</v>
          </cell>
          <cell r="D147" t="str">
            <v>Metric</v>
          </cell>
          <cell r="E147" t="str">
            <v>MDA Team</v>
          </cell>
          <cell r="H147">
            <v>3885045880.7884898</v>
          </cell>
          <cell r="I147" t="str">
            <v>First year annual Therm gross</v>
          </cell>
          <cell r="J147" t="str">
            <v>Total annual sector gas usage (therms)</v>
          </cell>
        </row>
        <row r="148">
          <cell r="A148">
            <v>253</v>
          </cell>
          <cell r="B148" t="str">
            <v>Industrial</v>
          </cell>
          <cell r="C148" t="str">
            <v>Percent first year annual Therm net</v>
          </cell>
          <cell r="D148" t="str">
            <v>Metric</v>
          </cell>
          <cell r="E148" t="str">
            <v>MDA Team</v>
          </cell>
          <cell r="H148">
            <v>3885045880.7884898</v>
          </cell>
          <cell r="I148" t="str">
            <v>First year annual Therm net</v>
          </cell>
          <cell r="J148" t="str">
            <v>Total annual sector gas usage (therms)</v>
          </cell>
        </row>
        <row r="149">
          <cell r="A149">
            <v>254</v>
          </cell>
          <cell r="B149" t="str">
            <v>Industrial</v>
          </cell>
          <cell r="C149" t="str">
            <v>Percent lifecycle ex-ante kW gross</v>
          </cell>
          <cell r="D149" t="str">
            <v>Metric</v>
          </cell>
          <cell r="E149" t="str">
            <v>MDA Team</v>
          </cell>
          <cell r="H149">
            <v>5674108.1699999999</v>
          </cell>
          <cell r="I149" t="str">
            <v>Lifecycle ex-ante kW gross</v>
          </cell>
          <cell r="J149" t="str">
            <v>Total annual sector max demand (kW)</v>
          </cell>
        </row>
        <row r="150">
          <cell r="A150">
            <v>255</v>
          </cell>
          <cell r="B150" t="str">
            <v>Industrial</v>
          </cell>
          <cell r="C150" t="str">
            <v>Percent lifecycle ex-ante kW net</v>
          </cell>
          <cell r="D150" t="str">
            <v>Metric</v>
          </cell>
          <cell r="E150" t="str">
            <v>MDA Team</v>
          </cell>
          <cell r="H150">
            <v>5674108.1699999999</v>
          </cell>
          <cell r="I150" t="str">
            <v>Lifecycle ex-ante kW net</v>
          </cell>
          <cell r="J150" t="str">
            <v>Total annual sector max demand (kW)</v>
          </cell>
        </row>
        <row r="151">
          <cell r="A151">
            <v>256</v>
          </cell>
          <cell r="B151" t="str">
            <v>Industrial</v>
          </cell>
          <cell r="C151" t="str">
            <v>Percent lifecycle ex-ante kWh gross</v>
          </cell>
          <cell r="D151" t="str">
            <v>Metric</v>
          </cell>
          <cell r="E151" t="str">
            <v>MDA Team</v>
          </cell>
          <cell r="H151">
            <v>9302621423.8720608</v>
          </cell>
          <cell r="I151" t="str">
            <v>Lifecycle ex-ante kWh gross</v>
          </cell>
          <cell r="J151" t="str">
            <v>Total annual sector elec usage (kWh)</v>
          </cell>
        </row>
        <row r="152">
          <cell r="A152">
            <v>257</v>
          </cell>
          <cell r="B152" t="str">
            <v>Industrial</v>
          </cell>
          <cell r="C152" t="str">
            <v>Percent lifecycle ex-ante kWh net</v>
          </cell>
          <cell r="D152" t="str">
            <v>Metric</v>
          </cell>
          <cell r="E152" t="str">
            <v>MDA Team</v>
          </cell>
          <cell r="H152">
            <v>9302621423.8720608</v>
          </cell>
          <cell r="I152" t="str">
            <v>Lifecycle ex-ante kWh net</v>
          </cell>
          <cell r="J152" t="str">
            <v>Total annual sector elec usage (kWh)</v>
          </cell>
        </row>
        <row r="153">
          <cell r="A153">
            <v>258</v>
          </cell>
          <cell r="B153" t="str">
            <v>Industrial</v>
          </cell>
          <cell r="C153" t="str">
            <v>Percent lifecycle ex-ante Therm gross</v>
          </cell>
          <cell r="D153" t="str">
            <v>Metric</v>
          </cell>
          <cell r="E153" t="str">
            <v>MDA Team</v>
          </cell>
          <cell r="H153">
            <v>3885045880.7884898</v>
          </cell>
          <cell r="I153" t="str">
            <v>Lifecycle ex-ante Therm gross</v>
          </cell>
          <cell r="J153" t="str">
            <v>Total annual sector gas usage (therms)</v>
          </cell>
        </row>
        <row r="154">
          <cell r="A154">
            <v>259</v>
          </cell>
          <cell r="B154" t="str">
            <v>Industrial</v>
          </cell>
          <cell r="C154" t="str">
            <v>Percent lifecycle ex-ante Therm net</v>
          </cell>
          <cell r="D154" t="str">
            <v>Metric</v>
          </cell>
          <cell r="E154" t="str">
            <v>MDA Team</v>
          </cell>
          <cell r="H154">
            <v>3885045880.7884898</v>
          </cell>
          <cell r="I154" t="str">
            <v>Lifecycle ex-ante Therm net</v>
          </cell>
          <cell r="J154" t="str">
            <v>Total annual sector gas usage (therms)</v>
          </cell>
        </row>
        <row r="155">
          <cell r="A155">
            <v>273</v>
          </cell>
          <cell r="B155" t="str">
            <v>Agricultural</v>
          </cell>
          <cell r="C155" t="str">
            <v>Percent of participation relative to eligible population for large customers</v>
          </cell>
          <cell r="D155" t="str">
            <v>Metric</v>
          </cell>
          <cell r="E155" t="str">
            <v>MDA Team</v>
          </cell>
          <cell r="G155">
            <v>308</v>
          </cell>
          <cell r="H155">
            <v>3742</v>
          </cell>
          <cell r="I155" t="str">
            <v># of participating large customers</v>
          </cell>
          <cell r="J155" t="str">
            <v>Total # of large customers</v>
          </cell>
        </row>
        <row r="156">
          <cell r="A156">
            <v>274</v>
          </cell>
          <cell r="B156" t="str">
            <v>Agricultural</v>
          </cell>
          <cell r="C156" t="str">
            <v>Percent of participation relative to eligible population for medium customers</v>
          </cell>
          <cell r="D156" t="str">
            <v>Metric</v>
          </cell>
          <cell r="E156" t="str">
            <v>MDA Team</v>
          </cell>
          <cell r="G156">
            <v>770</v>
          </cell>
          <cell r="H156">
            <v>31659</v>
          </cell>
          <cell r="I156" t="str">
            <v># of participating medium customers</v>
          </cell>
          <cell r="J156" t="str">
            <v>Total # of medium customers</v>
          </cell>
        </row>
        <row r="157">
          <cell r="A157">
            <v>275</v>
          </cell>
          <cell r="B157" t="str">
            <v>Agricultural</v>
          </cell>
          <cell r="C157" t="str">
            <v>Percent of participation relative to eligible population for small customers</v>
          </cell>
          <cell r="D157" t="str">
            <v>Metric</v>
          </cell>
          <cell r="E157" t="str">
            <v>MDA Team</v>
          </cell>
          <cell r="G157">
            <v>510</v>
          </cell>
          <cell r="H157">
            <v>82386</v>
          </cell>
          <cell r="I157" t="str">
            <v># of participating small customers</v>
          </cell>
          <cell r="J157" t="str">
            <v>Total # of small customers</v>
          </cell>
        </row>
      </sheetData>
      <sheetData sheetId="4">
        <row r="3">
          <cell r="B3" t="str">
            <v>Upd Primary Sector (1)</v>
          </cell>
          <cell r="C3" t="str">
            <v>RebatesandIncents</v>
          </cell>
          <cell r="D3" t="str">
            <v>FirstYearGrossKWh</v>
          </cell>
          <cell r="E3" t="str">
            <v>FirstYearGrossKW</v>
          </cell>
          <cell r="F3" t="str">
            <v>FirstYearGrossThm</v>
          </cell>
          <cell r="G3" t="str">
            <v>FirstYearNetKWh</v>
          </cell>
          <cell r="H3" t="str">
            <v>FirstYearNetKW</v>
          </cell>
          <cell r="I3" t="str">
            <v>FirstYearNetThm</v>
          </cell>
          <cell r="J3" t="str">
            <v>LifecycleGrossKWh</v>
          </cell>
          <cell r="K3" t="str">
            <v>LifecycleGrossKW</v>
          </cell>
          <cell r="L3" t="str">
            <v>LifecycleGrossThm</v>
          </cell>
          <cell r="M3" t="str">
            <v>LifecycleNetKWh</v>
          </cell>
          <cell r="N3" t="str">
            <v>LifecycleNetKW</v>
          </cell>
          <cell r="O3" t="str">
            <v>LifecycleNetThm</v>
          </cell>
          <cell r="P3" t="str">
            <v>ElecBen</v>
          </cell>
          <cell r="Q3" t="str">
            <v>GasBen</v>
          </cell>
          <cell r="R3" t="str">
            <v>TRCCost</v>
          </cell>
          <cell r="S3" t="str">
            <v>PACCost</v>
          </cell>
          <cell r="T3" t="str">
            <v>TRC</v>
          </cell>
          <cell r="U3" t="str">
            <v>PAC</v>
          </cell>
          <cell r="V3" t="str">
            <v>Electric Split</v>
          </cell>
          <cell r="W3" t="str">
            <v>Gas Split</v>
          </cell>
          <cell r="X3" t="str">
            <v>TRC Cost per kWh Saved ($/kWh)</v>
          </cell>
          <cell r="Y3" t="str">
            <v>TRC Cost per therm Saved ($/therm)</v>
          </cell>
          <cell r="Z3" t="str">
            <v>TRC Cost per kW Saved ($/kW) (5)</v>
          </cell>
          <cell r="AA3" t="str">
            <v>PAC Cost per kWh Saved ($/kWh)</v>
          </cell>
          <cell r="AB3" t="str">
            <v>PAC Cost per therm Saved ($/therm)</v>
          </cell>
          <cell r="AC3" t="str">
            <v>PAC Cost per kW Saved ($/kW) (5)</v>
          </cell>
          <cell r="AD3" t="str">
            <v>NetElecCO2</v>
          </cell>
          <cell r="AE3" t="str">
            <v>NetGasCO2</v>
          </cell>
          <cell r="AF3" t="str">
            <v>NetElecCO2Lifecycle</v>
          </cell>
          <cell r="AG3" t="str">
            <v>NetGasCO2Lifecycle</v>
          </cell>
          <cell r="AH3" t="str">
            <v>GrossElecCO2</v>
          </cell>
          <cell r="AI3" t="str">
            <v>GrossGasCO2</v>
          </cell>
          <cell r="AJ3" t="str">
            <v>GrossElecCO2Lifecycle</v>
          </cell>
          <cell r="AK3" t="str">
            <v>GrossGasCO2Lifecycle</v>
          </cell>
          <cell r="AL3" t="str">
            <v>Annual Net GHG Emissions (Electric)</v>
          </cell>
          <cell r="AM3" t="str">
            <v>Annual Net GHG Emissions (Gas)</v>
          </cell>
          <cell r="AN3" t="str">
            <v>Lifecycle Net GHG Emissions (Electric)</v>
          </cell>
          <cell r="AO3" t="str">
            <v>Lifecycle Net GHG Emissions (Gas)</v>
          </cell>
          <cell r="AP3" t="str">
            <v>Annual Gross GHG Emissions (Electric)</v>
          </cell>
          <cell r="AQ3" t="str">
            <v>Annual Gross GHG Emissions (Gas)</v>
          </cell>
          <cell r="AR3" t="str">
            <v>Lifecycle Gross GHG Emissions (Electric)</v>
          </cell>
          <cell r="AS3" t="str">
            <v>Lifecycle Gross GHG Emissions (Gas)</v>
          </cell>
        </row>
        <row r="4">
          <cell r="B4" t="str">
            <v>Agricultural</v>
          </cell>
          <cell r="C4">
            <v>8746404.0578320269</v>
          </cell>
          <cell r="D4">
            <v>59866741.929275781</v>
          </cell>
          <cell r="E4">
            <v>18457.000834246039</v>
          </cell>
          <cell r="F4">
            <v>1170629.8475666766</v>
          </cell>
          <cell r="G4">
            <v>38994338.136156619</v>
          </cell>
          <cell r="H4">
            <v>12128.356941460042</v>
          </cell>
          <cell r="I4">
            <v>705031.9893371528</v>
          </cell>
          <cell r="J4">
            <v>570126032.79346037</v>
          </cell>
          <cell r="K4">
            <v>137016.00452513725</v>
          </cell>
          <cell r="L4">
            <v>16053723.905368671</v>
          </cell>
          <cell r="M4">
            <v>369145011.05935597</v>
          </cell>
          <cell r="N4">
            <v>89340.558428538672</v>
          </cell>
          <cell r="O4">
            <v>9695419.0703906752</v>
          </cell>
          <cell r="P4">
            <v>39380637.617168106</v>
          </cell>
          <cell r="Q4">
            <v>7538521.0462001357</v>
          </cell>
          <cell r="R4">
            <v>42183577.525131077</v>
          </cell>
          <cell r="S4">
            <v>18951506.994710509</v>
          </cell>
          <cell r="T4">
            <v>1.112261249900294</v>
          </cell>
          <cell r="U4">
            <v>2.4757481648537865</v>
          </cell>
          <cell r="V4">
            <v>0.83932957749121417</v>
          </cell>
          <cell r="W4">
            <v>0.16067042250878585</v>
          </cell>
          <cell r="X4">
            <v>9.5913321975095361E-2</v>
          </cell>
          <cell r="Y4">
            <v>0.69905727382053517</v>
          </cell>
          <cell r="Z4">
            <v>396.30292136081147</v>
          </cell>
          <cell r="AA4">
            <v>4.3090275859462977E-2</v>
          </cell>
          <cell r="AB4">
            <v>0.31406034271560912</v>
          </cell>
          <cell r="AC4">
            <v>178.04411163844952</v>
          </cell>
          <cell r="AD4">
            <v>19279.919115980829</v>
          </cell>
          <cell r="AE4">
            <v>4127.4263834922931</v>
          </cell>
          <cell r="AF4">
            <v>181941.37273194492</v>
          </cell>
          <cell r="AG4">
            <v>56718.201561785485</v>
          </cell>
          <cell r="AH4">
            <v>29597.196500767368</v>
          </cell>
          <cell r="AI4">
            <v>6853.4288992649745</v>
          </cell>
          <cell r="AJ4">
            <v>281009.06948979764</v>
          </cell>
          <cell r="AK4">
            <v>93914.28484640675</v>
          </cell>
          <cell r="AL4">
            <v>17490.448410451907</v>
          </cell>
          <cell r="AM4">
            <v>3744.3382305775549</v>
          </cell>
          <cell r="AN4">
            <v>165054.43691707074</v>
          </cell>
          <cell r="AO4">
            <v>51453.886937095391</v>
          </cell>
          <cell r="AP4">
            <v>26850.125012277258</v>
          </cell>
          <cell r="AQ4">
            <v>6217.3261140881132</v>
          </cell>
          <cell r="AR4">
            <v>254927.13964274118</v>
          </cell>
          <cell r="AS4">
            <v>85197.606080672515</v>
          </cell>
        </row>
        <row r="5">
          <cell r="B5" t="str">
            <v>Commercial</v>
          </cell>
          <cell r="C5">
            <v>40415950.461115651</v>
          </cell>
          <cell r="D5">
            <v>166943583.21145001</v>
          </cell>
          <cell r="E5">
            <v>29943.176047166195</v>
          </cell>
          <cell r="F5">
            <v>6356167.0982718794</v>
          </cell>
          <cell r="G5">
            <v>110281086.29345894</v>
          </cell>
          <cell r="H5">
            <v>20288.632525697933</v>
          </cell>
          <cell r="I5">
            <v>4008275.6615182697</v>
          </cell>
          <cell r="J5">
            <v>1698780435.6154151</v>
          </cell>
          <cell r="K5">
            <v>307924.35264707089</v>
          </cell>
          <cell r="L5">
            <v>73699682.523231581</v>
          </cell>
          <cell r="M5">
            <v>1120115279.0725217</v>
          </cell>
          <cell r="N5">
            <v>211134.62336547961</v>
          </cell>
          <cell r="O5">
            <v>45426120.309369832</v>
          </cell>
          <cell r="P5">
            <v>121803335.3322202</v>
          </cell>
          <cell r="Q5">
            <v>36281723.068386674</v>
          </cell>
          <cell r="R5">
            <v>155596320.90080741</v>
          </cell>
          <cell r="S5">
            <v>81258341.399579898</v>
          </cell>
          <cell r="T5">
            <v>1.0159948351310055</v>
          </cell>
          <cell r="U5">
            <v>1.9454625294803785</v>
          </cell>
          <cell r="V5">
            <v>0.77049239545179316</v>
          </cell>
          <cell r="W5">
            <v>0.2295076045482069</v>
          </cell>
          <cell r="X5">
            <v>0.10702986045652095</v>
          </cell>
          <cell r="Y5">
            <v>0.78612346031876645</v>
          </cell>
          <cell r="Z5">
            <v>567.8167801347463</v>
          </cell>
          <cell r="AA5">
            <v>5.5895080877071339E-2</v>
          </cell>
          <cell r="AB5">
            <v>0.41054369506284355</v>
          </cell>
          <cell r="AC5">
            <v>296.53560897505764</v>
          </cell>
          <cell r="AD5">
            <v>57333.077452378573</v>
          </cell>
          <cell r="AE5">
            <v>23466.220747763775</v>
          </cell>
          <cell r="AF5">
            <v>587046.71431273874</v>
          </cell>
          <cell r="AG5">
            <v>265742.80380981881</v>
          </cell>
          <cell r="AH5">
            <v>86596.60341419508</v>
          </cell>
          <cell r="AI5">
            <v>37213.24968551354</v>
          </cell>
          <cell r="AJ5">
            <v>887723.1663947528</v>
          </cell>
          <cell r="AK5">
            <v>431143.14276089997</v>
          </cell>
          <cell r="AL5">
            <v>52011.692962035348</v>
          </cell>
          <cell r="AM5">
            <v>21288.197367842451</v>
          </cell>
          <cell r="AN5">
            <v>532559.82089165028</v>
          </cell>
          <cell r="AO5">
            <v>241077.81638107882</v>
          </cell>
          <cell r="AP5">
            <v>78559.11715318881</v>
          </cell>
          <cell r="AQ5">
            <v>33759.292240507311</v>
          </cell>
          <cell r="AR5">
            <v>805328.90989779169</v>
          </cell>
          <cell r="AS5">
            <v>391126.47986832564</v>
          </cell>
        </row>
        <row r="6">
          <cell r="B6" t="str">
            <v>Industrial</v>
          </cell>
          <cell r="C6">
            <v>11518330.296438508</v>
          </cell>
          <cell r="D6">
            <v>44751046.718610011</v>
          </cell>
          <cell r="E6">
            <v>7997.8585077831585</v>
          </cell>
          <cell r="F6">
            <v>5810077.4540417446</v>
          </cell>
          <cell r="G6">
            <v>29086750.899777491</v>
          </cell>
          <cell r="H6">
            <v>5199.4703820569612</v>
          </cell>
          <cell r="I6">
            <v>3673616.4966939106</v>
          </cell>
          <cell r="J6">
            <v>575639447.7011565</v>
          </cell>
          <cell r="K6">
            <v>90576.234139123088</v>
          </cell>
          <cell r="L6">
            <v>63496533.33993645</v>
          </cell>
          <cell r="M6">
            <v>373991177.57483768</v>
          </cell>
          <cell r="N6">
            <v>58880.470133396346</v>
          </cell>
          <cell r="O6">
            <v>40115565.094457731</v>
          </cell>
          <cell r="P6">
            <v>36038067.494733892</v>
          </cell>
          <cell r="Q6">
            <v>33360459.319868885</v>
          </cell>
          <cell r="R6">
            <v>41093222.735873677</v>
          </cell>
          <cell r="S6">
            <v>25732789.571533438</v>
          </cell>
          <cell r="T6">
            <v>1.6888071120793127</v>
          </cell>
          <cell r="U6">
            <v>2.6968909306037303</v>
          </cell>
          <cell r="V6">
            <v>0.51929153468933287</v>
          </cell>
          <cell r="W6">
            <v>0.48070846531066719</v>
          </cell>
          <cell r="X6">
            <v>5.7058465491668729E-2</v>
          </cell>
          <cell r="Y6">
            <v>0.49242382575237348</v>
          </cell>
          <cell r="Z6">
            <v>362.41834773902355</v>
          </cell>
          <cell r="AA6">
            <v>3.5730307530490571E-2</v>
          </cell>
          <cell r="AB6">
            <v>0.30835835800810357</v>
          </cell>
          <cell r="AC6">
            <v>226.94825225011266</v>
          </cell>
          <cell r="AD6">
            <v>14760.549989671736</v>
          </cell>
          <cell r="AE6">
            <v>20767.272483386674</v>
          </cell>
          <cell r="AF6">
            <v>189800.94841609203</v>
          </cell>
          <cell r="AG6">
            <v>234676.05580257796</v>
          </cell>
          <cell r="AH6">
            <v>22714.166497282091</v>
          </cell>
          <cell r="AI6">
            <v>32673.709429284758</v>
          </cell>
          <cell r="AJ6">
            <v>291459.28132736089</v>
          </cell>
          <cell r="AK6">
            <v>371454.72003862867</v>
          </cell>
          <cell r="AL6">
            <v>13390.545704637208</v>
          </cell>
          <cell r="AM6">
            <v>18839.752688350087</v>
          </cell>
          <cell r="AN6">
            <v>172184.52404060395</v>
          </cell>
          <cell r="AO6">
            <v>212894.53666748485</v>
          </cell>
          <cell r="AP6">
            <v>20605.945228153338</v>
          </cell>
          <cell r="AQ6">
            <v>29641.090593440917</v>
          </cell>
          <cell r="AR6">
            <v>264407.41235154582</v>
          </cell>
          <cell r="AS6">
            <v>336978.05362001242</v>
          </cell>
        </row>
        <row r="7">
          <cell r="B7" t="str">
            <v>Public</v>
          </cell>
          <cell r="C7">
            <v>19566079.062241267</v>
          </cell>
          <cell r="D7">
            <v>98781680.455781221</v>
          </cell>
          <cell r="E7">
            <v>13656.227660698527</v>
          </cell>
          <cell r="F7">
            <v>135019.72138098429</v>
          </cell>
          <cell r="G7">
            <v>73258567.824994281</v>
          </cell>
          <cell r="H7">
            <v>10231.029018372177</v>
          </cell>
          <cell r="I7">
            <v>90495.149639543219</v>
          </cell>
          <cell r="J7">
            <v>1015686578.0065469</v>
          </cell>
          <cell r="K7">
            <v>145446.43768074299</v>
          </cell>
          <cell r="L7">
            <v>1317860.6859987455</v>
          </cell>
          <cell r="M7">
            <v>751674550.96098769</v>
          </cell>
          <cell r="N7">
            <v>108992.24477323142</v>
          </cell>
          <cell r="O7">
            <v>831476.518492262</v>
          </cell>
          <cell r="P7">
            <v>69541640.002951577</v>
          </cell>
          <cell r="Q7">
            <v>285868.50665086525</v>
          </cell>
          <cell r="R7">
            <v>102661182.44810666</v>
          </cell>
          <cell r="S7">
            <v>55658307.43676655</v>
          </cell>
          <cell r="T7">
            <v>0.68017440325995626</v>
          </cell>
          <cell r="U7">
            <v>1.2545747746449807</v>
          </cell>
          <cell r="V7">
            <v>0.99590607609017645</v>
          </cell>
          <cell r="W7">
            <v>4.0939239098234988E-3</v>
          </cell>
          <cell r="X7">
            <v>0.13601750285141417</v>
          </cell>
          <cell r="Y7">
            <v>0.50547076205732644</v>
          </cell>
          <cell r="Z7">
            <v>938.05660752646543</v>
          </cell>
          <cell r="AA7">
            <v>7.3742614393829245E-2</v>
          </cell>
          <cell r="AB7">
            <v>0.27404366873627617</v>
          </cell>
          <cell r="AC7">
            <v>508.57239133388896</v>
          </cell>
          <cell r="AD7">
            <v>35066.031481935366</v>
          </cell>
          <cell r="AE7">
            <v>665.31075641018811</v>
          </cell>
          <cell r="AF7">
            <v>389572.68486525444</v>
          </cell>
          <cell r="AG7">
            <v>4864.1376331802558</v>
          </cell>
          <cell r="AH7">
            <v>47393.083677002513</v>
          </cell>
          <cell r="AI7">
            <v>956.60644716632532</v>
          </cell>
          <cell r="AJ7">
            <v>518303.44891359919</v>
          </cell>
          <cell r="AK7">
            <v>7709.4850130932045</v>
          </cell>
          <cell r="AL7">
            <v>31811.368652770998</v>
          </cell>
          <cell r="AM7">
            <v>603.55976557317319</v>
          </cell>
          <cell r="AN7">
            <v>353414.39483058389</v>
          </cell>
          <cell r="AO7">
            <v>4412.6714340807966</v>
          </cell>
          <cell r="AP7">
            <v>42994.282293319295</v>
          </cell>
          <cell r="AQ7">
            <v>867.81877105489707</v>
          </cell>
          <cell r="AR7">
            <v>470196.97954378161</v>
          </cell>
          <cell r="AS7">
            <v>6993.9271571367781</v>
          </cell>
        </row>
        <row r="8">
          <cell r="B8" t="str">
            <v>Residential</v>
          </cell>
          <cell r="C8">
            <v>43237959.977361441</v>
          </cell>
          <cell r="D8">
            <v>219032084.586593</v>
          </cell>
          <cell r="E8">
            <v>25940.918514026871</v>
          </cell>
          <cell r="F8">
            <v>4461743.9588980814</v>
          </cell>
          <cell r="G8">
            <v>191823888.83913517</v>
          </cell>
          <cell r="H8">
            <v>17601.755726951254</v>
          </cell>
          <cell r="I8">
            <v>4228088.4949358823</v>
          </cell>
          <cell r="J8">
            <v>1284712642.3934116</v>
          </cell>
          <cell r="K8">
            <v>293492.46343470411</v>
          </cell>
          <cell r="L8">
            <v>14066155.601833591</v>
          </cell>
          <cell r="M8">
            <v>937582649.58946908</v>
          </cell>
          <cell r="N8">
            <v>202395.8952038876</v>
          </cell>
          <cell r="O8">
            <v>8191488.770033624</v>
          </cell>
          <cell r="P8">
            <v>107610429.10122919</v>
          </cell>
          <cell r="Q8">
            <v>6234178.4620709848</v>
          </cell>
          <cell r="R8">
            <v>138742080.32172889</v>
          </cell>
          <cell r="S8">
            <v>73149849.204022199</v>
          </cell>
          <cell r="T8">
            <v>0.82054851202537848</v>
          </cell>
          <cell r="U8">
            <v>1.556320468218277</v>
          </cell>
          <cell r="V8">
            <v>0.94523958055189705</v>
          </cell>
          <cell r="W8">
            <v>5.4760419448102893E-2</v>
          </cell>
          <cell r="X8">
            <v>0.13987514153086311</v>
          </cell>
          <cell r="Y8">
            <v>0.92749617643546733</v>
          </cell>
          <cell r="Z8">
            <v>647.96030411633365</v>
          </cell>
          <cell r="AA8">
            <v>7.3747240106586856E-2</v>
          </cell>
          <cell r="AB8">
            <v>0.48900957291567998</v>
          </cell>
          <cell r="AC8">
            <v>341.62813781075312</v>
          </cell>
          <cell r="AD8">
            <v>98926.244436569759</v>
          </cell>
          <cell r="AE8">
            <v>24715.347789824675</v>
          </cell>
          <cell r="AF8">
            <v>491469.88505273795</v>
          </cell>
          <cell r="AG8">
            <v>47920.209304697099</v>
          </cell>
          <cell r="AH8">
            <v>113348.45123905952</v>
          </cell>
          <cell r="AI8">
            <v>26070.221140190326</v>
          </cell>
          <cell r="AJ8">
            <v>674162.11906477273</v>
          </cell>
          <cell r="AK8">
            <v>82287.010270766637</v>
          </cell>
          <cell r="AL8">
            <v>89744.37933836499</v>
          </cell>
          <cell r="AM8">
            <v>22421.386358721425</v>
          </cell>
          <cell r="AN8">
            <v>445853.97988939309</v>
          </cell>
          <cell r="AO8">
            <v>43472.48261882674</v>
          </cell>
          <cell r="AP8">
            <v>102827.98526670775</v>
          </cell>
          <cell r="AQ8">
            <v>23650.506786805803</v>
          </cell>
          <cell r="AR8">
            <v>611589.58670161816</v>
          </cell>
          <cell r="AS8">
            <v>74649.520017861942</v>
          </cell>
        </row>
        <row r="9">
          <cell r="B9" t="str">
            <v>ESA</v>
          </cell>
          <cell r="C9">
            <v>0</v>
          </cell>
          <cell r="D9">
            <v>59263365.139513806</v>
          </cell>
          <cell r="E9">
            <v>69550.249273289999</v>
          </cell>
          <cell r="F9">
            <v>1651228.0338000001</v>
          </cell>
          <cell r="G9">
            <v>62226533.396489501</v>
          </cell>
          <cell r="H9">
            <v>73027.761736954504</v>
          </cell>
          <cell r="I9">
            <v>1733789.4354900001</v>
          </cell>
          <cell r="J9">
            <v>876019711.38700509</v>
          </cell>
          <cell r="K9">
            <v>1092011.3177545299</v>
          </cell>
          <cell r="L9">
            <v>17277210.797000002</v>
          </cell>
          <cell r="M9">
            <v>919820696.95635533</v>
          </cell>
          <cell r="N9">
            <v>1146611.8836422565</v>
          </cell>
          <cell r="O9">
            <v>18141071.336850006</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row>
        <row r="10">
          <cell r="B10" t="str">
            <v>Cross-Cutting</v>
          </cell>
          <cell r="C10">
            <v>1095</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37693373.185760215</v>
          </cell>
          <cell r="S10">
            <v>37693982.179400541</v>
          </cell>
          <cell r="T10">
            <v>0</v>
          </cell>
          <cell r="U10">
            <v>0</v>
          </cell>
          <cell r="V10">
            <v>0</v>
          </cell>
          <cell r="W10">
            <v>0</v>
          </cell>
          <cell r="X10">
            <v>0</v>
          </cell>
          <cell r="Y10">
            <v>0</v>
          </cell>
          <cell r="Z10">
            <v>0</v>
          </cell>
          <cell r="AA10">
            <v>0</v>
          </cell>
          <cell r="AB10">
            <v>0</v>
          </cell>
          <cell r="AC10">
            <v>0</v>
          </cell>
          <cell r="AD10">
            <v>278.40244264386598</v>
          </cell>
          <cell r="AE10">
            <v>0</v>
          </cell>
          <cell r="AF10">
            <v>4176.0366396580002</v>
          </cell>
          <cell r="AG10">
            <v>0</v>
          </cell>
          <cell r="AH10">
            <v>428.31145022133302</v>
          </cell>
          <cell r="AI10">
            <v>0</v>
          </cell>
          <cell r="AJ10">
            <v>6424.6717533199999</v>
          </cell>
          <cell r="AK10">
            <v>0</v>
          </cell>
          <cell r="AL10">
            <v>252.56244754523769</v>
          </cell>
          <cell r="AM10">
            <v>0</v>
          </cell>
          <cell r="AN10">
            <v>3788.4367131785748</v>
          </cell>
          <cell r="AO10">
            <v>0</v>
          </cell>
          <cell r="AP10">
            <v>388.55761160805866</v>
          </cell>
          <cell r="AQ10">
            <v>0</v>
          </cell>
          <cell r="AR10">
            <v>5828.3641741208839</v>
          </cell>
          <cell r="AS10">
            <v>0</v>
          </cell>
        </row>
        <row r="11">
          <cell r="B11" t="str">
            <v>ET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row>
        <row r="12">
          <cell r="B12" t="str">
            <v>C&amp;S (6)</v>
          </cell>
          <cell r="C12">
            <v>0</v>
          </cell>
          <cell r="D12">
            <v>833920263.51775491</v>
          </cell>
          <cell r="E12">
            <v>152700.71721308908</v>
          </cell>
          <cell r="F12">
            <v>13344166.901454885</v>
          </cell>
          <cell r="G12">
            <v>833920263.51775491</v>
          </cell>
          <cell r="H12">
            <v>152700.71721308908</v>
          </cell>
          <cell r="I12">
            <v>13344166.901454885</v>
          </cell>
          <cell r="J12">
            <v>10066555741.852135</v>
          </cell>
          <cell r="K12">
            <v>2062278.5588182979</v>
          </cell>
          <cell r="L12">
            <v>216672263.1634042</v>
          </cell>
          <cell r="M12">
            <v>10066555741.852135</v>
          </cell>
          <cell r="N12">
            <v>2062278.5588182979</v>
          </cell>
          <cell r="O12">
            <v>216672263.1634042</v>
          </cell>
          <cell r="P12">
            <v>1029644870.0010686</v>
          </cell>
          <cell r="Q12">
            <v>158926718.07251763</v>
          </cell>
          <cell r="R12">
            <v>375153276.4334172</v>
          </cell>
          <cell r="S12">
            <v>16216002.73</v>
          </cell>
          <cell r="T12">
            <v>3.1682292618455534</v>
          </cell>
          <cell r="U12">
            <v>73.296212874625368</v>
          </cell>
          <cell r="V12">
            <v>0.86628763495003025</v>
          </cell>
          <cell r="W12">
            <v>0.13371236504996975</v>
          </cell>
          <cell r="X12">
            <v>3.22841946063138E-2</v>
          </cell>
          <cell r="Y12">
            <v>0.23151385929968785</v>
          </cell>
          <cell r="Z12">
            <v>157.58814113428119</v>
          </cell>
          <cell r="AA12">
            <v>1.3954845146201226E-3</v>
          </cell>
          <cell r="AB12">
            <v>1.0007188022261297E-2</v>
          </cell>
          <cell r="AC12">
            <v>6.8117483902680886</v>
          </cell>
          <cell r="AD12">
            <v>402182.02221625694</v>
          </cell>
          <cell r="AE12">
            <v>78063.376373510953</v>
          </cell>
          <cell r="AF12">
            <v>4922071.2418269347</v>
          </cell>
          <cell r="AG12">
            <v>1267532.7395059152</v>
          </cell>
          <cell r="AH12">
            <v>402182.02221625694</v>
          </cell>
          <cell r="AI12">
            <v>78063.376373510953</v>
          </cell>
          <cell r="AJ12">
            <v>4922071.2418269347</v>
          </cell>
          <cell r="AK12">
            <v>1267532.7395059152</v>
          </cell>
          <cell r="AL12">
            <v>364853.39325692528</v>
          </cell>
          <cell r="AM12">
            <v>70817.90379892489</v>
          </cell>
          <cell r="AN12">
            <v>4465227.9197781961</v>
          </cell>
          <cell r="AO12">
            <v>1149886.3587301488</v>
          </cell>
          <cell r="AP12">
            <v>364853.39325692528</v>
          </cell>
          <cell r="AQ12">
            <v>70817.90379892489</v>
          </cell>
          <cell r="AR12">
            <v>4465227.9197781961</v>
          </cell>
          <cell r="AS12">
            <v>1149886.3587301488</v>
          </cell>
        </row>
        <row r="13">
          <cell r="B13" t="str">
            <v>BayREN</v>
          </cell>
          <cell r="C13">
            <v>0</v>
          </cell>
          <cell r="D13">
            <v>2720630</v>
          </cell>
          <cell r="E13">
            <v>1589</v>
          </cell>
          <cell r="F13">
            <v>277123</v>
          </cell>
          <cell r="G13">
            <v>2370542</v>
          </cell>
          <cell r="H13">
            <v>1311</v>
          </cell>
          <cell r="I13">
            <v>228707</v>
          </cell>
          <cell r="J13">
            <v>32856627</v>
          </cell>
          <cell r="K13">
            <v>0</v>
          </cell>
          <cell r="L13">
            <v>4105390</v>
          </cell>
          <cell r="M13">
            <v>28824445</v>
          </cell>
          <cell r="N13">
            <v>0</v>
          </cell>
          <cell r="O13">
            <v>3379571</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B14" t="str">
            <v>MCE</v>
          </cell>
          <cell r="C14">
            <v>0</v>
          </cell>
          <cell r="D14">
            <v>1654237</v>
          </cell>
          <cell r="E14">
            <v>296</v>
          </cell>
          <cell r="F14">
            <v>34449</v>
          </cell>
          <cell r="G14">
            <v>1262243</v>
          </cell>
          <cell r="H14">
            <v>223</v>
          </cell>
          <cell r="I14">
            <v>34821</v>
          </cell>
          <cell r="J14">
            <v>16102562</v>
          </cell>
          <cell r="K14">
            <v>0</v>
          </cell>
          <cell r="L14">
            <v>129626</v>
          </cell>
          <cell r="M14">
            <v>12229219</v>
          </cell>
          <cell r="N14">
            <v>0</v>
          </cell>
          <cell r="O14">
            <v>126577</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B15" t="str">
            <v>EE PORTFOLIO (with C&amp;S) (2) (3)</v>
          </cell>
          <cell r="C15">
            <v>123485818.85498889</v>
          </cell>
          <cell r="D15">
            <v>1486933632.5589788</v>
          </cell>
          <cell r="E15">
            <v>320131.14805029985</v>
          </cell>
          <cell r="F15">
            <v>33240605.015414249</v>
          </cell>
          <cell r="G15">
            <v>1343224213.9077668</v>
          </cell>
          <cell r="H15">
            <v>292711.72354458197</v>
          </cell>
          <cell r="I15">
            <v>28046992.129069645</v>
          </cell>
          <cell r="J15">
            <v>16136479778.74913</v>
          </cell>
          <cell r="K15">
            <v>4128745.368999606</v>
          </cell>
          <cell r="L15">
            <v>406818446.01677322</v>
          </cell>
          <cell r="M15">
            <v>14579938771.065662</v>
          </cell>
          <cell r="N15">
            <v>3879634.2343650879</v>
          </cell>
          <cell r="O15">
            <v>342579552.26299834</v>
          </cell>
          <cell r="P15">
            <v>1404018979.5493715</v>
          </cell>
          <cell r="Q15">
            <v>242627468.47569519</v>
          </cell>
          <cell r="R15">
            <v>893123033.55082512</v>
          </cell>
          <cell r="S15">
            <v>308660779.51601315</v>
          </cell>
          <cell r="T15">
            <v>1.8436949738922623</v>
          </cell>
          <cell r="U15">
            <v>5.3348094649635893</v>
          </cell>
          <cell r="V15">
            <v>0.85265357431967592</v>
          </cell>
          <cell r="W15">
            <v>0.14734642568032413</v>
          </cell>
          <cell r="X15">
            <v>5.2230983875982517E-2</v>
          </cell>
          <cell r="Y15">
            <v>0.38413993426395199</v>
          </cell>
          <cell r="Z15">
            <v>196.28771705304027</v>
          </cell>
          <cell r="AA15">
            <v>1.8050879433658271E-2</v>
          </cell>
          <cell r="AB15">
            <v>0.13275766842754264</v>
          </cell>
          <cell r="AC15">
            <v>67.836476587256485</v>
          </cell>
          <cell r="AD15">
            <v>627826.24713543709</v>
          </cell>
          <cell r="AE15">
            <v>151804.95453438855</v>
          </cell>
          <cell r="AF15">
            <v>6766078.8838453609</v>
          </cell>
          <cell r="AG15">
            <v>1877454.1476179748</v>
          </cell>
          <cell r="AH15">
            <v>702259.83499478479</v>
          </cell>
          <cell r="AI15">
            <v>181830.59197493087</v>
          </cell>
          <cell r="AJ15">
            <v>7581152.9987705378</v>
          </cell>
          <cell r="AK15">
            <v>2254041.3824357106</v>
          </cell>
          <cell r="AL15">
            <v>569554.39077273093</v>
          </cell>
          <cell r="AM15">
            <v>137715.13820998959</v>
          </cell>
          <cell r="AN15">
            <v>6138083.5130606769</v>
          </cell>
          <cell r="AO15">
            <v>1703197.7527687154</v>
          </cell>
          <cell r="AP15">
            <v>272226.01256525452</v>
          </cell>
          <cell r="AQ15">
            <v>94136.034505897027</v>
          </cell>
          <cell r="AR15">
            <v>2412278.3923115996</v>
          </cell>
          <cell r="AS15">
            <v>894945.58674400928</v>
          </cell>
        </row>
        <row r="16">
          <cell r="B16" t="str">
            <v>EE PORTFOLIO (without C&amp;S) (2) (3)</v>
          </cell>
          <cell r="C16">
            <v>123485818.85498889</v>
          </cell>
          <cell r="D16">
            <v>653013369.04122388</v>
          </cell>
          <cell r="E16">
            <v>167430.43083721076</v>
          </cell>
          <cell r="F16">
            <v>19896438.113959365</v>
          </cell>
          <cell r="G16">
            <v>509303950.39001191</v>
          </cell>
          <cell r="H16">
            <v>140011.00633149288</v>
          </cell>
          <cell r="I16">
            <v>14702825.22761476</v>
          </cell>
          <cell r="J16">
            <v>6069924036.8969955</v>
          </cell>
          <cell r="K16">
            <v>2066466.8101813081</v>
          </cell>
          <cell r="L16">
            <v>190146182.85336903</v>
          </cell>
          <cell r="M16">
            <v>4513383029.2135277</v>
          </cell>
          <cell r="N16">
            <v>1817355.67554679</v>
          </cell>
          <cell r="O16">
            <v>125907289.09959415</v>
          </cell>
          <cell r="P16">
            <v>374374109.54830289</v>
          </cell>
          <cell r="Q16">
            <v>83700750.403177559</v>
          </cell>
          <cell r="R16">
            <v>517969757.11740792</v>
          </cell>
          <cell r="S16">
            <v>292444776.78601313</v>
          </cell>
          <cell r="T16">
            <v>0.8843660342270695</v>
          </cell>
          <cell r="U16">
            <v>1.5663636225127786</v>
          </cell>
          <cell r="V16">
            <v>0.8172771358549491</v>
          </cell>
          <cell r="W16">
            <v>0.18272286414505085</v>
          </cell>
          <cell r="X16">
            <v>9.3793244849011762E-2</v>
          </cell>
          <cell r="Y16">
            <v>0.75170324321845949</v>
          </cell>
          <cell r="Z16">
            <v>232.93450217389756</v>
          </cell>
          <cell r="AA16">
            <v>5.2955494364293018E-2</v>
          </cell>
          <cell r="AB16">
            <v>0.42441027521712116</v>
          </cell>
          <cell r="AC16">
            <v>131.51439356828263</v>
          </cell>
          <cell r="AD16">
            <v>225644.22491918015</v>
          </cell>
          <cell r="AE16">
            <v>73741.578160877601</v>
          </cell>
          <cell r="AF16">
            <v>1844007.6420184262</v>
          </cell>
          <cell r="AG16">
            <v>609921.40811205958</v>
          </cell>
          <cell r="AH16">
            <v>300077.81277852785</v>
          </cell>
          <cell r="AI16">
            <v>103767.21560141991</v>
          </cell>
          <cell r="AJ16">
            <v>2659081.756943603</v>
          </cell>
          <cell r="AK16">
            <v>986508.64292979543</v>
          </cell>
          <cell r="AL16">
            <v>204700.99751580565</v>
          </cell>
          <cell r="AM16">
            <v>66897.234411064695</v>
          </cell>
          <cell r="AN16">
            <v>1672855.5932824807</v>
          </cell>
          <cell r="AO16">
            <v>553311.39403856662</v>
          </cell>
          <cell r="AP16">
            <v>-92627.380691670754</v>
          </cell>
          <cell r="AQ16">
            <v>23318.130706972137</v>
          </cell>
          <cell r="AR16">
            <v>-2052949.5274665966</v>
          </cell>
          <cell r="AS16">
            <v>-254940.77198613947</v>
          </cell>
        </row>
        <row r="25">
          <cell r="A25" t="str">
            <v>DWELL_TYPE (8)</v>
          </cell>
          <cell r="B25" t="str">
            <v>deliverytype</v>
          </cell>
          <cell r="C25" t="str">
            <v>RebatesandIncents</v>
          </cell>
          <cell r="D25" t="str">
            <v>FirstYearGrossKWh</v>
          </cell>
          <cell r="E25" t="str">
            <v>FirstYearGrossKW</v>
          </cell>
          <cell r="F25" t="str">
            <v>FirstYearGrossThm</v>
          </cell>
          <cell r="G25" t="str">
            <v>FirstYearNetKWh</v>
          </cell>
          <cell r="H25" t="str">
            <v>FirstYearNetKW</v>
          </cell>
          <cell r="I25" t="str">
            <v>FirstYearNetThm</v>
          </cell>
          <cell r="J25" t="str">
            <v>LifecycleGrossKWh</v>
          </cell>
          <cell r="K25" t="str">
            <v>LifecycleGrossKW</v>
          </cell>
          <cell r="L25" t="str">
            <v>LifecycleGrossThm</v>
          </cell>
          <cell r="M25" t="str">
            <v>LifecycleNetKWh</v>
          </cell>
          <cell r="N25" t="str">
            <v>LifecycleNetKW</v>
          </cell>
          <cell r="O25" t="str">
            <v>LifecycleNetThm</v>
          </cell>
          <cell r="P25" t="str">
            <v>ElecBen</v>
          </cell>
          <cell r="Q25" t="str">
            <v>GasBen</v>
          </cell>
          <cell r="R25" t="str">
            <v>TRCCost</v>
          </cell>
          <cell r="S25" t="str">
            <v>PACCost</v>
          </cell>
          <cell r="T25" t="str">
            <v>TRC</v>
          </cell>
          <cell r="U25" t="str">
            <v>PAC</v>
          </cell>
          <cell r="V25" t="str">
            <v>Electric Split</v>
          </cell>
          <cell r="W25" t="str">
            <v>Gas Split</v>
          </cell>
          <cell r="X25" t="str">
            <v>TRC Cost per kWh Saved ($/kWh)</v>
          </cell>
          <cell r="Y25" t="str">
            <v>TRC Cost per therm Saved ($/therm)</v>
          </cell>
          <cell r="Z25" t="str">
            <v>TRC Cost per kW Saved ($/kW) (4)</v>
          </cell>
          <cell r="AA25" t="str">
            <v>PAC Cost per kWh Saved ($/kWh)</v>
          </cell>
          <cell r="AB25" t="str">
            <v>PAC Cost per therm Saved ($/therm)</v>
          </cell>
          <cell r="AC25" t="str">
            <v>PAC Cost per kW Saved ($/kW) (4)</v>
          </cell>
          <cell r="AD25" t="str">
            <v>NetElecCO2</v>
          </cell>
          <cell r="AE25" t="str">
            <v>NetGasCO2</v>
          </cell>
          <cell r="AF25" t="str">
            <v>NetElecCO2Lifecycle</v>
          </cell>
          <cell r="AG25" t="str">
            <v>NetGasCO2Lifecycle</v>
          </cell>
          <cell r="AH25" t="str">
            <v>GrossElecCO2</v>
          </cell>
          <cell r="AI25" t="str">
            <v>GrossGasCO2</v>
          </cell>
          <cell r="AJ25" t="str">
            <v>GrossElecCO2Lifecycle</v>
          </cell>
          <cell r="AK25" t="str">
            <v>GrossGasCO2Lifecycle</v>
          </cell>
          <cell r="AL25" t="str">
            <v>Annual Net GHG Emissions (Electric)</v>
          </cell>
          <cell r="AM25" t="str">
            <v>Annual Net GHG Emissions (Gas)</v>
          </cell>
          <cell r="AN25" t="str">
            <v>Lifecycle Net GHG Emissions (Electric)</v>
          </cell>
          <cell r="AO25" t="str">
            <v>Lifecycle Net GHG Emissions (Gas)</v>
          </cell>
          <cell r="AP25" t="str">
            <v>Annual Gross GHG Emissions (Electric)</v>
          </cell>
          <cell r="AQ25" t="str">
            <v>Annual Gross GHG Emissions (Gas)</v>
          </cell>
          <cell r="AR25" t="str">
            <v>Lifecycle Gross GHG Emissions (Electric)</v>
          </cell>
          <cell r="AS25" t="str">
            <v>Lifecycle Gross GHG Emissions (Gas)</v>
          </cell>
        </row>
        <row r="26">
          <cell r="A26" t="str">
            <v>MF</v>
          </cell>
          <cell r="B26" t="str">
            <v>Non-AUDIT</v>
          </cell>
          <cell r="C26">
            <v>4513449.054743452</v>
          </cell>
          <cell r="D26">
            <v>4793310.0814807955</v>
          </cell>
          <cell r="E26">
            <v>2816.7605610677624</v>
          </cell>
          <cell r="F26">
            <v>484113.38209337875</v>
          </cell>
          <cell r="G26">
            <v>3424220.4622567752</v>
          </cell>
          <cell r="H26">
            <v>2022.3164243378421</v>
          </cell>
          <cell r="I26">
            <v>310750.06102027913</v>
          </cell>
          <cell r="J26">
            <v>57849491.939594664</v>
          </cell>
          <cell r="K26">
            <v>33506.68941425463</v>
          </cell>
          <cell r="L26">
            <v>8452847.1184293665</v>
          </cell>
          <cell r="M26">
            <v>42424208.451191917</v>
          </cell>
          <cell r="N26">
            <v>24762.823835930485</v>
          </cell>
          <cell r="O26">
            <v>5386953.6841320796</v>
          </cell>
          <cell r="P26">
            <v>7372858.8433150034</v>
          </cell>
          <cell r="Q26">
            <v>4103968.317070378</v>
          </cell>
          <cell r="R26">
            <v>19592506.407061834</v>
          </cell>
          <cell r="S26">
            <v>7012114.8190026432</v>
          </cell>
          <cell r="T26">
            <v>0.58577636377593456</v>
          </cell>
          <cell r="U26">
            <v>1.6367140950521071</v>
          </cell>
          <cell r="V26">
            <v>0.64241264073087512</v>
          </cell>
          <cell r="W26">
            <v>0.35758735926912488</v>
          </cell>
          <cell r="X26">
            <v>0.29668140524006786</v>
          </cell>
          <cell r="Y26">
            <v>1.3005555715471926</v>
          </cell>
          <cell r="Z26">
            <v>508.28103704531458</v>
          </cell>
          <cell r="AA26">
            <v>0.10618162041057554</v>
          </cell>
          <cell r="AB26">
            <v>0.46546596983096955</v>
          </cell>
          <cell r="AC26">
            <v>181.91266181231643</v>
          </cell>
          <cell r="AD26">
            <v>1895.2298483636926</v>
          </cell>
          <cell r="AE26">
            <v>1816.2475340159665</v>
          </cell>
          <cell r="AF26">
            <v>23528.685271470669</v>
          </cell>
          <cell r="AG26">
            <v>31513.679052172713</v>
          </cell>
          <cell r="AH26">
            <v>2652.6617485554971</v>
          </cell>
          <cell r="AI26">
            <v>2829.3424799867835</v>
          </cell>
          <cell r="AJ26">
            <v>32073.223756987281</v>
          </cell>
          <cell r="AK26">
            <v>49449.155642811907</v>
          </cell>
          <cell r="AL26">
            <v>1719.323597228037</v>
          </cell>
          <cell r="AM26">
            <v>1647.6720469218976</v>
          </cell>
          <cell r="AN26">
            <v>21344.864230540712</v>
          </cell>
          <cell r="AO26">
            <v>28588.728737388436</v>
          </cell>
          <cell r="AP26">
            <v>2406.4542586712373</v>
          </cell>
          <cell r="AQ26">
            <v>2566.736322077737</v>
          </cell>
          <cell r="AR26">
            <v>29096.339154944009</v>
          </cell>
          <cell r="AS26">
            <v>44859.519405043357</v>
          </cell>
        </row>
        <row r="27">
          <cell r="B27" t="str">
            <v>OnLineAudit</v>
          </cell>
          <cell r="C27">
            <v>0</v>
          </cell>
          <cell r="D27">
            <v>25878764.593602017</v>
          </cell>
          <cell r="E27">
            <v>0</v>
          </cell>
          <cell r="F27">
            <v>756150.35416164272</v>
          </cell>
          <cell r="G27">
            <v>26019425.388479531</v>
          </cell>
          <cell r="H27">
            <v>0</v>
          </cell>
          <cell r="I27">
            <v>793826.5438697245</v>
          </cell>
          <cell r="J27">
            <v>31019941.825606942</v>
          </cell>
          <cell r="K27">
            <v>0</v>
          </cell>
          <cell r="L27">
            <v>756426.83416164259</v>
          </cell>
          <cell r="M27">
            <v>29111106.612474956</v>
          </cell>
          <cell r="N27">
            <v>0</v>
          </cell>
          <cell r="O27">
            <v>793854.19186972454</v>
          </cell>
          <cell r="P27">
            <v>3662657.9064911529</v>
          </cell>
          <cell r="Q27">
            <v>780805.59733410692</v>
          </cell>
          <cell r="R27">
            <v>3137008.6118151098</v>
          </cell>
          <cell r="S27">
            <v>2671141.7939997339</v>
          </cell>
          <cell r="T27">
            <v>1.416465191421397</v>
          </cell>
          <cell r="U27">
            <v>1.6635071615467012</v>
          </cell>
          <cell r="V27">
            <v>0.82427995714110569</v>
          </cell>
          <cell r="W27">
            <v>0.1757200428588942</v>
          </cell>
          <cell r="X27">
            <v>8.8824288218234862E-2</v>
          </cell>
          <cell r="Y27">
            <v>0.69437850598051853</v>
          </cell>
          <cell r="Z27">
            <v>0</v>
          </cell>
          <cell r="AA27">
            <v>7.5633285700392947E-2</v>
          </cell>
          <cell r="AB27">
            <v>0.59125864085736701</v>
          </cell>
          <cell r="AC27">
            <v>0</v>
          </cell>
          <cell r="AD27">
            <v>11285.28502760698</v>
          </cell>
          <cell r="AE27">
            <v>3947.3024893922061</v>
          </cell>
          <cell r="AF27">
            <v>12645.877586803326</v>
          </cell>
          <cell r="AG27">
            <v>3947.4399690722062</v>
          </cell>
          <cell r="AH27">
            <v>11231.258483449898</v>
          </cell>
          <cell r="AI27">
            <v>3759.957636068767</v>
          </cell>
          <cell r="AJ27">
            <v>13493.796882612867</v>
          </cell>
          <cell r="AK27">
            <v>3761.3324328687672</v>
          </cell>
          <cell r="AL27">
            <v>10237.838363595418</v>
          </cell>
          <cell r="AM27">
            <v>3580.9325825405817</v>
          </cell>
          <cell r="AN27">
            <v>11472.147170655877</v>
          </cell>
          <cell r="AO27">
            <v>3581.057302008338</v>
          </cell>
          <cell r="AP27">
            <v>10188.826307181178</v>
          </cell>
          <cell r="AQ27">
            <v>3410.9761904880215</v>
          </cell>
          <cell r="AR27">
            <v>12241.366616565829</v>
          </cell>
          <cell r="AS27">
            <v>3412.2233851655824</v>
          </cell>
        </row>
        <row r="28">
          <cell r="A28" t="str">
            <v>MF TOTAL (9)</v>
          </cell>
          <cell r="C28">
            <v>4513449.054743452</v>
          </cell>
          <cell r="D28">
            <v>30672074.67508281</v>
          </cell>
          <cell r="E28">
            <v>2816.7605610677624</v>
          </cell>
          <cell r="F28">
            <v>1240263.7362550215</v>
          </cell>
          <cell r="G28">
            <v>29443645.850736305</v>
          </cell>
          <cell r="H28">
            <v>2022.3164243378421</v>
          </cell>
          <cell r="I28">
            <v>1104576.6048900036</v>
          </cell>
          <cell r="J28">
            <v>88869433.765201598</v>
          </cell>
          <cell r="K28">
            <v>33506.68941425463</v>
          </cell>
          <cell r="L28">
            <v>9209273.9525910094</v>
          </cell>
          <cell r="M28">
            <v>71535315.06366688</v>
          </cell>
          <cell r="N28">
            <v>24762.823835930485</v>
          </cell>
          <cell r="O28">
            <v>6180807.8760018041</v>
          </cell>
          <cell r="P28">
            <v>11035516.749806156</v>
          </cell>
          <cell r="Q28">
            <v>4884773.9144044854</v>
          </cell>
          <cell r="R28">
            <v>22729515.018876944</v>
          </cell>
          <cell r="S28">
            <v>9683256.6130023766</v>
          </cell>
          <cell r="T28">
            <v>0.70042368484275985</v>
          </cell>
          <cell r="U28">
            <v>1.644105005214193</v>
          </cell>
          <cell r="V28">
            <v>0.69317306967355663</v>
          </cell>
          <cell r="W28">
            <v>0.30682693032644337</v>
          </cell>
          <cell r="X28">
            <v>0.22024768722698232</v>
          </cell>
          <cell r="Y28">
            <v>1.1283358843960885</v>
          </cell>
          <cell r="Z28">
            <v>636.25569532038446</v>
          </cell>
          <cell r="AA28">
            <v>9.3830197083744571E-2</v>
          </cell>
          <cell r="AB28">
            <v>0.48069507445241372</v>
          </cell>
          <cell r="AC28">
            <v>271.05845259587733</v>
          </cell>
          <cell r="AD28">
            <v>13180.514875970674</v>
          </cell>
          <cell r="AE28">
            <v>5763.5500234081728</v>
          </cell>
          <cell r="AF28">
            <v>36174.562858273996</v>
          </cell>
          <cell r="AG28">
            <v>35461.119021244922</v>
          </cell>
          <cell r="AH28">
            <v>13883.920232005396</v>
          </cell>
          <cell r="AI28">
            <v>6589.3001160555505</v>
          </cell>
          <cell r="AJ28">
            <v>45567.020639600145</v>
          </cell>
          <cell r="AK28">
            <v>53210.488075680674</v>
          </cell>
          <cell r="AL28">
            <v>11957.161960823454</v>
          </cell>
          <cell r="AM28">
            <v>5228.6046294624794</v>
          </cell>
          <cell r="AN28">
            <v>32817.011401196592</v>
          </cell>
          <cell r="AO28">
            <v>32169.786039396775</v>
          </cell>
          <cell r="AP28">
            <v>12595.280565852416</v>
          </cell>
          <cell r="AQ28">
            <v>5977.7125125657585</v>
          </cell>
          <cell r="AR28">
            <v>41337.705771509834</v>
          </cell>
          <cell r="AS28">
            <v>48271.74279020894</v>
          </cell>
        </row>
        <row r="29">
          <cell r="A29" t="str">
            <v>SF</v>
          </cell>
          <cell r="B29" t="str">
            <v>Opt-out (OnLineAudit)</v>
          </cell>
          <cell r="C29">
            <v>0</v>
          </cell>
          <cell r="D29">
            <v>103515058.37440807</v>
          </cell>
          <cell r="E29">
            <v>0</v>
          </cell>
          <cell r="F29">
            <v>3024601.4166465709</v>
          </cell>
          <cell r="G29">
            <v>104077701.55391812</v>
          </cell>
          <cell r="H29">
            <v>0</v>
          </cell>
          <cell r="I29">
            <v>3175306.175478898</v>
          </cell>
          <cell r="J29">
            <v>124079767.30242777</v>
          </cell>
          <cell r="K29">
            <v>0</v>
          </cell>
          <cell r="L29">
            <v>3025707.3366465704</v>
          </cell>
          <cell r="M29">
            <v>116444426.44989982</v>
          </cell>
          <cell r="N29">
            <v>0</v>
          </cell>
          <cell r="O29">
            <v>3175416.7674788982</v>
          </cell>
          <cell r="P29">
            <v>14650631.625964612</v>
          </cell>
          <cell r="Q29">
            <v>3123222.3893364277</v>
          </cell>
          <cell r="R29">
            <v>12548034.447260439</v>
          </cell>
          <cell r="S29">
            <v>10684567.175998935</v>
          </cell>
          <cell r="T29">
            <v>1.416465191421397</v>
          </cell>
          <cell r="U29">
            <v>1.6635071615467012</v>
          </cell>
          <cell r="V29">
            <v>0.82427995714110569</v>
          </cell>
          <cell r="W29">
            <v>0.1757200428588942</v>
          </cell>
          <cell r="X29">
            <v>8.8824288218234862E-2</v>
          </cell>
          <cell r="Y29">
            <v>0.69437850598051853</v>
          </cell>
          <cell r="Z29">
            <v>0</v>
          </cell>
          <cell r="AA29">
            <v>7.5633285700392947E-2</v>
          </cell>
          <cell r="AB29">
            <v>0.59125864085736701</v>
          </cell>
          <cell r="AC29">
            <v>0</v>
          </cell>
          <cell r="AD29">
            <v>55098.744546551723</v>
          </cell>
          <cell r="AE29">
            <v>19272.123918797239</v>
          </cell>
          <cell r="AF29">
            <v>61741.637629686826</v>
          </cell>
          <cell r="AG29">
            <v>19272.795143117241</v>
          </cell>
          <cell r="AH29">
            <v>54834.967889784792</v>
          </cell>
          <cell r="AI29">
            <v>18357.440223159272</v>
          </cell>
          <cell r="AJ29">
            <v>65881.478897462817</v>
          </cell>
          <cell r="AK29">
            <v>18364.152466359275</v>
          </cell>
          <cell r="AL29">
            <v>49984.740245789391</v>
          </cell>
          <cell r="AM29">
            <v>17483.376726521663</v>
          </cell>
          <cell r="AN29">
            <v>56011.071480261046</v>
          </cell>
          <cell r="AO29">
            <v>17483.985650981886</v>
          </cell>
          <cell r="AP29">
            <v>49745.446088002216</v>
          </cell>
          <cell r="AQ29">
            <v>16653.589635912103</v>
          </cell>
          <cell r="AR29">
            <v>59766.672304409636</v>
          </cell>
          <cell r="AS29">
            <v>16659.678880514315</v>
          </cell>
        </row>
        <row r="30">
          <cell r="B30" t="str">
            <v>Downstream</v>
          </cell>
          <cell r="C30">
            <v>7870879.0396789769</v>
          </cell>
          <cell r="D30">
            <v>12566733.542911476</v>
          </cell>
          <cell r="E30">
            <v>3182.4484320001384</v>
          </cell>
          <cell r="F30">
            <v>835663.78729998088</v>
          </cell>
          <cell r="G30">
            <v>7511295.3548978399</v>
          </cell>
          <cell r="H30">
            <v>1833.0848086001847</v>
          </cell>
          <cell r="I30">
            <v>474939.34067997988</v>
          </cell>
          <cell r="J30">
            <v>131806486.54413214</v>
          </cell>
          <cell r="K30">
            <v>39934.773320001812</v>
          </cell>
          <cell r="L30">
            <v>11556937.040449869</v>
          </cell>
          <cell r="M30">
            <v>78576288.431332648</v>
          </cell>
          <cell r="N30">
            <v>22802.64773600105</v>
          </cell>
          <cell r="O30">
            <v>6535230.8627699092</v>
          </cell>
          <cell r="P30">
            <v>9980341.8215588406</v>
          </cell>
          <cell r="Q30">
            <v>5421205.6038725888</v>
          </cell>
          <cell r="R30">
            <v>18448329.338924631</v>
          </cell>
          <cell r="S30">
            <v>13102759.372541565</v>
          </cell>
          <cell r="T30">
            <v>0.83484781426442156</v>
          </cell>
          <cell r="U30">
            <v>1.1754430488670391</v>
          </cell>
          <cell r="V30">
            <v>0.64800903090289774</v>
          </cell>
          <cell r="W30">
            <v>0.3519909690971022</v>
          </cell>
          <cell r="X30">
            <v>0.15214111350068632</v>
          </cell>
          <cell r="Y30">
            <v>0.99363671438506773</v>
          </cell>
          <cell r="Z30">
            <v>524.26736382108254</v>
          </cell>
          <cell r="AA30">
            <v>0.108056852425328</v>
          </cell>
          <cell r="AB30">
            <v>0.70572150643692177</v>
          </cell>
          <cell r="AC30">
            <v>372.35616238325287</v>
          </cell>
          <cell r="AD30">
            <v>3938.189739273957</v>
          </cell>
          <cell r="AE30">
            <v>2763.4617918659096</v>
          </cell>
          <cell r="AF30">
            <v>41404.384911254667</v>
          </cell>
          <cell r="AG30">
            <v>38231.100547203103</v>
          </cell>
          <cell r="AH30">
            <v>6591.4566662569978</v>
          </cell>
          <cell r="AI30">
            <v>4863.7442371845245</v>
          </cell>
          <cell r="AJ30">
            <v>69490.740562882129</v>
          </cell>
          <cell r="AK30">
            <v>67608.081686632329</v>
          </cell>
          <cell r="AL30">
            <v>3572.665634693873</v>
          </cell>
          <cell r="AM30">
            <v>2506.9703671537818</v>
          </cell>
          <cell r="AN30">
            <v>37561.426160576077</v>
          </cell>
          <cell r="AO30">
            <v>34682.671009827922</v>
          </cell>
          <cell r="AP30">
            <v>5979.6689019995556</v>
          </cell>
          <cell r="AQ30">
            <v>4412.3145512366928</v>
          </cell>
          <cell r="AR30">
            <v>63040.939409944986</v>
          </cell>
          <cell r="AS30">
            <v>61333.020006785635</v>
          </cell>
        </row>
        <row r="31">
          <cell r="B31" t="str">
            <v>Upstream</v>
          </cell>
          <cell r="C31">
            <v>16200</v>
          </cell>
          <cell r="D31">
            <v>46819261.143694557</v>
          </cell>
          <cell r="E31">
            <v>6805.9907840691931</v>
          </cell>
          <cell r="F31">
            <v>-879748.75190499763</v>
          </cell>
          <cell r="G31">
            <v>36540932.659886718</v>
          </cell>
          <cell r="H31">
            <v>5320.8102200701078</v>
          </cell>
          <cell r="I31">
            <v>-685698.53303558903</v>
          </cell>
          <cell r="J31">
            <v>662043323.04276526</v>
          </cell>
          <cell r="K31">
            <v>90220.872277193397</v>
          </cell>
          <cell r="L31">
            <v>-13247214.163565362</v>
          </cell>
          <cell r="M31">
            <v>513949145.76593721</v>
          </cell>
          <cell r="N31">
            <v>70238.815700012041</v>
          </cell>
          <cell r="O31">
            <v>-10261884.03127603</v>
          </cell>
          <cell r="P31">
            <v>46024200.154290326</v>
          </cell>
          <cell r="Q31">
            <v>-9159258.5870675948</v>
          </cell>
          <cell r="R31">
            <v>32822971.710300066</v>
          </cell>
          <cell r="S31">
            <v>11256135.043306649</v>
          </cell>
          <cell r="T31">
            <v>1.1231445431753599</v>
          </cell>
          <cell r="U31">
            <v>3.2750976623316284</v>
          </cell>
          <cell r="V31">
            <v>1.2484544447294406</v>
          </cell>
          <cell r="W31">
            <v>-0.24845444472944053</v>
          </cell>
          <cell r="X31">
            <v>7.9731594572228365E-2</v>
          </cell>
          <cell r="Y31">
            <v>0.79468966768655735</v>
          </cell>
          <cell r="Z31">
            <v>583.40939425813497</v>
          </cell>
          <cell r="AA31">
            <v>2.7342728246679323E-2</v>
          </cell>
          <cell r="AB31">
            <v>0.272526640669569</v>
          </cell>
          <cell r="AC31">
            <v>200.0713093641838</v>
          </cell>
          <cell r="AD31">
            <v>18919.906171346043</v>
          </cell>
          <cell r="AE31">
            <v>-4011.3364182584696</v>
          </cell>
          <cell r="AF31">
            <v>266103.90188486525</v>
          </cell>
          <cell r="AG31">
            <v>-60032.021582972295</v>
          </cell>
          <cell r="AH31">
            <v>24241.833868196405</v>
          </cell>
          <cell r="AI31">
            <v>-5146.5301986444929</v>
          </cell>
          <cell r="AJ31">
            <v>342782.35278921045</v>
          </cell>
          <cell r="AK31">
            <v>-77496.202856849559</v>
          </cell>
          <cell r="AL31">
            <v>17163.850160876766</v>
          </cell>
          <cell r="AM31">
            <v>-3639.023185650301</v>
          </cell>
          <cell r="AN31">
            <v>241405.39904440433</v>
          </cell>
          <cell r="AO31">
            <v>-54460.133891422513</v>
          </cell>
          <cell r="AP31">
            <v>21991.821754842709</v>
          </cell>
          <cell r="AQ31">
            <v>-4668.8536601594014</v>
          </cell>
          <cell r="AR31">
            <v>310966.91959166474</v>
          </cell>
          <cell r="AS31">
            <v>-70303.372639677546</v>
          </cell>
        </row>
        <row r="32">
          <cell r="B32" t="str">
            <v>Midstream</v>
          </cell>
          <cell r="C32">
            <v>11232994.890690606</v>
          </cell>
          <cell r="D32">
            <v>8284713.2285067653</v>
          </cell>
          <cell r="E32">
            <v>6395.5346526187595</v>
          </cell>
          <cell r="F32">
            <v>419509.74246681976</v>
          </cell>
          <cell r="G32">
            <v>5462880.866488467</v>
          </cell>
          <cell r="H32">
            <v>4329.4453936978689</v>
          </cell>
          <cell r="I32">
            <v>272819.21110631252</v>
          </cell>
          <cell r="J32">
            <v>85317702.736902893</v>
          </cell>
          <cell r="K32">
            <v>64952.718415322066</v>
          </cell>
          <cell r="L32">
            <v>8194818.00807714</v>
          </cell>
          <cell r="M32">
            <v>57252744.985510722</v>
          </cell>
          <cell r="N32">
            <v>44806.984764396606</v>
          </cell>
          <cell r="O32">
            <v>5293350.7671658397</v>
          </cell>
          <cell r="P32">
            <v>11217888.101820387</v>
          </cell>
          <cell r="Q32">
            <v>3940685.6009681956</v>
          </cell>
          <cell r="R32">
            <v>30588340.333987355</v>
          </cell>
          <cell r="S32">
            <v>12908835.99386606</v>
          </cell>
          <cell r="T32">
            <v>0.49556705389293609</v>
          </cell>
          <cell r="U32">
            <v>1.1742788978023688</v>
          </cell>
          <cell r="V32">
            <v>0.74003585837081332</v>
          </cell>
          <cell r="W32">
            <v>0.25996414162918668</v>
          </cell>
          <cell r="X32">
            <v>0.39537787578446487</v>
          </cell>
          <cell r="Y32">
            <v>1.5022378052312666</v>
          </cell>
          <cell r="Z32">
            <v>505.19955346755938</v>
          </cell>
          <cell r="AA32">
            <v>0.16685665512992179</v>
          </cell>
          <cell r="AB32">
            <v>0.63397167808966426</v>
          </cell>
          <cell r="AC32">
            <v>213.20340066443137</v>
          </cell>
          <cell r="AD32">
            <v>3027.8084332069316</v>
          </cell>
          <cell r="AE32">
            <v>1594.1529377047818</v>
          </cell>
          <cell r="AF32">
            <v>32144.451828227779</v>
          </cell>
          <cell r="AG32">
            <v>30966.101987924434</v>
          </cell>
          <cell r="AH32">
            <v>4596.7774036960318</v>
          </cell>
          <cell r="AI32">
            <v>2451.6895314964722</v>
          </cell>
          <cell r="AJ32">
            <v>47690.74211083632</v>
          </cell>
          <cell r="AK32">
            <v>47939.68534724354</v>
          </cell>
          <cell r="AL32">
            <v>2746.7816062486072</v>
          </cell>
          <cell r="AM32">
            <v>1446.1912183119327</v>
          </cell>
          <cell r="AN32">
            <v>29160.956174233022</v>
          </cell>
          <cell r="AO32">
            <v>28091.975180728401</v>
          </cell>
          <cell r="AP32">
            <v>4170.1263138098138</v>
          </cell>
          <cell r="AQ32">
            <v>2224.1353301913246</v>
          </cell>
          <cell r="AR32">
            <v>43264.313482225618</v>
          </cell>
          <cell r="AS32">
            <v>43490.150987420464</v>
          </cell>
        </row>
        <row r="33">
          <cell r="B33" t="str">
            <v>DirectInstall</v>
          </cell>
          <cell r="C33">
            <v>4962906.4799285345</v>
          </cell>
          <cell r="D33">
            <v>4743798.0910031246</v>
          </cell>
          <cell r="E33">
            <v>3025.9965695304495</v>
          </cell>
          <cell r="F33">
            <v>-30867.49249099876</v>
          </cell>
          <cell r="G33">
            <v>3520221.2611827524</v>
          </cell>
          <cell r="H33">
            <v>2217.7594536308225</v>
          </cell>
          <cell r="I33">
            <v>-24462.205884079216</v>
          </cell>
          <cell r="J33">
            <v>48228498.179908894</v>
          </cell>
          <cell r="K33">
            <v>25496.563282135688</v>
          </cell>
          <cell r="L33">
            <v>-367515.17650697095</v>
          </cell>
          <cell r="M33">
            <v>36911333.617679261</v>
          </cell>
          <cell r="N33">
            <v>19580.423459719335</v>
          </cell>
          <cell r="O33">
            <v>-290068.68078917306</v>
          </cell>
          <cell r="P33">
            <v>5131511.9055681145</v>
          </cell>
          <cell r="Q33">
            <v>-284701.05091351212</v>
          </cell>
          <cell r="R33">
            <v>7201584.7337175813</v>
          </cell>
          <cell r="S33">
            <v>6953872.5172898779</v>
          </cell>
          <cell r="T33">
            <v>0.67302004126425041</v>
          </cell>
          <cell r="U33">
            <v>0.69699449373045785</v>
          </cell>
          <cell r="V33">
            <v>1.0587398723513424</v>
          </cell>
          <cell r="W33">
            <v>-5.8739872351342398E-2</v>
          </cell>
          <cell r="X33">
            <v>0.20656541377447291</v>
          </cell>
          <cell r="Y33">
            <v>1.4583448541740542</v>
          </cell>
          <cell r="Z33">
            <v>389.39938747437174</v>
          </cell>
          <cell r="AA33">
            <v>0.19946020313329141</v>
          </cell>
          <cell r="AB33">
            <v>1.4081823066930765</v>
          </cell>
          <cell r="AC33">
            <v>376.00525425043719</v>
          </cell>
          <cell r="AD33">
            <v>1898.4636045876009</v>
          </cell>
          <cell r="AE33">
            <v>-143.65395103351557</v>
          </cell>
          <cell r="AF33">
            <v>19714.696892672582</v>
          </cell>
          <cell r="AG33">
            <v>-1696.9017826167742</v>
          </cell>
          <cell r="AH33">
            <v>2564.785812740718</v>
          </cell>
          <cell r="AI33">
            <v>-181.49157542508874</v>
          </cell>
          <cell r="AJ33">
            <v>25790.728096834646</v>
          </cell>
          <cell r="AK33">
            <v>-2149.9637825660689</v>
          </cell>
          <cell r="AL33">
            <v>1722.2572115272467</v>
          </cell>
          <cell r="AM33">
            <v>-130.3206722183111</v>
          </cell>
          <cell r="AN33">
            <v>17884.872174757787</v>
          </cell>
          <cell r="AO33">
            <v>-1539.4034024687178</v>
          </cell>
          <cell r="AP33">
            <v>2326.7345506868514</v>
          </cell>
          <cell r="AQ33">
            <v>-164.6463876641977</v>
          </cell>
          <cell r="AR33">
            <v>23396.954962937376</v>
          </cell>
          <cell r="AS33">
            <v>-1950.4143350965942</v>
          </cell>
        </row>
        <row r="34">
          <cell r="A34" t="str">
            <v>SF TOTAL</v>
          </cell>
          <cell r="C34">
            <v>24082980.410298117</v>
          </cell>
          <cell r="D34">
            <v>175929564.38052398</v>
          </cell>
          <cell r="E34">
            <v>19409.970438218541</v>
          </cell>
          <cell r="F34">
            <v>3369158.7020173753</v>
          </cell>
          <cell r="G34">
            <v>157113031.69637391</v>
          </cell>
          <cell r="H34">
            <v>13701.099875998983</v>
          </cell>
          <cell r="I34">
            <v>3212903.9883455224</v>
          </cell>
          <cell r="J34">
            <v>1051475777.806137</v>
          </cell>
          <cell r="K34">
            <v>220604.92729465297</v>
          </cell>
          <cell r="L34">
            <v>9162733.0451012477</v>
          </cell>
          <cell r="M34">
            <v>803133939.25035965</v>
          </cell>
          <cell r="N34">
            <v>157428.87166012905</v>
          </cell>
          <cell r="O34">
            <v>4452045.6853494439</v>
          </cell>
          <cell r="P34">
            <v>87004573.609202281</v>
          </cell>
          <cell r="Q34">
            <v>3041153.9561961042</v>
          </cell>
          <cell r="R34">
            <v>101609260.56419007</v>
          </cell>
          <cell r="S34">
            <v>54906170.103003085</v>
          </cell>
          <cell r="T34">
            <v>0.88619607174991089</v>
          </cell>
          <cell r="U34">
            <v>1.6399928714108825</v>
          </cell>
          <cell r="V34">
            <v>0.96622656023310638</v>
          </cell>
          <cell r="W34">
            <v>3.3773439766893724E-2</v>
          </cell>
          <cell r="X34">
            <v>0.12224307992064828</v>
          </cell>
          <cell r="Y34">
            <v>0.77081289904910921</v>
          </cell>
          <cell r="Z34">
            <v>623.63126463054971</v>
          </cell>
          <cell r="AA34">
            <v>6.6055980555020155E-2</v>
          </cell>
          <cell r="AB34">
            <v>0.416520934389074</v>
          </cell>
          <cell r="AC34">
            <v>336.98901170257557</v>
          </cell>
          <cell r="AD34">
            <v>82883.112494966248</v>
          </cell>
          <cell r="AE34">
            <v>19474.748279075942</v>
          </cell>
          <cell r="AF34">
            <v>421109.07314670709</v>
          </cell>
          <cell r="AG34">
            <v>26741.07431265571</v>
          </cell>
          <cell r="AH34">
            <v>92829.821640674956</v>
          </cell>
          <cell r="AI34">
            <v>20344.852217770684</v>
          </cell>
          <cell r="AJ34">
            <v>551636.04245722631</v>
          </cell>
          <cell r="AK34">
            <v>54265.752860819513</v>
          </cell>
          <cell r="AL34">
            <v>75190.294859135873</v>
          </cell>
          <cell r="AM34">
            <v>17667.194454118762</v>
          </cell>
          <cell r="AN34">
            <v>382023.72503423225</v>
          </cell>
          <cell r="AO34">
            <v>24259.094547646982</v>
          </cell>
          <cell r="AP34">
            <v>84213.797609341156</v>
          </cell>
          <cell r="AQ34">
            <v>18456.539469516516</v>
          </cell>
          <cell r="AR34">
            <v>500435.79975118232</v>
          </cell>
          <cell r="AS34">
            <v>49229.062899946264</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8_CS"/>
    </sheetNames>
    <sheetDataSet>
      <sheetData sheetId="0">
        <row r="4">
          <cell r="A4">
            <v>282</v>
          </cell>
          <cell r="B4" t="str">
            <v>Net GWh savings</v>
          </cell>
          <cell r="C4" t="str">
            <v>Metric</v>
          </cell>
          <cell r="D4">
            <v>1402</v>
          </cell>
          <cell r="E4">
            <v>1889.2407150000001</v>
          </cell>
          <cell r="F4">
            <v>1450</v>
          </cell>
        </row>
        <row r="5">
          <cell r="A5">
            <v>283</v>
          </cell>
          <cell r="B5" t="str">
            <v>Net MMTherms savings</v>
          </cell>
          <cell r="C5" t="str">
            <v>Metric</v>
          </cell>
          <cell r="D5">
            <v>29</v>
          </cell>
          <cell r="E5">
            <v>42.220838000000001</v>
          </cell>
          <cell r="F5">
            <v>45.300000000000004</v>
          </cell>
        </row>
        <row r="6">
          <cell r="A6">
            <v>284</v>
          </cell>
          <cell r="B6" t="str">
            <v>Net MW savings</v>
          </cell>
          <cell r="C6" t="str">
            <v>Metric</v>
          </cell>
          <cell r="D6">
            <v>272</v>
          </cell>
          <cell r="E6">
            <v>345.94200000000001</v>
          </cell>
          <cell r="F6">
            <v>333</v>
          </cell>
        </row>
        <row r="7">
          <cell r="A7">
            <v>285</v>
          </cell>
          <cell r="B7" t="str">
            <v>Number of measures supported by CASE studies in rulemaking cycle (current work)</v>
          </cell>
          <cell r="C7" t="str">
            <v>Metric</v>
          </cell>
          <cell r="D7">
            <v>12</v>
          </cell>
          <cell r="E7">
            <v>23</v>
          </cell>
          <cell r="F7">
            <v>64</v>
          </cell>
        </row>
        <row r="8">
          <cell r="A8">
            <v>286</v>
          </cell>
          <cell r="B8" t="str">
            <v>Number of measures adopted by CEC in rulemaking cycle (indicator of past work)</v>
          </cell>
          <cell r="C8" t="str">
            <v>Metric</v>
          </cell>
          <cell r="D8">
            <v>12</v>
          </cell>
          <cell r="E8">
            <v>0</v>
          </cell>
          <cell r="F8">
            <v>57</v>
          </cell>
        </row>
        <row r="9">
          <cell r="A9">
            <v>287</v>
          </cell>
          <cell r="B9" t="str">
            <v>Number of T-20 measures supported by CASE studies in rulemaking cycle (current work)</v>
          </cell>
          <cell r="C9" t="str">
            <v>Metric</v>
          </cell>
          <cell r="D9">
            <v>5</v>
          </cell>
          <cell r="E9">
            <v>5</v>
          </cell>
          <cell r="F9">
            <v>4</v>
          </cell>
        </row>
        <row r="10">
          <cell r="A10">
            <v>288</v>
          </cell>
          <cell r="B10" t="str">
            <v>Number of measures adopted by CEC in current year</v>
          </cell>
          <cell r="C10" t="str">
            <v>Metric</v>
          </cell>
          <cell r="D10">
            <v>4</v>
          </cell>
          <cell r="E10">
            <v>0</v>
          </cell>
          <cell r="F10">
            <v>3</v>
          </cell>
        </row>
        <row r="11">
          <cell r="A11">
            <v>289</v>
          </cell>
          <cell r="B11" t="str">
            <v>Number of federal standards adopted for which a utility advocated (IOUs to list advocated activites)</v>
          </cell>
          <cell r="C11" t="str">
            <v>Metric</v>
          </cell>
          <cell r="D11">
            <v>22</v>
          </cell>
          <cell r="E11">
            <v>7</v>
          </cell>
          <cell r="F11">
            <v>0</v>
          </cell>
        </row>
        <row r="12">
          <cell r="A12">
            <v>290</v>
          </cell>
          <cell r="B12" t="str">
            <v>Percent of federal standards adopted for which a utility advocated (#IOU supported / # DOE adopted)</v>
          </cell>
          <cell r="C12" t="str">
            <v>Metric</v>
          </cell>
          <cell r="D12">
            <v>1</v>
          </cell>
          <cell r="E12">
            <v>1</v>
          </cell>
          <cell r="F12" t="str">
            <v>N/A</v>
          </cell>
        </row>
        <row r="13">
          <cell r="A13">
            <v>291</v>
          </cell>
          <cell r="B13" t="str">
            <v>The number of local government Reach Codes implemented (this is a joint IOU and REN effort)</v>
          </cell>
          <cell r="C13" t="str">
            <v>Metric</v>
          </cell>
          <cell r="D13">
            <v>6</v>
          </cell>
          <cell r="E13">
            <v>12</v>
          </cell>
          <cell r="F13">
            <v>5</v>
          </cell>
        </row>
        <row r="14">
          <cell r="A14">
            <v>292</v>
          </cell>
          <cell r="B14" t="str">
            <v>Number of training activities (classes, webinars) held, number of market actors participants by segment (e.g. building officials, builders, architects, etc.) and the the total size (number of the target audience) by sector. (M) Number of training activities</v>
          </cell>
          <cell r="C14" t="str">
            <v>Metric</v>
          </cell>
          <cell r="D14">
            <v>138</v>
          </cell>
          <cell r="E14">
            <v>118</v>
          </cell>
          <cell r="F14">
            <v>191</v>
          </cell>
        </row>
        <row r="15">
          <cell r="A15">
            <v>293</v>
          </cell>
          <cell r="B15" t="str">
            <v>Number of training activities (classes, webinars) held, number of market actors participants by segment (e.g. building officials, builders, architects, etc.) and the the total size (number of the target audience) by sector. (M) Number of participants</v>
          </cell>
          <cell r="C15" t="str">
            <v>Metric</v>
          </cell>
          <cell r="D15">
            <v>3600</v>
          </cell>
          <cell r="E15">
            <v>3000</v>
          </cell>
          <cell r="F15">
            <v>4970</v>
          </cell>
        </row>
        <row r="16">
          <cell r="A16">
            <v>294</v>
          </cell>
          <cell r="B16" t="str">
            <v>Increase in code compliance knowledge pre/post training</v>
          </cell>
          <cell r="C16" t="str">
            <v>Metric</v>
          </cell>
          <cell r="D16">
            <v>0.2</v>
          </cell>
          <cell r="E16">
            <v>0.2</v>
          </cell>
          <cell r="F16">
            <v>0.18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3"/>
  <sheetViews>
    <sheetView showGridLines="0" zoomScaleNormal="100" zoomScaleSheetLayoutView="80" workbookViewId="0">
      <selection activeCell="A3" sqref="A3:B3"/>
    </sheetView>
  </sheetViews>
  <sheetFormatPr defaultRowHeight="15"/>
  <cols>
    <col min="2" max="2" width="78" customWidth="1"/>
  </cols>
  <sheetData>
    <row r="1" spans="1:2" ht="52.9" customHeight="1">
      <c r="A1" s="831" t="s">
        <v>0</v>
      </c>
      <c r="B1" s="831"/>
    </row>
    <row r="2" spans="1:2" ht="52.15" customHeight="1">
      <c r="A2" s="1"/>
      <c r="B2" s="1"/>
    </row>
    <row r="3" spans="1:2" ht="18.75">
      <c r="A3" s="832" t="s">
        <v>1</v>
      </c>
      <c r="B3" s="832"/>
    </row>
  </sheetData>
  <mergeCells count="2">
    <mergeCell ref="A1:B1"/>
    <mergeCell ref="A3:B3"/>
  </mergeCells>
  <pageMargins left="0.7" right="0.7" top="0.75" bottom="0.75" header="0.3" footer="0.3"/>
  <pageSetup fitToWidth="0" fitToHeight="0" orientation="portrait" r:id="rId1"/>
  <headerFooter>
    <oddFooter>&amp;RMay 1,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84F7-0467-406C-8BE7-48326253EA81}">
  <sheetPr filterMode="1">
    <tabColor rgb="FF00B0F0"/>
    <pageSetUpPr fitToPage="1"/>
  </sheetPr>
  <dimension ref="A1:Y332"/>
  <sheetViews>
    <sheetView showGridLines="0" zoomScale="60" zoomScaleNormal="60" zoomScaleSheetLayoutView="70" workbookViewId="0">
      <pane xSplit="9" ySplit="2" topLeftCell="J157" activePane="bottomRight" state="frozen"/>
      <selection activeCell="H3" sqref="H3"/>
      <selection pane="topRight" activeCell="H3" sqref="H3"/>
      <selection pane="bottomLeft" activeCell="H3" sqref="H3"/>
      <selection pane="bottomRight" activeCell="Q173" sqref="Q173"/>
    </sheetView>
  </sheetViews>
  <sheetFormatPr defaultColWidth="49.7109375" defaultRowHeight="15"/>
  <cols>
    <col min="1" max="1" width="5.28515625" style="15" bestFit="1" customWidth="1"/>
    <col min="2" max="2" width="9.28515625" style="13" bestFit="1" customWidth="1"/>
    <col min="3" max="3" width="10.85546875" style="13" bestFit="1" customWidth="1"/>
    <col min="4" max="4" width="12" style="13" bestFit="1" customWidth="1"/>
    <col min="5" max="5" width="12.85546875" style="15" bestFit="1" customWidth="1"/>
    <col min="6" max="6" width="19.28515625" style="15" bestFit="1" customWidth="1"/>
    <col min="7" max="7" width="22.140625" style="13" bestFit="1" customWidth="1"/>
    <col min="8" max="8" width="14.5703125" style="13" bestFit="1" customWidth="1"/>
    <col min="9" max="9" width="53.85546875" style="13" bestFit="1" customWidth="1"/>
    <col min="10" max="10" width="37.28515625" style="13" bestFit="1" customWidth="1"/>
    <col min="11" max="11" width="17.140625" style="516" bestFit="1" customWidth="1"/>
    <col min="12" max="12" width="13.140625" style="520" bestFit="1" customWidth="1"/>
    <col min="13" max="13" width="12.42578125" style="520" bestFit="1" customWidth="1"/>
    <col min="14" max="14" width="13.42578125" style="520" bestFit="1" customWidth="1"/>
    <col min="15" max="15" width="21.85546875" style="13" customWidth="1"/>
    <col min="16" max="16" width="21.5703125" style="427" bestFit="1" customWidth="1"/>
    <col min="17" max="17" width="23.140625" style="528" bestFit="1" customWidth="1"/>
    <col min="18" max="18" width="17.42578125" style="428" bestFit="1" customWidth="1"/>
    <col min="19" max="19" width="18.5703125" style="428" bestFit="1" customWidth="1"/>
    <col min="20" max="20" width="50.140625" style="16" bestFit="1" customWidth="1"/>
    <col min="21" max="21" width="63.85546875" style="13" bestFit="1" customWidth="1"/>
    <col min="22" max="22" width="17.28515625" style="13" bestFit="1" customWidth="1"/>
    <col min="23" max="23" width="11.5703125" style="13" bestFit="1" customWidth="1"/>
    <col min="24" max="24" width="15.42578125" style="488" hidden="1" customWidth="1"/>
    <col min="25" max="25" width="17.5703125" style="14" customWidth="1"/>
    <col min="26" max="16384" width="49.7109375" style="14"/>
  </cols>
  <sheetData>
    <row r="1" spans="1:25">
      <c r="A1" s="834" t="s">
        <v>16</v>
      </c>
      <c r="P1" s="845"/>
      <c r="Q1" s="846"/>
      <c r="R1" s="847"/>
      <c r="S1" s="848"/>
    </row>
    <row r="2" spans="1:25" s="18" customFormat="1" ht="50.45" customHeight="1">
      <c r="A2" s="834"/>
      <c r="B2" s="687" t="s">
        <v>22</v>
      </c>
      <c r="C2" s="687" t="s">
        <v>23</v>
      </c>
      <c r="D2" s="687" t="s">
        <v>24</v>
      </c>
      <c r="E2" s="333" t="s">
        <v>25</v>
      </c>
      <c r="F2" s="333" t="s">
        <v>26</v>
      </c>
      <c r="G2" s="333" t="s">
        <v>27</v>
      </c>
      <c r="H2" s="333" t="s">
        <v>28</v>
      </c>
      <c r="I2" s="333" t="s">
        <v>29</v>
      </c>
      <c r="J2" s="333" t="s">
        <v>30</v>
      </c>
      <c r="K2" s="581" t="s">
        <v>807</v>
      </c>
      <c r="L2" s="517" t="s">
        <v>808</v>
      </c>
      <c r="M2" s="517" t="s">
        <v>809</v>
      </c>
      <c r="N2" s="581" t="s">
        <v>810</v>
      </c>
      <c r="O2" s="413" t="s">
        <v>31</v>
      </c>
      <c r="P2" s="688" t="s">
        <v>32</v>
      </c>
      <c r="Q2" s="524" t="s">
        <v>811</v>
      </c>
      <c r="R2" s="370" t="s">
        <v>33</v>
      </c>
      <c r="S2" s="689" t="s">
        <v>34</v>
      </c>
      <c r="T2" s="333" t="s">
        <v>35</v>
      </c>
      <c r="U2" s="333" t="s">
        <v>36</v>
      </c>
      <c r="V2" s="333" t="s">
        <v>37</v>
      </c>
      <c r="W2" s="334" t="s">
        <v>38</v>
      </c>
      <c r="X2" s="489"/>
    </row>
    <row r="3" spans="1:25" s="18" customFormat="1" ht="30" hidden="1">
      <c r="A3" s="30">
        <v>0</v>
      </c>
      <c r="B3" s="19" t="s">
        <v>39</v>
      </c>
      <c r="C3" s="19" t="s">
        <v>40</v>
      </c>
      <c r="D3" s="19" t="s">
        <v>41</v>
      </c>
      <c r="E3" s="20" t="s">
        <v>42</v>
      </c>
      <c r="F3" s="19" t="s">
        <v>43</v>
      </c>
      <c r="G3" s="19" t="s">
        <v>44</v>
      </c>
      <c r="H3" s="19" t="s">
        <v>30</v>
      </c>
      <c r="I3" s="19" t="s">
        <v>45</v>
      </c>
      <c r="J3" s="19" t="s">
        <v>46</v>
      </c>
      <c r="K3" s="518" t="s">
        <v>812</v>
      </c>
      <c r="L3" s="521" t="s">
        <v>813</v>
      </c>
      <c r="M3" s="521" t="s">
        <v>814</v>
      </c>
      <c r="N3" s="521" t="s">
        <v>815</v>
      </c>
      <c r="O3" s="19" t="s">
        <v>47</v>
      </c>
      <c r="P3" s="426">
        <v>2020</v>
      </c>
      <c r="Q3" s="414">
        <f t="shared" ref="Q3:Q66" ca="1" si="0">SUMIF(INDIRECT("'"&amp;K3&amp;"'!c:c"),A3,INDIRECT("'"&amp;K3&amp;"'!h:h"))</f>
        <v>430859.54135822126</v>
      </c>
      <c r="R3" s="335" t="str">
        <f t="shared" ref="R3:R66" ca="1" si="1">IF($N3 = "N","N/A",SUMIF(INDIRECT("'"&amp;K3&amp;"'!i:i"),L3,INDIRECT("'"&amp;K3&amp;"'!o:o")))</f>
        <v>N/A</v>
      </c>
      <c r="S3" s="335" t="str">
        <f t="shared" ref="S3:S66" ca="1" si="2">IF($N3 = "N","N/A",SUMIF(INDIRECT("'"&amp;K3&amp;"'!i:i"),M3,INDIRECT("'"&amp;K3&amp;"'!o:o")))</f>
        <v>N/A</v>
      </c>
      <c r="T3" s="21" t="s">
        <v>48</v>
      </c>
      <c r="U3" s="19" t="s">
        <v>49</v>
      </c>
      <c r="V3" s="29"/>
      <c r="W3" s="21"/>
      <c r="X3" s="489"/>
      <c r="Y3" s="490"/>
    </row>
    <row r="4" spans="1:25" ht="45" hidden="1">
      <c r="A4" s="30">
        <v>1</v>
      </c>
      <c r="B4" s="19" t="s">
        <v>39</v>
      </c>
      <c r="C4" s="19" t="s">
        <v>50</v>
      </c>
      <c r="D4" s="19" t="s">
        <v>41</v>
      </c>
      <c r="E4" s="20" t="s">
        <v>51</v>
      </c>
      <c r="F4" s="19" t="s">
        <v>52</v>
      </c>
      <c r="G4" s="19" t="s">
        <v>53</v>
      </c>
      <c r="H4" s="19" t="s">
        <v>30</v>
      </c>
      <c r="I4" s="19" t="s">
        <v>54</v>
      </c>
      <c r="J4" s="22" t="s">
        <v>52</v>
      </c>
      <c r="K4" s="518" t="s">
        <v>812</v>
      </c>
      <c r="L4" s="521" t="s">
        <v>368</v>
      </c>
      <c r="M4" s="521" t="s">
        <v>816</v>
      </c>
      <c r="N4" s="521" t="s">
        <v>815</v>
      </c>
      <c r="O4" s="19" t="s">
        <v>47</v>
      </c>
      <c r="P4" s="426">
        <v>2020</v>
      </c>
      <c r="Q4" s="414">
        <f t="shared" ca="1" si="0"/>
        <v>96882.204262534593</v>
      </c>
      <c r="R4" s="335" t="str">
        <f t="shared" ca="1" si="1"/>
        <v>N/A</v>
      </c>
      <c r="S4" s="335" t="str">
        <f t="shared" ca="1" si="2"/>
        <v>N/A</v>
      </c>
      <c r="T4" s="429" t="s">
        <v>48</v>
      </c>
      <c r="U4" s="19"/>
      <c r="V4" s="29"/>
      <c r="W4" s="21"/>
      <c r="Y4" s="490"/>
    </row>
    <row r="5" spans="1:25" ht="45" hidden="1">
      <c r="A5" s="31">
        <v>2</v>
      </c>
      <c r="B5" s="22" t="s">
        <v>39</v>
      </c>
      <c r="C5" s="22" t="s">
        <v>50</v>
      </c>
      <c r="D5" s="22" t="s">
        <v>41</v>
      </c>
      <c r="E5" s="23" t="s">
        <v>51</v>
      </c>
      <c r="F5" s="22" t="s">
        <v>55</v>
      </c>
      <c r="G5" s="22" t="s">
        <v>53</v>
      </c>
      <c r="H5" s="22" t="s">
        <v>30</v>
      </c>
      <c r="I5" s="22" t="s">
        <v>54</v>
      </c>
      <c r="J5" s="22" t="s">
        <v>55</v>
      </c>
      <c r="K5" s="518" t="s">
        <v>812</v>
      </c>
      <c r="L5" s="521" t="s">
        <v>373</v>
      </c>
      <c r="M5" s="521" t="s">
        <v>316</v>
      </c>
      <c r="N5" s="521" t="s">
        <v>815</v>
      </c>
      <c r="O5" s="22" t="s">
        <v>47</v>
      </c>
      <c r="P5" s="426">
        <v>2020</v>
      </c>
      <c r="Q5" s="414">
        <f t="shared" ca="1" si="0"/>
        <v>95334.242858835059</v>
      </c>
      <c r="R5" s="335" t="str">
        <f t="shared" ca="1" si="1"/>
        <v>N/A</v>
      </c>
      <c r="S5" s="335" t="str">
        <f t="shared" ca="1" si="2"/>
        <v>N/A</v>
      </c>
      <c r="T5" s="429" t="s">
        <v>48</v>
      </c>
      <c r="U5" s="22"/>
      <c r="V5" s="24"/>
      <c r="W5" s="21"/>
      <c r="Y5" s="490"/>
    </row>
    <row r="6" spans="1:25" ht="45" hidden="1">
      <c r="A6" s="31">
        <v>3</v>
      </c>
      <c r="B6" s="22" t="s">
        <v>39</v>
      </c>
      <c r="C6" s="22" t="s">
        <v>50</v>
      </c>
      <c r="D6" s="22" t="s">
        <v>41</v>
      </c>
      <c r="E6" s="23" t="s">
        <v>51</v>
      </c>
      <c r="F6" s="22" t="s">
        <v>56</v>
      </c>
      <c r="G6" s="22" t="s">
        <v>53</v>
      </c>
      <c r="H6" s="22" t="s">
        <v>30</v>
      </c>
      <c r="I6" s="22" t="s">
        <v>54</v>
      </c>
      <c r="J6" s="22" t="s">
        <v>56</v>
      </c>
      <c r="K6" s="518" t="s">
        <v>812</v>
      </c>
      <c r="L6" s="521" t="s">
        <v>817</v>
      </c>
      <c r="M6" s="521" t="s">
        <v>818</v>
      </c>
      <c r="N6" s="521" t="s">
        <v>815</v>
      </c>
      <c r="O6" s="22" t="s">
        <v>47</v>
      </c>
      <c r="P6" s="426">
        <v>2020</v>
      </c>
      <c r="Q6" s="414">
        <f t="shared" ca="1" si="0"/>
        <v>582129640.340325</v>
      </c>
      <c r="R6" s="335" t="str">
        <f t="shared" ca="1" si="1"/>
        <v>N/A</v>
      </c>
      <c r="S6" s="335" t="str">
        <f t="shared" ca="1" si="2"/>
        <v>N/A</v>
      </c>
      <c r="T6" s="429" t="s">
        <v>48</v>
      </c>
      <c r="U6" s="22"/>
      <c r="V6" s="24"/>
      <c r="W6" s="21"/>
      <c r="Y6" s="490"/>
    </row>
    <row r="7" spans="1:25" ht="45" hidden="1">
      <c r="A7" s="31">
        <v>4</v>
      </c>
      <c r="B7" s="22" t="s">
        <v>39</v>
      </c>
      <c r="C7" s="22" t="s">
        <v>50</v>
      </c>
      <c r="D7" s="22" t="s">
        <v>41</v>
      </c>
      <c r="E7" s="23" t="s">
        <v>51</v>
      </c>
      <c r="F7" s="22" t="s">
        <v>57</v>
      </c>
      <c r="G7" s="22" t="s">
        <v>53</v>
      </c>
      <c r="H7" s="22" t="s">
        <v>30</v>
      </c>
      <c r="I7" s="22" t="s">
        <v>54</v>
      </c>
      <c r="J7" s="22" t="s">
        <v>57</v>
      </c>
      <c r="K7" s="518" t="s">
        <v>812</v>
      </c>
      <c r="L7" s="521" t="s">
        <v>819</v>
      </c>
      <c r="M7" s="521" t="s">
        <v>226</v>
      </c>
      <c r="N7" s="521" t="s">
        <v>815</v>
      </c>
      <c r="O7" s="22" t="s">
        <v>47</v>
      </c>
      <c r="P7" s="426">
        <v>2020</v>
      </c>
      <c r="Q7" s="414">
        <f t="shared" ca="1" si="0"/>
        <v>572760268.00721192</v>
      </c>
      <c r="R7" s="335" t="str">
        <f t="shared" ca="1" si="1"/>
        <v>N/A</v>
      </c>
      <c r="S7" s="335" t="str">
        <f t="shared" ca="1" si="2"/>
        <v>N/A</v>
      </c>
      <c r="T7" s="429" t="s">
        <v>48</v>
      </c>
      <c r="U7" s="22"/>
      <c r="V7" s="24"/>
      <c r="W7" s="21"/>
      <c r="Y7" s="490"/>
    </row>
    <row r="8" spans="1:25" ht="45" hidden="1">
      <c r="A8" s="31">
        <v>5</v>
      </c>
      <c r="B8" s="22" t="s">
        <v>39</v>
      </c>
      <c r="C8" s="22" t="s">
        <v>50</v>
      </c>
      <c r="D8" s="22" t="s">
        <v>41</v>
      </c>
      <c r="E8" s="23" t="s">
        <v>51</v>
      </c>
      <c r="F8" s="22" t="s">
        <v>58</v>
      </c>
      <c r="G8" s="22" t="s">
        <v>53</v>
      </c>
      <c r="H8" s="22" t="s">
        <v>30</v>
      </c>
      <c r="I8" s="22" t="s">
        <v>54</v>
      </c>
      <c r="J8" s="22" t="s">
        <v>58</v>
      </c>
      <c r="K8" s="518" t="s">
        <v>812</v>
      </c>
      <c r="L8" s="521" t="s">
        <v>820</v>
      </c>
      <c r="M8" s="521" t="s">
        <v>234</v>
      </c>
      <c r="N8" s="521" t="s">
        <v>815</v>
      </c>
      <c r="O8" s="22" t="s">
        <v>47</v>
      </c>
      <c r="P8" s="426">
        <v>2020</v>
      </c>
      <c r="Q8" s="414">
        <f t="shared" ca="1" si="0"/>
        <v>5012591.3578928038</v>
      </c>
      <c r="R8" s="335" t="str">
        <f t="shared" ca="1" si="1"/>
        <v>N/A</v>
      </c>
      <c r="S8" s="335" t="str">
        <f t="shared" ca="1" si="2"/>
        <v>N/A</v>
      </c>
      <c r="T8" s="429" t="s">
        <v>48</v>
      </c>
      <c r="U8" s="22" t="s">
        <v>49</v>
      </c>
      <c r="V8" s="24"/>
      <c r="W8" s="21"/>
      <c r="Y8" s="490"/>
    </row>
    <row r="9" spans="1:25" ht="45" hidden="1">
      <c r="A9" s="31">
        <v>6</v>
      </c>
      <c r="B9" s="22" t="s">
        <v>39</v>
      </c>
      <c r="C9" s="22" t="s">
        <v>50</v>
      </c>
      <c r="D9" s="22" t="s">
        <v>41</v>
      </c>
      <c r="E9" s="23" t="s">
        <v>51</v>
      </c>
      <c r="F9" s="22" t="s">
        <v>60</v>
      </c>
      <c r="G9" s="22" t="s">
        <v>53</v>
      </c>
      <c r="H9" s="22" t="s">
        <v>30</v>
      </c>
      <c r="I9" s="22" t="s">
        <v>54</v>
      </c>
      <c r="J9" s="22" t="s">
        <v>60</v>
      </c>
      <c r="K9" s="518" t="s">
        <v>812</v>
      </c>
      <c r="L9" s="521" t="s">
        <v>821</v>
      </c>
      <c r="M9" s="521" t="s">
        <v>822</v>
      </c>
      <c r="N9" s="521" t="s">
        <v>815</v>
      </c>
      <c r="O9" s="22" t="s">
        <v>47</v>
      </c>
      <c r="P9" s="426">
        <v>2020</v>
      </c>
      <c r="Q9" s="414">
        <f t="shared" ca="1" si="0"/>
        <v>4890194.6937966952</v>
      </c>
      <c r="R9" s="335" t="str">
        <f t="shared" ca="1" si="1"/>
        <v>N/A</v>
      </c>
      <c r="S9" s="335" t="str">
        <f t="shared" ca="1" si="2"/>
        <v>N/A</v>
      </c>
      <c r="T9" s="429" t="s">
        <v>48</v>
      </c>
      <c r="U9" s="22" t="s">
        <v>49</v>
      </c>
      <c r="V9" s="24"/>
      <c r="W9" s="21"/>
      <c r="Y9" s="490"/>
    </row>
    <row r="10" spans="1:25" ht="45" hidden="1">
      <c r="A10" s="31">
        <v>7</v>
      </c>
      <c r="B10" s="22" t="s">
        <v>39</v>
      </c>
      <c r="C10" s="22" t="s">
        <v>50</v>
      </c>
      <c r="D10" s="22" t="s">
        <v>41</v>
      </c>
      <c r="E10" s="23" t="s">
        <v>51</v>
      </c>
      <c r="F10" s="22" t="s">
        <v>61</v>
      </c>
      <c r="G10" s="22" t="s">
        <v>53</v>
      </c>
      <c r="H10" s="22" t="s">
        <v>30</v>
      </c>
      <c r="I10" s="22" t="s">
        <v>54</v>
      </c>
      <c r="J10" s="22" t="s">
        <v>61</v>
      </c>
      <c r="K10" s="518" t="s">
        <v>812</v>
      </c>
      <c r="L10" s="521" t="s">
        <v>823</v>
      </c>
      <c r="M10" s="521" t="s">
        <v>824</v>
      </c>
      <c r="N10" s="521" t="s">
        <v>815</v>
      </c>
      <c r="O10" s="22" t="s">
        <v>47</v>
      </c>
      <c r="P10" s="426">
        <v>2020</v>
      </c>
      <c r="Q10" s="414">
        <f t="shared" ca="1" si="0"/>
        <v>1285037.666994367</v>
      </c>
      <c r="R10" s="335" t="str">
        <f t="shared" ca="1" si="1"/>
        <v>N/A</v>
      </c>
      <c r="S10" s="335" t="str">
        <f t="shared" ca="1" si="2"/>
        <v>N/A</v>
      </c>
      <c r="T10" s="429" t="s">
        <v>48</v>
      </c>
      <c r="U10" s="22"/>
      <c r="V10" s="24"/>
      <c r="W10" s="21"/>
      <c r="Y10" s="490"/>
    </row>
    <row r="11" spans="1:25" ht="45" hidden="1">
      <c r="A11" s="31">
        <v>8</v>
      </c>
      <c r="B11" s="22" t="s">
        <v>39</v>
      </c>
      <c r="C11" s="22" t="s">
        <v>50</v>
      </c>
      <c r="D11" s="22" t="s">
        <v>41</v>
      </c>
      <c r="E11" s="23" t="s">
        <v>51</v>
      </c>
      <c r="F11" s="22" t="s">
        <v>62</v>
      </c>
      <c r="G11" s="22" t="s">
        <v>53</v>
      </c>
      <c r="H11" s="22" t="s">
        <v>30</v>
      </c>
      <c r="I11" s="22" t="s">
        <v>54</v>
      </c>
      <c r="J11" s="22" t="s">
        <v>62</v>
      </c>
      <c r="K11" s="518" t="s">
        <v>812</v>
      </c>
      <c r="L11" s="521" t="s">
        <v>825</v>
      </c>
      <c r="M11" s="521" t="s">
        <v>826</v>
      </c>
      <c r="N11" s="521" t="s">
        <v>815</v>
      </c>
      <c r="O11" s="22" t="s">
        <v>47</v>
      </c>
      <c r="P11" s="426">
        <v>2020</v>
      </c>
      <c r="Q11" s="414">
        <f t="shared" ca="1" si="0"/>
        <v>1269912.0767742959</v>
      </c>
      <c r="R11" s="335" t="str">
        <f t="shared" ca="1" si="1"/>
        <v>N/A</v>
      </c>
      <c r="S11" s="335" t="str">
        <f t="shared" ca="1" si="2"/>
        <v>N/A</v>
      </c>
      <c r="T11" s="429" t="s">
        <v>48</v>
      </c>
      <c r="U11" s="22"/>
      <c r="V11" s="24"/>
      <c r="W11" s="21"/>
      <c r="Y11" s="490"/>
    </row>
    <row r="12" spans="1:25" ht="45" hidden="1">
      <c r="A12" s="31">
        <v>9</v>
      </c>
      <c r="B12" s="22" t="s">
        <v>39</v>
      </c>
      <c r="C12" s="22" t="s">
        <v>50</v>
      </c>
      <c r="D12" s="22" t="s">
        <v>41</v>
      </c>
      <c r="E12" s="23" t="s">
        <v>51</v>
      </c>
      <c r="F12" s="22" t="s">
        <v>63</v>
      </c>
      <c r="G12" s="22" t="s">
        <v>53</v>
      </c>
      <c r="H12" s="22" t="s">
        <v>30</v>
      </c>
      <c r="I12" s="22" t="s">
        <v>54</v>
      </c>
      <c r="J12" s="22" t="s">
        <v>63</v>
      </c>
      <c r="K12" s="518" t="s">
        <v>812</v>
      </c>
      <c r="L12" s="521" t="s">
        <v>827</v>
      </c>
      <c r="M12" s="521" t="s">
        <v>828</v>
      </c>
      <c r="N12" s="521" t="s">
        <v>815</v>
      </c>
      <c r="O12" s="22" t="s">
        <v>47</v>
      </c>
      <c r="P12" s="426">
        <v>2020</v>
      </c>
      <c r="Q12" s="414">
        <f t="shared" ca="1" si="0"/>
        <v>7753377253.7211695</v>
      </c>
      <c r="R12" s="335" t="str">
        <f t="shared" ca="1" si="1"/>
        <v>N/A</v>
      </c>
      <c r="S12" s="335" t="str">
        <f t="shared" ca="1" si="2"/>
        <v>N/A</v>
      </c>
      <c r="T12" s="429" t="s">
        <v>48</v>
      </c>
      <c r="U12" s="22"/>
      <c r="V12" s="24"/>
      <c r="W12" s="21"/>
      <c r="Y12" s="490"/>
    </row>
    <row r="13" spans="1:25" ht="45" hidden="1">
      <c r="A13" s="31">
        <v>10</v>
      </c>
      <c r="B13" s="22" t="s">
        <v>39</v>
      </c>
      <c r="C13" s="22" t="s">
        <v>50</v>
      </c>
      <c r="D13" s="22" t="s">
        <v>41</v>
      </c>
      <c r="E13" s="23" t="s">
        <v>51</v>
      </c>
      <c r="F13" s="22" t="s">
        <v>64</v>
      </c>
      <c r="G13" s="22" t="s">
        <v>53</v>
      </c>
      <c r="H13" s="22" t="s">
        <v>30</v>
      </c>
      <c r="I13" s="22" t="s">
        <v>54</v>
      </c>
      <c r="J13" s="22" t="s">
        <v>64</v>
      </c>
      <c r="K13" s="518" t="s">
        <v>812</v>
      </c>
      <c r="L13" s="521" t="s">
        <v>829</v>
      </c>
      <c r="M13" s="521" t="s">
        <v>830</v>
      </c>
      <c r="N13" s="521" t="s">
        <v>815</v>
      </c>
      <c r="O13" s="22" t="s">
        <v>47</v>
      </c>
      <c r="P13" s="426">
        <v>2020</v>
      </c>
      <c r="Q13" s="414">
        <f t="shared" ca="1" si="0"/>
        <v>7656685480.0510092</v>
      </c>
      <c r="R13" s="335" t="str">
        <f t="shared" ca="1" si="1"/>
        <v>N/A</v>
      </c>
      <c r="S13" s="335" t="str">
        <f t="shared" ca="1" si="2"/>
        <v>N/A</v>
      </c>
      <c r="T13" s="429" t="s">
        <v>48</v>
      </c>
      <c r="U13" s="22"/>
      <c r="V13" s="24"/>
      <c r="W13" s="21"/>
      <c r="Y13" s="490"/>
    </row>
    <row r="14" spans="1:25" ht="45" hidden="1">
      <c r="A14" s="31">
        <v>11</v>
      </c>
      <c r="B14" s="22" t="s">
        <v>39</v>
      </c>
      <c r="C14" s="22" t="s">
        <v>50</v>
      </c>
      <c r="D14" s="22" t="s">
        <v>41</v>
      </c>
      <c r="E14" s="23" t="s">
        <v>51</v>
      </c>
      <c r="F14" s="22" t="s">
        <v>65</v>
      </c>
      <c r="G14" s="22" t="s">
        <v>53</v>
      </c>
      <c r="H14" s="22" t="s">
        <v>30</v>
      </c>
      <c r="I14" s="22" t="s">
        <v>54</v>
      </c>
      <c r="J14" s="22" t="s">
        <v>65</v>
      </c>
      <c r="K14" s="518" t="s">
        <v>812</v>
      </c>
      <c r="L14" s="521" t="s">
        <v>831</v>
      </c>
      <c r="M14" s="521" t="s">
        <v>832</v>
      </c>
      <c r="N14" s="521" t="s">
        <v>815</v>
      </c>
      <c r="O14" s="22" t="s">
        <v>47</v>
      </c>
      <c r="P14" s="426">
        <v>2020</v>
      </c>
      <c r="Q14" s="414">
        <f t="shared" ca="1" si="0"/>
        <v>54439559.990600072</v>
      </c>
      <c r="R14" s="335" t="str">
        <f t="shared" ca="1" si="1"/>
        <v>N/A</v>
      </c>
      <c r="S14" s="335" t="str">
        <f t="shared" ca="1" si="2"/>
        <v>N/A</v>
      </c>
      <c r="T14" s="429" t="s">
        <v>48</v>
      </c>
      <c r="U14" s="22" t="s">
        <v>49</v>
      </c>
      <c r="V14" s="24"/>
      <c r="W14" s="21"/>
      <c r="Y14" s="490"/>
    </row>
    <row r="15" spans="1:25" ht="45" hidden="1">
      <c r="A15" s="31">
        <v>12</v>
      </c>
      <c r="B15" s="22" t="s">
        <v>39</v>
      </c>
      <c r="C15" s="22" t="s">
        <v>50</v>
      </c>
      <c r="D15" s="22" t="s">
        <v>41</v>
      </c>
      <c r="E15" s="23" t="s">
        <v>51</v>
      </c>
      <c r="F15" s="22" t="s">
        <v>66</v>
      </c>
      <c r="G15" s="22" t="s">
        <v>53</v>
      </c>
      <c r="H15" s="22" t="s">
        <v>30</v>
      </c>
      <c r="I15" s="22" t="s">
        <v>54</v>
      </c>
      <c r="J15" s="22" t="s">
        <v>66</v>
      </c>
      <c r="K15" s="518" t="s">
        <v>812</v>
      </c>
      <c r="L15" s="521" t="s">
        <v>833</v>
      </c>
      <c r="M15" s="521" t="s">
        <v>834</v>
      </c>
      <c r="N15" s="521" t="s">
        <v>815</v>
      </c>
      <c r="O15" s="22" t="s">
        <v>47</v>
      </c>
      <c r="P15" s="426">
        <v>2020</v>
      </c>
      <c r="Q15" s="414">
        <f t="shared" ca="1" si="0"/>
        <v>52760707.285274453</v>
      </c>
      <c r="R15" s="335" t="str">
        <f t="shared" ca="1" si="1"/>
        <v>N/A</v>
      </c>
      <c r="S15" s="335" t="str">
        <f t="shared" ca="1" si="2"/>
        <v>N/A</v>
      </c>
      <c r="T15" s="429" t="s">
        <v>48</v>
      </c>
      <c r="U15" s="22" t="s">
        <v>49</v>
      </c>
      <c r="V15" s="24"/>
      <c r="W15" s="21"/>
      <c r="Y15" s="490"/>
    </row>
    <row r="16" spans="1:25" ht="45" hidden="1">
      <c r="A16" s="31">
        <v>13</v>
      </c>
      <c r="B16" s="22" t="s">
        <v>39</v>
      </c>
      <c r="C16" s="22" t="s">
        <v>50</v>
      </c>
      <c r="D16" s="22" t="s">
        <v>67</v>
      </c>
      <c r="E16" s="23" t="s">
        <v>68</v>
      </c>
      <c r="F16" s="22" t="s">
        <v>52</v>
      </c>
      <c r="G16" s="22" t="s">
        <v>69</v>
      </c>
      <c r="H16" s="22" t="s">
        <v>30</v>
      </c>
      <c r="I16" s="22" t="s">
        <v>70</v>
      </c>
      <c r="J16" s="22" t="s">
        <v>71</v>
      </c>
      <c r="K16" s="518" t="s">
        <v>812</v>
      </c>
      <c r="L16" s="521" t="s">
        <v>835</v>
      </c>
      <c r="M16" s="521" t="s">
        <v>836</v>
      </c>
      <c r="N16" s="521" t="s">
        <v>815</v>
      </c>
      <c r="O16" s="22" t="s">
        <v>47</v>
      </c>
      <c r="P16" s="426">
        <v>2020</v>
      </c>
      <c r="Q16" s="414">
        <f t="shared" ca="1" si="0"/>
        <v>57.253057897312331</v>
      </c>
      <c r="R16" s="335" t="str">
        <f t="shared" ca="1" si="1"/>
        <v>N/A</v>
      </c>
      <c r="S16" s="335" t="str">
        <f t="shared" ca="1" si="2"/>
        <v>N/A</v>
      </c>
      <c r="T16" s="429"/>
      <c r="U16" s="22"/>
      <c r="V16" s="24"/>
      <c r="W16" s="21"/>
      <c r="Y16" s="490"/>
    </row>
    <row r="17" spans="1:25" ht="45" hidden="1">
      <c r="A17" s="31">
        <v>14</v>
      </c>
      <c r="B17" s="22" t="s">
        <v>39</v>
      </c>
      <c r="C17" s="22" t="s">
        <v>50</v>
      </c>
      <c r="D17" s="22" t="s">
        <v>67</v>
      </c>
      <c r="E17" s="23" t="s">
        <v>68</v>
      </c>
      <c r="F17" s="22" t="s">
        <v>55</v>
      </c>
      <c r="G17" s="22" t="s">
        <v>69</v>
      </c>
      <c r="H17" s="22" t="s">
        <v>30</v>
      </c>
      <c r="I17" s="22" t="s">
        <v>70</v>
      </c>
      <c r="J17" s="22" t="s">
        <v>72</v>
      </c>
      <c r="K17" s="518" t="s">
        <v>812</v>
      </c>
      <c r="L17" s="521" t="s">
        <v>837</v>
      </c>
      <c r="M17" s="521" t="s">
        <v>838</v>
      </c>
      <c r="N17" s="521" t="s">
        <v>815</v>
      </c>
      <c r="O17" s="22" t="s">
        <v>47</v>
      </c>
      <c r="P17" s="426">
        <v>2020</v>
      </c>
      <c r="Q17" s="414">
        <f t="shared" ca="1" si="0"/>
        <v>45.854936276289742</v>
      </c>
      <c r="R17" s="335" t="str">
        <f t="shared" ca="1" si="1"/>
        <v>N/A</v>
      </c>
      <c r="S17" s="335" t="str">
        <f t="shared" ca="1" si="2"/>
        <v>N/A</v>
      </c>
      <c r="T17" s="429"/>
      <c r="U17" s="22"/>
      <c r="V17" s="24"/>
      <c r="W17" s="21"/>
      <c r="Y17" s="490"/>
    </row>
    <row r="18" spans="1:25" ht="45" hidden="1">
      <c r="A18" s="31">
        <v>15</v>
      </c>
      <c r="B18" s="22" t="s">
        <v>39</v>
      </c>
      <c r="C18" s="22" t="s">
        <v>50</v>
      </c>
      <c r="D18" s="22" t="s">
        <v>67</v>
      </c>
      <c r="E18" s="23" t="s">
        <v>68</v>
      </c>
      <c r="F18" s="22" t="s">
        <v>56</v>
      </c>
      <c r="G18" s="22" t="s">
        <v>69</v>
      </c>
      <c r="H18" s="22" t="s">
        <v>30</v>
      </c>
      <c r="I18" s="22" t="s">
        <v>70</v>
      </c>
      <c r="J18" s="22" t="s">
        <v>73</v>
      </c>
      <c r="K18" s="518" t="s">
        <v>812</v>
      </c>
      <c r="L18" s="521" t="s">
        <v>839</v>
      </c>
      <c r="M18" s="521" t="s">
        <v>840</v>
      </c>
      <c r="N18" s="521" t="s">
        <v>815</v>
      </c>
      <c r="O18" s="22" t="s">
        <v>47</v>
      </c>
      <c r="P18" s="426">
        <v>2020</v>
      </c>
      <c r="Q18" s="414">
        <f t="shared" ca="1" si="0"/>
        <v>413493.28720832663</v>
      </c>
      <c r="R18" s="335" t="str">
        <f t="shared" ca="1" si="1"/>
        <v>N/A</v>
      </c>
      <c r="S18" s="335" t="str">
        <f t="shared" ca="1" si="2"/>
        <v>N/A</v>
      </c>
      <c r="T18" s="429"/>
      <c r="U18" s="22"/>
      <c r="V18" s="24"/>
      <c r="W18" s="21"/>
      <c r="Y18" s="490"/>
    </row>
    <row r="19" spans="1:25" ht="45" hidden="1">
      <c r="A19" s="31">
        <v>16</v>
      </c>
      <c r="B19" s="22" t="s">
        <v>39</v>
      </c>
      <c r="C19" s="22" t="s">
        <v>50</v>
      </c>
      <c r="D19" s="22" t="s">
        <v>67</v>
      </c>
      <c r="E19" s="23" t="s">
        <v>68</v>
      </c>
      <c r="F19" s="22" t="s">
        <v>57</v>
      </c>
      <c r="G19" s="22" t="s">
        <v>69</v>
      </c>
      <c r="H19" s="22" t="s">
        <v>30</v>
      </c>
      <c r="I19" s="22" t="s">
        <v>70</v>
      </c>
      <c r="J19" s="22" t="s">
        <v>74</v>
      </c>
      <c r="K19" s="518" t="s">
        <v>812</v>
      </c>
      <c r="L19" s="521" t="s">
        <v>841</v>
      </c>
      <c r="M19" s="521" t="s">
        <v>842</v>
      </c>
      <c r="N19" s="521" t="s">
        <v>815</v>
      </c>
      <c r="O19" s="22" t="s">
        <v>47</v>
      </c>
      <c r="P19" s="426">
        <v>2020</v>
      </c>
      <c r="Q19" s="414">
        <f t="shared" ca="1" si="0"/>
        <v>328777.54607202363</v>
      </c>
      <c r="R19" s="335" t="str">
        <f t="shared" ca="1" si="1"/>
        <v>N/A</v>
      </c>
      <c r="S19" s="335" t="str">
        <f t="shared" ca="1" si="2"/>
        <v>N/A</v>
      </c>
      <c r="T19" s="429"/>
      <c r="U19" s="22"/>
      <c r="V19" s="24"/>
      <c r="W19" s="21"/>
      <c r="Y19" s="490"/>
    </row>
    <row r="20" spans="1:25" ht="45" hidden="1">
      <c r="A20" s="31">
        <v>17</v>
      </c>
      <c r="B20" s="22" t="s">
        <v>39</v>
      </c>
      <c r="C20" s="22" t="s">
        <v>50</v>
      </c>
      <c r="D20" s="22" t="s">
        <v>67</v>
      </c>
      <c r="E20" s="23" t="s">
        <v>68</v>
      </c>
      <c r="F20" s="22" t="s">
        <v>58</v>
      </c>
      <c r="G20" s="22" t="s">
        <v>69</v>
      </c>
      <c r="H20" s="22" t="s">
        <v>30</v>
      </c>
      <c r="I20" s="22" t="s">
        <v>70</v>
      </c>
      <c r="J20" s="22" t="s">
        <v>75</v>
      </c>
      <c r="K20" s="518" t="s">
        <v>812</v>
      </c>
      <c r="L20" s="521" t="s">
        <v>843</v>
      </c>
      <c r="M20" s="521" t="s">
        <v>844</v>
      </c>
      <c r="N20" s="521" t="s">
        <v>815</v>
      </c>
      <c r="O20" s="22" t="s">
        <v>47</v>
      </c>
      <c r="P20" s="426">
        <v>2020</v>
      </c>
      <c r="Q20" s="414">
        <f t="shared" ca="1" si="0"/>
        <v>2444.8150845085443</v>
      </c>
      <c r="R20" s="335" t="str">
        <f t="shared" ca="1" si="1"/>
        <v>N/A</v>
      </c>
      <c r="S20" s="335" t="str">
        <f t="shared" ca="1" si="2"/>
        <v>N/A</v>
      </c>
      <c r="T20" s="429" t="s">
        <v>59</v>
      </c>
      <c r="U20" s="22" t="str">
        <f>Definitions!C$7</f>
        <v>D.18-05-041: DAC = Bill accounts in census tracts corresponding to census tracts in the top quartile of CalEnviroScreen 3.0 scores.</v>
      </c>
      <c r="V20" s="24"/>
      <c r="W20" s="21"/>
      <c r="Y20" s="490"/>
    </row>
    <row r="21" spans="1:25" ht="45" hidden="1">
      <c r="A21" s="31">
        <v>18</v>
      </c>
      <c r="B21" s="22" t="s">
        <v>39</v>
      </c>
      <c r="C21" s="22" t="s">
        <v>50</v>
      </c>
      <c r="D21" s="22" t="s">
        <v>67</v>
      </c>
      <c r="E21" s="23" t="s">
        <v>68</v>
      </c>
      <c r="F21" s="22" t="s">
        <v>60</v>
      </c>
      <c r="G21" s="22" t="s">
        <v>69</v>
      </c>
      <c r="H21" s="22" t="s">
        <v>30</v>
      </c>
      <c r="I21" s="22" t="s">
        <v>70</v>
      </c>
      <c r="J21" s="22" t="s">
        <v>76</v>
      </c>
      <c r="K21" s="518" t="s">
        <v>812</v>
      </c>
      <c r="L21" s="521" t="s">
        <v>845</v>
      </c>
      <c r="M21" s="521" t="s">
        <v>846</v>
      </c>
      <c r="N21" s="521" t="s">
        <v>815</v>
      </c>
      <c r="O21" s="22" t="s">
        <v>47</v>
      </c>
      <c r="P21" s="426">
        <v>2020</v>
      </c>
      <c r="Q21" s="414">
        <f t="shared" ca="1" si="0"/>
        <v>1643.2286886658653</v>
      </c>
      <c r="R21" s="335" t="str">
        <f t="shared" ca="1" si="1"/>
        <v>N/A</v>
      </c>
      <c r="S21" s="335" t="str">
        <f t="shared" ca="1" si="2"/>
        <v>N/A</v>
      </c>
      <c r="T21" s="429" t="s">
        <v>59</v>
      </c>
      <c r="U21" s="22" t="str">
        <f>Definitions!C$7</f>
        <v>D.18-05-041: DAC = Bill accounts in census tracts corresponding to census tracts in the top quartile of CalEnviroScreen 3.0 scores.</v>
      </c>
      <c r="V21" s="24"/>
      <c r="W21" s="21"/>
      <c r="Y21" s="490"/>
    </row>
    <row r="22" spans="1:25" ht="45" hidden="1">
      <c r="A22" s="31">
        <v>19</v>
      </c>
      <c r="B22" s="22" t="s">
        <v>39</v>
      </c>
      <c r="C22" s="22" t="s">
        <v>50</v>
      </c>
      <c r="D22" s="22" t="s">
        <v>67</v>
      </c>
      <c r="E22" s="23" t="s">
        <v>68</v>
      </c>
      <c r="F22" s="22" t="s">
        <v>61</v>
      </c>
      <c r="G22" s="22" t="s">
        <v>69</v>
      </c>
      <c r="H22" s="22" t="s">
        <v>30</v>
      </c>
      <c r="I22" s="22" t="s">
        <v>70</v>
      </c>
      <c r="J22" s="22" t="s">
        <v>77</v>
      </c>
      <c r="K22" s="518" t="s">
        <v>812</v>
      </c>
      <c r="L22" s="521" t="s">
        <v>847</v>
      </c>
      <c r="M22" s="521" t="s">
        <v>848</v>
      </c>
      <c r="N22" s="521" t="s">
        <v>815</v>
      </c>
      <c r="O22" s="22" t="s">
        <v>47</v>
      </c>
      <c r="P22" s="426">
        <v>2020</v>
      </c>
      <c r="Q22" s="414">
        <f t="shared" ca="1" si="0"/>
        <v>289.1129345407785</v>
      </c>
      <c r="R22" s="335" t="str">
        <f t="shared" ca="1" si="1"/>
        <v>N/A</v>
      </c>
      <c r="S22" s="335" t="str">
        <f t="shared" ca="1" si="2"/>
        <v>N/A</v>
      </c>
      <c r="T22" s="429"/>
      <c r="U22" s="22"/>
      <c r="V22" s="24"/>
      <c r="W22" s="21"/>
      <c r="Y22" s="490"/>
    </row>
    <row r="23" spans="1:25" ht="45" hidden="1">
      <c r="A23" s="31">
        <v>20</v>
      </c>
      <c r="B23" s="22" t="s">
        <v>39</v>
      </c>
      <c r="C23" s="22" t="s">
        <v>50</v>
      </c>
      <c r="D23" s="22" t="s">
        <v>67</v>
      </c>
      <c r="E23" s="23" t="s">
        <v>68</v>
      </c>
      <c r="F23" s="22" t="s">
        <v>62</v>
      </c>
      <c r="G23" s="22" t="s">
        <v>69</v>
      </c>
      <c r="H23" s="22" t="s">
        <v>30</v>
      </c>
      <c r="I23" s="22" t="s">
        <v>70</v>
      </c>
      <c r="J23" s="22" t="s">
        <v>78</v>
      </c>
      <c r="K23" s="518" t="s">
        <v>812</v>
      </c>
      <c r="L23" s="521" t="s">
        <v>849</v>
      </c>
      <c r="M23" s="521" t="s">
        <v>850</v>
      </c>
      <c r="N23" s="521" t="s">
        <v>815</v>
      </c>
      <c r="O23" s="22" t="s">
        <v>47</v>
      </c>
      <c r="P23" s="426">
        <v>2020</v>
      </c>
      <c r="Q23" s="414">
        <f t="shared" ca="1" si="0"/>
        <v>232.20193826509961</v>
      </c>
      <c r="R23" s="335" t="str">
        <f t="shared" ca="1" si="1"/>
        <v>N/A</v>
      </c>
      <c r="S23" s="335" t="str">
        <f t="shared" ca="1" si="2"/>
        <v>N/A</v>
      </c>
      <c r="T23" s="429"/>
      <c r="U23" s="22"/>
      <c r="V23" s="24"/>
      <c r="W23" s="21"/>
      <c r="Y23" s="490"/>
    </row>
    <row r="24" spans="1:25" ht="45" hidden="1">
      <c r="A24" s="31">
        <v>21</v>
      </c>
      <c r="B24" s="22" t="s">
        <v>39</v>
      </c>
      <c r="C24" s="22" t="s">
        <v>50</v>
      </c>
      <c r="D24" s="22" t="s">
        <v>67</v>
      </c>
      <c r="E24" s="23" t="s">
        <v>68</v>
      </c>
      <c r="F24" s="22" t="s">
        <v>63</v>
      </c>
      <c r="G24" s="22" t="s">
        <v>69</v>
      </c>
      <c r="H24" s="22" t="s">
        <v>30</v>
      </c>
      <c r="I24" s="22" t="s">
        <v>70</v>
      </c>
      <c r="J24" s="22" t="s">
        <v>79</v>
      </c>
      <c r="K24" s="518" t="s">
        <v>812</v>
      </c>
      <c r="L24" s="521" t="s">
        <v>851</v>
      </c>
      <c r="M24" s="521" t="s">
        <v>852</v>
      </c>
      <c r="N24" s="521" t="s">
        <v>815</v>
      </c>
      <c r="O24" s="22" t="s">
        <v>47</v>
      </c>
      <c r="P24" s="426">
        <v>2020</v>
      </c>
      <c r="Q24" s="414">
        <f t="shared" ca="1" si="0"/>
        <v>2099626.6388987461</v>
      </c>
      <c r="R24" s="335" t="str">
        <f t="shared" ca="1" si="1"/>
        <v>N/A</v>
      </c>
      <c r="S24" s="335" t="str">
        <f t="shared" ca="1" si="2"/>
        <v>N/A</v>
      </c>
      <c r="T24" s="429"/>
      <c r="U24" s="22"/>
      <c r="V24" s="24"/>
      <c r="W24" s="21"/>
      <c r="Y24" s="490"/>
    </row>
    <row r="25" spans="1:25" ht="45" hidden="1">
      <c r="A25" s="31">
        <v>22</v>
      </c>
      <c r="B25" s="22" t="s">
        <v>39</v>
      </c>
      <c r="C25" s="22" t="s">
        <v>50</v>
      </c>
      <c r="D25" s="22" t="s">
        <v>67</v>
      </c>
      <c r="E25" s="23" t="s">
        <v>68</v>
      </c>
      <c r="F25" s="22" t="s">
        <v>64</v>
      </c>
      <c r="G25" s="22" t="s">
        <v>69</v>
      </c>
      <c r="H25" s="22" t="s">
        <v>30</v>
      </c>
      <c r="I25" s="22" t="s">
        <v>70</v>
      </c>
      <c r="J25" s="22" t="s">
        <v>80</v>
      </c>
      <c r="K25" s="518" t="s">
        <v>812</v>
      </c>
      <c r="L25" s="521" t="s">
        <v>853</v>
      </c>
      <c r="M25" s="521" t="s">
        <v>854</v>
      </c>
      <c r="N25" s="521" t="s">
        <v>815</v>
      </c>
      <c r="O25" s="22" t="s">
        <v>47</v>
      </c>
      <c r="P25" s="426">
        <v>2020</v>
      </c>
      <c r="Q25" s="414">
        <f t="shared" ca="1" si="0"/>
        <v>1675038.6580146365</v>
      </c>
      <c r="R25" s="335" t="str">
        <f t="shared" ca="1" si="1"/>
        <v>N/A</v>
      </c>
      <c r="S25" s="335" t="str">
        <f t="shared" ca="1" si="2"/>
        <v>N/A</v>
      </c>
      <c r="T25" s="429"/>
      <c r="U25" s="22"/>
      <c r="V25" s="24"/>
      <c r="W25" s="21"/>
      <c r="Y25" s="490"/>
    </row>
    <row r="26" spans="1:25" ht="45" hidden="1">
      <c r="A26" s="31">
        <v>23</v>
      </c>
      <c r="B26" s="22" t="s">
        <v>39</v>
      </c>
      <c r="C26" s="22" t="s">
        <v>50</v>
      </c>
      <c r="D26" s="22" t="s">
        <v>67</v>
      </c>
      <c r="E26" s="23" t="s">
        <v>68</v>
      </c>
      <c r="F26" s="22" t="s">
        <v>65</v>
      </c>
      <c r="G26" s="22" t="s">
        <v>69</v>
      </c>
      <c r="H26" s="22" t="s">
        <v>30</v>
      </c>
      <c r="I26" s="22" t="s">
        <v>70</v>
      </c>
      <c r="J26" s="22" t="s">
        <v>81</v>
      </c>
      <c r="K26" s="518" t="s">
        <v>812</v>
      </c>
      <c r="L26" s="521" t="s">
        <v>855</v>
      </c>
      <c r="M26" s="521" t="s">
        <v>856</v>
      </c>
      <c r="N26" s="521" t="s">
        <v>815</v>
      </c>
      <c r="O26" s="22" t="s">
        <v>47</v>
      </c>
      <c r="P26" s="426">
        <v>2020</v>
      </c>
      <c r="Q26" s="414">
        <f t="shared" ca="1" si="0"/>
        <v>12571.194248503609</v>
      </c>
      <c r="R26" s="335" t="str">
        <f t="shared" ca="1" si="1"/>
        <v>N/A</v>
      </c>
      <c r="S26" s="335" t="str">
        <f t="shared" ca="1" si="2"/>
        <v>N/A</v>
      </c>
      <c r="T26" s="429" t="s">
        <v>59</v>
      </c>
      <c r="U26" s="22" t="str">
        <f>Definitions!C$7</f>
        <v>D.18-05-041: DAC = Bill accounts in census tracts corresponding to census tracts in the top quartile of CalEnviroScreen 3.0 scores.</v>
      </c>
      <c r="V26" s="24"/>
      <c r="W26" s="21"/>
      <c r="Y26" s="490"/>
    </row>
    <row r="27" spans="1:25" ht="45" hidden="1">
      <c r="A27" s="31">
        <v>24</v>
      </c>
      <c r="B27" s="22" t="s">
        <v>39</v>
      </c>
      <c r="C27" s="22" t="s">
        <v>50</v>
      </c>
      <c r="D27" s="22" t="s">
        <v>67</v>
      </c>
      <c r="E27" s="23" t="s">
        <v>68</v>
      </c>
      <c r="F27" s="22" t="s">
        <v>66</v>
      </c>
      <c r="G27" s="22" t="s">
        <v>69</v>
      </c>
      <c r="H27" s="22" t="s">
        <v>30</v>
      </c>
      <c r="I27" s="22" t="s">
        <v>70</v>
      </c>
      <c r="J27" s="22" t="s">
        <v>82</v>
      </c>
      <c r="K27" s="518" t="s">
        <v>812</v>
      </c>
      <c r="L27" s="521" t="s">
        <v>857</v>
      </c>
      <c r="M27" s="521" t="s">
        <v>858</v>
      </c>
      <c r="N27" s="521" t="s">
        <v>815</v>
      </c>
      <c r="O27" s="22" t="s">
        <v>47</v>
      </c>
      <c r="P27" s="426">
        <v>2020</v>
      </c>
      <c r="Q27" s="414">
        <f t="shared" ca="1" si="0"/>
        <v>8115.8526963889335</v>
      </c>
      <c r="R27" s="335" t="str">
        <f t="shared" ca="1" si="1"/>
        <v>N/A</v>
      </c>
      <c r="S27" s="335" t="str">
        <f t="shared" ca="1" si="2"/>
        <v>N/A</v>
      </c>
      <c r="T27" s="429" t="s">
        <v>59</v>
      </c>
      <c r="U27" s="22" t="str">
        <f>Definitions!C$7</f>
        <v>D.18-05-041: DAC = Bill accounts in census tracts corresponding to census tracts in the top quartile of CalEnviroScreen 3.0 scores.</v>
      </c>
      <c r="V27" s="24"/>
      <c r="W27" s="21"/>
      <c r="Y27" s="490"/>
    </row>
    <row r="28" spans="1:25" ht="45" hidden="1">
      <c r="A28" s="31">
        <v>25</v>
      </c>
      <c r="B28" s="22" t="s">
        <v>39</v>
      </c>
      <c r="C28" s="22" t="s">
        <v>50</v>
      </c>
      <c r="D28" s="22" t="s">
        <v>83</v>
      </c>
      <c r="E28" s="23" t="s">
        <v>84</v>
      </c>
      <c r="F28" s="22" t="s">
        <v>52</v>
      </c>
      <c r="G28" s="22" t="s">
        <v>85</v>
      </c>
      <c r="H28" s="22" t="s">
        <v>30</v>
      </c>
      <c r="I28" s="22" t="s">
        <v>86</v>
      </c>
      <c r="J28" s="22" t="s">
        <v>87</v>
      </c>
      <c r="K28" s="518" t="s">
        <v>812</v>
      </c>
      <c r="L28" s="521" t="s">
        <v>859</v>
      </c>
      <c r="M28" s="521" t="s">
        <v>860</v>
      </c>
      <c r="N28" s="521" t="s">
        <v>815</v>
      </c>
      <c r="O28" s="22" t="s">
        <v>47</v>
      </c>
      <c r="P28" s="426">
        <v>2020</v>
      </c>
      <c r="Q28" s="414">
        <f t="shared" ca="1" si="0"/>
        <v>274.32763831806716</v>
      </c>
      <c r="R28" s="335" t="str">
        <f t="shared" ca="1" si="1"/>
        <v>N/A</v>
      </c>
      <c r="S28" s="335" t="str">
        <f t="shared" ca="1" si="2"/>
        <v>N/A</v>
      </c>
      <c r="T28" s="429"/>
      <c r="U28" s="22"/>
      <c r="V28" s="24"/>
      <c r="W28" s="21"/>
      <c r="Y28" s="490"/>
    </row>
    <row r="29" spans="1:25" ht="45" hidden="1">
      <c r="A29" s="31">
        <v>26</v>
      </c>
      <c r="B29" s="22" t="s">
        <v>39</v>
      </c>
      <c r="C29" s="22" t="s">
        <v>50</v>
      </c>
      <c r="D29" s="22" t="s">
        <v>83</v>
      </c>
      <c r="E29" s="23" t="s">
        <v>84</v>
      </c>
      <c r="F29" s="22" t="s">
        <v>55</v>
      </c>
      <c r="G29" s="22" t="s">
        <v>85</v>
      </c>
      <c r="H29" s="22" t="s">
        <v>30</v>
      </c>
      <c r="I29" s="22" t="s">
        <v>86</v>
      </c>
      <c r="J29" s="22" t="s">
        <v>88</v>
      </c>
      <c r="K29" s="518" t="s">
        <v>812</v>
      </c>
      <c r="L29" s="521" t="s">
        <v>861</v>
      </c>
      <c r="M29" s="521" t="s">
        <v>862</v>
      </c>
      <c r="N29" s="521" t="s">
        <v>815</v>
      </c>
      <c r="O29" s="22" t="s">
        <v>47</v>
      </c>
      <c r="P29" s="426">
        <v>2020</v>
      </c>
      <c r="Q29" s="414">
        <f t="shared" ca="1" si="0"/>
        <v>246.89488102674073</v>
      </c>
      <c r="R29" s="335" t="str">
        <f t="shared" ca="1" si="1"/>
        <v>N/A</v>
      </c>
      <c r="S29" s="335" t="str">
        <f t="shared" ca="1" si="2"/>
        <v>N/A</v>
      </c>
      <c r="T29" s="429"/>
      <c r="U29" s="22"/>
      <c r="V29" s="24"/>
      <c r="W29" s="21"/>
      <c r="Y29" s="490"/>
    </row>
    <row r="30" spans="1:25" ht="45" hidden="1">
      <c r="A30" s="31">
        <v>27</v>
      </c>
      <c r="B30" s="22" t="s">
        <v>39</v>
      </c>
      <c r="C30" s="22" t="s">
        <v>50</v>
      </c>
      <c r="D30" s="22" t="s">
        <v>83</v>
      </c>
      <c r="E30" s="23" t="s">
        <v>84</v>
      </c>
      <c r="F30" s="22" t="s">
        <v>56</v>
      </c>
      <c r="G30" s="22" t="s">
        <v>85</v>
      </c>
      <c r="H30" s="22" t="s">
        <v>30</v>
      </c>
      <c r="I30" s="22" t="s">
        <v>86</v>
      </c>
      <c r="J30" s="22" t="s">
        <v>89</v>
      </c>
      <c r="K30" s="518" t="s">
        <v>812</v>
      </c>
      <c r="L30" s="521" t="s">
        <v>863</v>
      </c>
      <c r="M30" s="521" t="s">
        <v>864</v>
      </c>
      <c r="N30" s="521" t="s">
        <v>815</v>
      </c>
      <c r="O30" s="22" t="s">
        <v>47</v>
      </c>
      <c r="P30" s="426">
        <v>2020</v>
      </c>
      <c r="Q30" s="414">
        <f t="shared" ca="1" si="0"/>
        <v>803198.7375796258</v>
      </c>
      <c r="R30" s="335" t="str">
        <f t="shared" ca="1" si="1"/>
        <v>N/A</v>
      </c>
      <c r="S30" s="335" t="str">
        <f t="shared" ca="1" si="2"/>
        <v>N/A</v>
      </c>
      <c r="T30" s="429"/>
      <c r="U30" s="22"/>
      <c r="V30" s="24"/>
      <c r="W30" s="21"/>
      <c r="Y30" s="490"/>
    </row>
    <row r="31" spans="1:25" ht="45" hidden="1">
      <c r="A31" s="31">
        <v>28</v>
      </c>
      <c r="B31" s="22" t="s">
        <v>39</v>
      </c>
      <c r="C31" s="22" t="s">
        <v>50</v>
      </c>
      <c r="D31" s="22" t="s">
        <v>83</v>
      </c>
      <c r="E31" s="23" t="s">
        <v>84</v>
      </c>
      <c r="F31" s="22" t="s">
        <v>57</v>
      </c>
      <c r="G31" s="22" t="s">
        <v>85</v>
      </c>
      <c r="H31" s="22" t="s">
        <v>30</v>
      </c>
      <c r="I31" s="22" t="s">
        <v>86</v>
      </c>
      <c r="J31" s="22" t="s">
        <v>57</v>
      </c>
      <c r="K31" s="518" t="s">
        <v>812</v>
      </c>
      <c r="L31" s="521" t="s">
        <v>865</v>
      </c>
      <c r="M31" s="521" t="s">
        <v>866</v>
      </c>
      <c r="N31" s="521" t="s">
        <v>815</v>
      </c>
      <c r="O31" s="22" t="s">
        <v>47</v>
      </c>
      <c r="P31" s="426">
        <v>2020</v>
      </c>
      <c r="Q31" s="414">
        <f t="shared" ca="1" si="0"/>
        <v>722878.88297141332</v>
      </c>
      <c r="R31" s="335" t="str">
        <f t="shared" ca="1" si="1"/>
        <v>N/A</v>
      </c>
      <c r="S31" s="335" t="str">
        <f t="shared" ca="1" si="2"/>
        <v>N/A</v>
      </c>
      <c r="T31" s="429"/>
      <c r="U31" s="22"/>
      <c r="V31" s="24"/>
      <c r="W31" s="21"/>
      <c r="Y31" s="490"/>
    </row>
    <row r="32" spans="1:25" ht="90" hidden="1">
      <c r="A32" s="31">
        <v>29</v>
      </c>
      <c r="B32" s="22" t="s">
        <v>39</v>
      </c>
      <c r="C32" s="22" t="s">
        <v>50</v>
      </c>
      <c r="D32" s="22" t="s">
        <v>83</v>
      </c>
      <c r="E32" s="23" t="s">
        <v>84</v>
      </c>
      <c r="F32" s="22" t="s">
        <v>58</v>
      </c>
      <c r="G32" s="22" t="s">
        <v>85</v>
      </c>
      <c r="H32" s="22" t="s">
        <v>30</v>
      </c>
      <c r="I32" s="22" t="s">
        <v>86</v>
      </c>
      <c r="J32" s="22" t="s">
        <v>58</v>
      </c>
      <c r="K32" s="518" t="s">
        <v>812</v>
      </c>
      <c r="L32" s="521" t="s">
        <v>867</v>
      </c>
      <c r="M32" s="521" t="s">
        <v>868</v>
      </c>
      <c r="N32" s="521" t="s">
        <v>815</v>
      </c>
      <c r="O32" s="22" t="s">
        <v>47</v>
      </c>
      <c r="P32" s="426">
        <v>2020</v>
      </c>
      <c r="Q32" s="414">
        <f t="shared" ca="1" si="0"/>
        <v>6013.9287557817761</v>
      </c>
      <c r="R32" s="335" t="str">
        <f t="shared" ca="1" si="1"/>
        <v>N/A</v>
      </c>
      <c r="S32" s="335" t="str">
        <f t="shared" ca="1" si="2"/>
        <v>N/A</v>
      </c>
      <c r="T32" s="429" t="s">
        <v>59</v>
      </c>
      <c r="U32"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2" s="24"/>
      <c r="W32" s="21"/>
      <c r="Y32" s="490"/>
    </row>
    <row r="33" spans="1:25" ht="90" hidden="1">
      <c r="A33" s="31">
        <v>30</v>
      </c>
      <c r="B33" s="22" t="s">
        <v>39</v>
      </c>
      <c r="C33" s="22" t="s">
        <v>50</v>
      </c>
      <c r="D33" s="22" t="s">
        <v>83</v>
      </c>
      <c r="E33" s="23" t="s">
        <v>84</v>
      </c>
      <c r="F33" s="22" t="s">
        <v>60</v>
      </c>
      <c r="G33" s="22" t="s">
        <v>85</v>
      </c>
      <c r="H33" s="22" t="s">
        <v>30</v>
      </c>
      <c r="I33" s="22" t="s">
        <v>86</v>
      </c>
      <c r="J33" s="22" t="s">
        <v>60</v>
      </c>
      <c r="K33" s="518" t="s">
        <v>812</v>
      </c>
      <c r="L33" s="521" t="s">
        <v>869</v>
      </c>
      <c r="M33" s="521" t="s">
        <v>870</v>
      </c>
      <c r="N33" s="521" t="s">
        <v>815</v>
      </c>
      <c r="O33" s="22" t="s">
        <v>47</v>
      </c>
      <c r="P33" s="426">
        <v>2020</v>
      </c>
      <c r="Q33" s="414">
        <f t="shared" ca="1" si="0"/>
        <v>5412.5360235868357</v>
      </c>
      <c r="R33" s="335" t="str">
        <f t="shared" ca="1" si="1"/>
        <v>N/A</v>
      </c>
      <c r="S33" s="335" t="str">
        <f t="shared" ca="1" si="2"/>
        <v>N/A</v>
      </c>
      <c r="T33" s="429" t="s">
        <v>59</v>
      </c>
      <c r="U3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3" s="24"/>
      <c r="W33" s="21"/>
      <c r="Y33" s="490"/>
    </row>
    <row r="34" spans="1:25" ht="45" hidden="1">
      <c r="A34" s="31">
        <v>31</v>
      </c>
      <c r="B34" s="22" t="s">
        <v>39</v>
      </c>
      <c r="C34" s="22" t="s">
        <v>50</v>
      </c>
      <c r="D34" s="22" t="s">
        <v>83</v>
      </c>
      <c r="E34" s="23" t="s">
        <v>84</v>
      </c>
      <c r="F34" s="22" t="s">
        <v>61</v>
      </c>
      <c r="G34" s="22" t="s">
        <v>85</v>
      </c>
      <c r="H34" s="22" t="s">
        <v>30</v>
      </c>
      <c r="I34" s="22" t="s">
        <v>86</v>
      </c>
      <c r="J34" s="22" t="s">
        <v>61</v>
      </c>
      <c r="K34" s="518" t="s">
        <v>812</v>
      </c>
      <c r="L34" s="521" t="s">
        <v>871</v>
      </c>
      <c r="M34" s="521" t="s">
        <v>872</v>
      </c>
      <c r="N34" s="521" t="s">
        <v>815</v>
      </c>
      <c r="O34" s="22" t="s">
        <v>47</v>
      </c>
      <c r="P34" s="426">
        <v>2020</v>
      </c>
      <c r="Q34" s="414">
        <f t="shared" ca="1" si="0"/>
        <v>1110.0082738198946</v>
      </c>
      <c r="R34" s="335" t="str">
        <f t="shared" ca="1" si="1"/>
        <v>N/A</v>
      </c>
      <c r="S34" s="335" t="str">
        <f t="shared" ca="1" si="2"/>
        <v>N/A</v>
      </c>
      <c r="T34" s="429"/>
      <c r="U34" s="22"/>
      <c r="V34" s="24"/>
      <c r="W34" s="21"/>
      <c r="Y34" s="490"/>
    </row>
    <row r="35" spans="1:25" ht="45" hidden="1">
      <c r="A35" s="31">
        <v>32</v>
      </c>
      <c r="B35" s="22" t="s">
        <v>39</v>
      </c>
      <c r="C35" s="22" t="s">
        <v>50</v>
      </c>
      <c r="D35" s="22" t="s">
        <v>83</v>
      </c>
      <c r="E35" s="23" t="s">
        <v>84</v>
      </c>
      <c r="F35" s="22" t="s">
        <v>62</v>
      </c>
      <c r="G35" s="22" t="s">
        <v>85</v>
      </c>
      <c r="H35" s="22" t="s">
        <v>30</v>
      </c>
      <c r="I35" s="22" t="s">
        <v>86</v>
      </c>
      <c r="J35" s="22" t="s">
        <v>62</v>
      </c>
      <c r="K35" s="518" t="s">
        <v>812</v>
      </c>
      <c r="L35" s="521" t="s">
        <v>873</v>
      </c>
      <c r="M35" s="521" t="s">
        <v>874</v>
      </c>
      <c r="N35" s="521" t="s">
        <v>815</v>
      </c>
      <c r="O35" s="22" t="s">
        <v>47</v>
      </c>
      <c r="P35" s="426">
        <v>2020</v>
      </c>
      <c r="Q35" s="414">
        <f t="shared" ca="1" si="0"/>
        <v>999.00747290256629</v>
      </c>
      <c r="R35" s="335" t="str">
        <f t="shared" ca="1" si="1"/>
        <v>N/A</v>
      </c>
      <c r="S35" s="335" t="str">
        <f t="shared" ca="1" si="2"/>
        <v>N/A</v>
      </c>
      <c r="T35" s="429"/>
      <c r="U35" s="22"/>
      <c r="V35" s="24"/>
      <c r="W35" s="21"/>
      <c r="Y35" s="490"/>
    </row>
    <row r="36" spans="1:25" ht="45" hidden="1">
      <c r="A36" s="31">
        <v>33</v>
      </c>
      <c r="B36" s="22" t="s">
        <v>39</v>
      </c>
      <c r="C36" s="22" t="s">
        <v>50</v>
      </c>
      <c r="D36" s="22" t="s">
        <v>83</v>
      </c>
      <c r="E36" s="23" t="s">
        <v>84</v>
      </c>
      <c r="F36" s="22" t="s">
        <v>63</v>
      </c>
      <c r="G36" s="22" t="s">
        <v>85</v>
      </c>
      <c r="H36" s="22" t="s">
        <v>30</v>
      </c>
      <c r="I36" s="22" t="s">
        <v>86</v>
      </c>
      <c r="J36" s="22" t="s">
        <v>63</v>
      </c>
      <c r="K36" s="518" t="s">
        <v>812</v>
      </c>
      <c r="L36" s="521" t="s">
        <v>875</v>
      </c>
      <c r="M36" s="521" t="s">
        <v>876</v>
      </c>
      <c r="N36" s="521" t="s">
        <v>815</v>
      </c>
      <c r="O36" s="22" t="s">
        <v>47</v>
      </c>
      <c r="P36" s="426">
        <v>2020</v>
      </c>
      <c r="Q36" s="414">
        <f t="shared" ca="1" si="0"/>
        <v>4092674.0239007822</v>
      </c>
      <c r="R36" s="335" t="str">
        <f t="shared" ca="1" si="1"/>
        <v>N/A</v>
      </c>
      <c r="S36" s="335" t="str">
        <f t="shared" ca="1" si="2"/>
        <v>N/A</v>
      </c>
      <c r="T36" s="429"/>
      <c r="U36" s="22"/>
      <c r="V36" s="24"/>
      <c r="W36" s="21"/>
      <c r="Y36" s="490"/>
    </row>
    <row r="37" spans="1:25" ht="45" hidden="1">
      <c r="A37" s="31">
        <v>34</v>
      </c>
      <c r="B37" s="22" t="s">
        <v>39</v>
      </c>
      <c r="C37" s="22" t="s">
        <v>50</v>
      </c>
      <c r="D37" s="22" t="s">
        <v>83</v>
      </c>
      <c r="E37" s="23" t="s">
        <v>84</v>
      </c>
      <c r="F37" s="22" t="s">
        <v>64</v>
      </c>
      <c r="G37" s="22" t="s">
        <v>85</v>
      </c>
      <c r="H37" s="22" t="s">
        <v>30</v>
      </c>
      <c r="I37" s="22" t="s">
        <v>86</v>
      </c>
      <c r="J37" s="22" t="s">
        <v>64</v>
      </c>
      <c r="K37" s="518" t="s">
        <v>812</v>
      </c>
      <c r="L37" s="521" t="s">
        <v>877</v>
      </c>
      <c r="M37" s="521" t="s">
        <v>878</v>
      </c>
      <c r="N37" s="521" t="s">
        <v>815</v>
      </c>
      <c r="O37" s="22" t="s">
        <v>47</v>
      </c>
      <c r="P37" s="426">
        <v>2020</v>
      </c>
      <c r="Q37" s="414">
        <f t="shared" ca="1" si="0"/>
        <v>3683406.7190876557</v>
      </c>
      <c r="R37" s="335" t="str">
        <f t="shared" ca="1" si="1"/>
        <v>N/A</v>
      </c>
      <c r="S37" s="335" t="str">
        <f t="shared" ca="1" si="2"/>
        <v>N/A</v>
      </c>
      <c r="T37" s="429"/>
      <c r="U37" s="22"/>
      <c r="V37" s="24"/>
      <c r="W37" s="21"/>
      <c r="Y37" s="490"/>
    </row>
    <row r="38" spans="1:25" ht="90" hidden="1">
      <c r="A38" s="31">
        <v>35</v>
      </c>
      <c r="B38" s="22" t="s">
        <v>39</v>
      </c>
      <c r="C38" s="22" t="s">
        <v>50</v>
      </c>
      <c r="D38" s="22" t="s">
        <v>83</v>
      </c>
      <c r="E38" s="23" t="s">
        <v>84</v>
      </c>
      <c r="F38" s="22" t="s">
        <v>65</v>
      </c>
      <c r="G38" s="22" t="s">
        <v>85</v>
      </c>
      <c r="H38" s="22" t="s">
        <v>30</v>
      </c>
      <c r="I38" s="22" t="s">
        <v>86</v>
      </c>
      <c r="J38" s="22" t="s">
        <v>65</v>
      </c>
      <c r="K38" s="518" t="s">
        <v>812</v>
      </c>
      <c r="L38" s="521" t="s">
        <v>879</v>
      </c>
      <c r="M38" s="521" t="s">
        <v>880</v>
      </c>
      <c r="N38" s="521" t="s">
        <v>815</v>
      </c>
      <c r="O38" s="22" t="s">
        <v>47</v>
      </c>
      <c r="P38" s="426">
        <v>2020</v>
      </c>
      <c r="Q38" s="414">
        <f t="shared" ca="1" si="0"/>
        <v>37061.967562241553</v>
      </c>
      <c r="R38" s="335" t="str">
        <f t="shared" ca="1" si="1"/>
        <v>N/A</v>
      </c>
      <c r="S38" s="335" t="str">
        <f t="shared" ca="1" si="2"/>
        <v>N/A</v>
      </c>
      <c r="T38" s="429" t="s">
        <v>59</v>
      </c>
      <c r="U38"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8" s="24"/>
      <c r="W38" s="21"/>
      <c r="Y38" s="490"/>
    </row>
    <row r="39" spans="1:25" ht="90" hidden="1">
      <c r="A39" s="31">
        <v>36</v>
      </c>
      <c r="B39" s="22" t="s">
        <v>39</v>
      </c>
      <c r="C39" s="22" t="s">
        <v>50</v>
      </c>
      <c r="D39" s="22" t="s">
        <v>83</v>
      </c>
      <c r="E39" s="23" t="s">
        <v>84</v>
      </c>
      <c r="F39" s="22" t="s">
        <v>66</v>
      </c>
      <c r="G39" s="22" t="s">
        <v>85</v>
      </c>
      <c r="H39" s="22" t="s">
        <v>30</v>
      </c>
      <c r="I39" s="22" t="s">
        <v>86</v>
      </c>
      <c r="J39" s="22" t="s">
        <v>66</v>
      </c>
      <c r="K39" s="518" t="s">
        <v>812</v>
      </c>
      <c r="L39" s="521" t="s">
        <v>881</v>
      </c>
      <c r="M39" s="521" t="s">
        <v>882</v>
      </c>
      <c r="N39" s="521" t="s">
        <v>815</v>
      </c>
      <c r="O39" s="22" t="s">
        <v>47</v>
      </c>
      <c r="P39" s="426">
        <v>2020</v>
      </c>
      <c r="Q39" s="414">
        <f t="shared" ca="1" si="0"/>
        <v>33355.771689643567</v>
      </c>
      <c r="R39" s="335" t="str">
        <f t="shared" ca="1" si="1"/>
        <v>N/A</v>
      </c>
      <c r="S39" s="335" t="str">
        <f t="shared" ca="1" si="2"/>
        <v>N/A</v>
      </c>
      <c r="T39" s="429" t="s">
        <v>59</v>
      </c>
      <c r="U39"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9" s="24"/>
      <c r="W39" s="21"/>
      <c r="Y39" s="490"/>
    </row>
    <row r="40" spans="1:25" ht="30">
      <c r="A40" s="31">
        <v>37</v>
      </c>
      <c r="B40" s="22" t="s">
        <v>39</v>
      </c>
      <c r="C40" s="22" t="s">
        <v>50</v>
      </c>
      <c r="D40" s="22" t="s">
        <v>90</v>
      </c>
      <c r="E40" s="23" t="s">
        <v>91</v>
      </c>
      <c r="F40" s="22" t="s">
        <v>92</v>
      </c>
      <c r="G40" s="22" t="s">
        <v>93</v>
      </c>
      <c r="H40" s="22" t="s">
        <v>30</v>
      </c>
      <c r="I40" s="22" t="s">
        <v>94</v>
      </c>
      <c r="J40" s="22" t="s">
        <v>92</v>
      </c>
      <c r="K40" s="518" t="s">
        <v>812</v>
      </c>
      <c r="L40" s="521" t="s">
        <v>883</v>
      </c>
      <c r="M40" s="521" t="s">
        <v>884</v>
      </c>
      <c r="N40" s="521" t="s">
        <v>885</v>
      </c>
      <c r="O40" s="22" t="s">
        <v>47</v>
      </c>
      <c r="P40" s="426">
        <v>2020</v>
      </c>
      <c r="Q40" s="414">
        <f t="shared" ca="1" si="0"/>
        <v>38.187030879415758</v>
      </c>
      <c r="R40" s="335">
        <f t="shared" ca="1" si="1"/>
        <v>0</v>
      </c>
      <c r="S40" s="335">
        <f t="shared" ca="1" si="2"/>
        <v>0</v>
      </c>
      <c r="T40" s="429"/>
      <c r="U40" s="22"/>
      <c r="V40" s="24"/>
      <c r="W40" s="21"/>
      <c r="Y40" s="490"/>
    </row>
    <row r="41" spans="1:25" ht="30">
      <c r="A41" s="31">
        <v>38</v>
      </c>
      <c r="B41" s="22" t="s">
        <v>39</v>
      </c>
      <c r="C41" s="22" t="s">
        <v>50</v>
      </c>
      <c r="D41" s="22" t="s">
        <v>90</v>
      </c>
      <c r="E41" s="23" t="s">
        <v>91</v>
      </c>
      <c r="F41" s="22" t="s">
        <v>95</v>
      </c>
      <c r="G41" s="22" t="s">
        <v>93</v>
      </c>
      <c r="H41" s="22" t="s">
        <v>30</v>
      </c>
      <c r="I41" s="22" t="s">
        <v>94</v>
      </c>
      <c r="J41" s="22" t="s">
        <v>95</v>
      </c>
      <c r="K41" s="518" t="s">
        <v>812</v>
      </c>
      <c r="L41" s="521" t="s">
        <v>886</v>
      </c>
      <c r="M41" s="521" t="s">
        <v>887</v>
      </c>
      <c r="N41" s="521" t="s">
        <v>885</v>
      </c>
      <c r="O41" s="22" t="s">
        <v>47</v>
      </c>
      <c r="P41" s="426">
        <v>2020</v>
      </c>
      <c r="Q41" s="414">
        <f t="shared" ca="1" si="0"/>
        <v>7.742125191806469E-3</v>
      </c>
      <c r="R41" s="335">
        <f t="shared" ca="1" si="1"/>
        <v>0</v>
      </c>
      <c r="S41" s="335">
        <f t="shared" ca="1" si="2"/>
        <v>0</v>
      </c>
      <c r="T41" s="429"/>
      <c r="U41" s="22"/>
      <c r="V41" s="24"/>
      <c r="W41" s="21"/>
      <c r="Y41" s="490"/>
    </row>
    <row r="42" spans="1:25" ht="30">
      <c r="A42" s="31">
        <v>39</v>
      </c>
      <c r="B42" s="22" t="s">
        <v>39</v>
      </c>
      <c r="C42" s="22" t="s">
        <v>50</v>
      </c>
      <c r="D42" s="22" t="s">
        <v>90</v>
      </c>
      <c r="E42" s="23" t="s">
        <v>91</v>
      </c>
      <c r="F42" s="22" t="s">
        <v>96</v>
      </c>
      <c r="G42" s="22" t="s">
        <v>93</v>
      </c>
      <c r="H42" s="22" t="s">
        <v>30</v>
      </c>
      <c r="I42" s="22" t="s">
        <v>94</v>
      </c>
      <c r="J42" s="22" t="s">
        <v>96</v>
      </c>
      <c r="K42" s="518" t="s">
        <v>812</v>
      </c>
      <c r="L42" s="521" t="s">
        <v>888</v>
      </c>
      <c r="M42" s="521" t="s">
        <v>889</v>
      </c>
      <c r="N42" s="521" t="s">
        <v>885</v>
      </c>
      <c r="O42" s="22" t="s">
        <v>47</v>
      </c>
      <c r="P42" s="426">
        <v>2020</v>
      </c>
      <c r="Q42" s="414">
        <f t="shared" ca="1" si="0"/>
        <v>9.7724503578921096E-2</v>
      </c>
      <c r="R42" s="335">
        <f t="shared" ca="1" si="1"/>
        <v>0</v>
      </c>
      <c r="S42" s="335">
        <f t="shared" ca="1" si="2"/>
        <v>0</v>
      </c>
      <c r="T42" s="429" t="s">
        <v>48</v>
      </c>
      <c r="U42" s="22" t="s">
        <v>49</v>
      </c>
      <c r="V42" s="24"/>
      <c r="W42" s="21"/>
      <c r="Y42" s="490"/>
    </row>
    <row r="43" spans="1:25" ht="30">
      <c r="A43" s="31">
        <v>40</v>
      </c>
      <c r="B43" s="22" t="s">
        <v>39</v>
      </c>
      <c r="C43" s="22" t="s">
        <v>50</v>
      </c>
      <c r="D43" s="22" t="s">
        <v>90</v>
      </c>
      <c r="E43" s="23" t="s">
        <v>91</v>
      </c>
      <c r="F43" s="22" t="s">
        <v>97</v>
      </c>
      <c r="G43" s="22" t="s">
        <v>93</v>
      </c>
      <c r="H43" s="22" t="s">
        <v>30</v>
      </c>
      <c r="I43" s="22" t="s">
        <v>94</v>
      </c>
      <c r="J43" s="22" t="s">
        <v>97</v>
      </c>
      <c r="K43" s="518" t="s">
        <v>812</v>
      </c>
      <c r="L43" s="521" t="s">
        <v>890</v>
      </c>
      <c r="M43" s="521" t="s">
        <v>891</v>
      </c>
      <c r="N43" s="521" t="s">
        <v>885</v>
      </c>
      <c r="O43" s="22" t="s">
        <v>47</v>
      </c>
      <c r="P43" s="426">
        <v>2020</v>
      </c>
      <c r="Q43" s="414">
        <f t="shared" ca="1" si="0"/>
        <v>167.9982447322794</v>
      </c>
      <c r="R43" s="335">
        <f t="shared" ca="1" si="1"/>
        <v>0</v>
      </c>
      <c r="S43" s="335">
        <f t="shared" ca="1" si="2"/>
        <v>0</v>
      </c>
      <c r="T43" s="429"/>
      <c r="U43" s="22"/>
      <c r="V43" s="24"/>
      <c r="W43" s="21"/>
      <c r="Y43" s="490"/>
    </row>
    <row r="44" spans="1:25" ht="30">
      <c r="A44" s="31">
        <v>41</v>
      </c>
      <c r="B44" s="22" t="s">
        <v>39</v>
      </c>
      <c r="C44" s="22" t="s">
        <v>50</v>
      </c>
      <c r="D44" s="22" t="s">
        <v>90</v>
      </c>
      <c r="E44" s="23" t="s">
        <v>91</v>
      </c>
      <c r="F44" s="22" t="s">
        <v>98</v>
      </c>
      <c r="G44" s="22" t="s">
        <v>93</v>
      </c>
      <c r="H44" s="22" t="s">
        <v>30</v>
      </c>
      <c r="I44" s="22" t="s">
        <v>94</v>
      </c>
      <c r="J44" s="22" t="s">
        <v>98</v>
      </c>
      <c r="K44" s="518" t="s">
        <v>812</v>
      </c>
      <c r="L44" s="521" t="s">
        <v>892</v>
      </c>
      <c r="M44" s="521" t="s">
        <v>893</v>
      </c>
      <c r="N44" s="521" t="s">
        <v>885</v>
      </c>
      <c r="O44" s="22" t="s">
        <v>47</v>
      </c>
      <c r="P44" s="426">
        <v>2020</v>
      </c>
      <c r="Q44" s="414">
        <f t="shared" ca="1" si="0"/>
        <v>3.4060344906839936E-2</v>
      </c>
      <c r="R44" s="335">
        <f t="shared" ca="1" si="1"/>
        <v>0</v>
      </c>
      <c r="S44" s="335">
        <f t="shared" ca="1" si="2"/>
        <v>0</v>
      </c>
      <c r="T44" s="429"/>
      <c r="U44" s="22"/>
      <c r="V44" s="24"/>
      <c r="W44" s="21"/>
      <c r="Y44" s="490"/>
    </row>
    <row r="45" spans="1:25" ht="30">
      <c r="A45" s="31">
        <v>42</v>
      </c>
      <c r="B45" s="22" t="s">
        <v>39</v>
      </c>
      <c r="C45" s="22" t="s">
        <v>50</v>
      </c>
      <c r="D45" s="22" t="s">
        <v>90</v>
      </c>
      <c r="E45" s="23" t="s">
        <v>91</v>
      </c>
      <c r="F45" s="22" t="s">
        <v>99</v>
      </c>
      <c r="G45" s="22" t="s">
        <v>93</v>
      </c>
      <c r="H45" s="22" t="s">
        <v>30</v>
      </c>
      <c r="I45" s="22" t="s">
        <v>94</v>
      </c>
      <c r="J45" s="22" t="s">
        <v>99</v>
      </c>
      <c r="K45" s="518" t="s">
        <v>812</v>
      </c>
      <c r="L45" s="521" t="s">
        <v>894</v>
      </c>
      <c r="M45" s="521" t="s">
        <v>895</v>
      </c>
      <c r="N45" s="521" t="s">
        <v>885</v>
      </c>
      <c r="O45" s="22" t="s">
        <v>47</v>
      </c>
      <c r="P45" s="426">
        <v>2020</v>
      </c>
      <c r="Q45" s="414">
        <f t="shared" ca="1" si="0"/>
        <v>0.4299246286110649</v>
      </c>
      <c r="R45" s="335">
        <f t="shared" ca="1" si="1"/>
        <v>0</v>
      </c>
      <c r="S45" s="335">
        <f t="shared" ca="1" si="2"/>
        <v>0</v>
      </c>
      <c r="T45" s="429" t="s">
        <v>48</v>
      </c>
      <c r="U45" s="22" t="s">
        <v>49</v>
      </c>
      <c r="V45" s="24"/>
      <c r="W45" s="21"/>
      <c r="Y45" s="490"/>
    </row>
    <row r="46" spans="1:25" ht="45" hidden="1">
      <c r="A46" s="31">
        <v>43</v>
      </c>
      <c r="B46" s="22" t="s">
        <v>39</v>
      </c>
      <c r="C46" s="22" t="s">
        <v>50</v>
      </c>
      <c r="D46" s="22" t="s">
        <v>100</v>
      </c>
      <c r="E46" s="23" t="s">
        <v>51</v>
      </c>
      <c r="F46" s="22" t="s">
        <v>52</v>
      </c>
      <c r="G46" s="22" t="s">
        <v>53</v>
      </c>
      <c r="H46" s="22" t="s">
        <v>30</v>
      </c>
      <c r="I46" s="22" t="s">
        <v>101</v>
      </c>
      <c r="J46" s="22" t="s">
        <v>52</v>
      </c>
      <c r="K46" s="519" t="s">
        <v>896</v>
      </c>
      <c r="L46" s="521" t="s">
        <v>897</v>
      </c>
      <c r="M46" s="521" t="s">
        <v>898</v>
      </c>
      <c r="N46" s="521" t="s">
        <v>815</v>
      </c>
      <c r="O46" s="22" t="s">
        <v>102</v>
      </c>
      <c r="P46" s="426">
        <v>2020</v>
      </c>
      <c r="Q46" s="414">
        <f t="shared" ca="1" si="0"/>
        <v>5310.0314466642203</v>
      </c>
      <c r="R46" s="335" t="str">
        <f t="shared" ca="1" si="1"/>
        <v>N/A</v>
      </c>
      <c r="S46" s="335" t="str">
        <f t="shared" ca="1" si="2"/>
        <v>N/A</v>
      </c>
      <c r="T46" s="429" t="s">
        <v>899</v>
      </c>
      <c r="U46" s="22"/>
      <c r="V46" s="24"/>
      <c r="W46" s="21"/>
      <c r="Y46" s="490"/>
    </row>
    <row r="47" spans="1:25" ht="45" hidden="1">
      <c r="A47" s="31">
        <v>44</v>
      </c>
      <c r="B47" s="22" t="s">
        <v>39</v>
      </c>
      <c r="C47" s="22" t="s">
        <v>50</v>
      </c>
      <c r="D47" s="22" t="s">
        <v>100</v>
      </c>
      <c r="E47" s="23" t="s">
        <v>51</v>
      </c>
      <c r="F47" s="22" t="s">
        <v>55</v>
      </c>
      <c r="G47" s="22" t="s">
        <v>53</v>
      </c>
      <c r="H47" s="22" t="s">
        <v>30</v>
      </c>
      <c r="I47" s="22" t="s">
        <v>101</v>
      </c>
      <c r="J47" s="22" t="s">
        <v>55</v>
      </c>
      <c r="K47" s="519" t="s">
        <v>896</v>
      </c>
      <c r="L47" s="521" t="s">
        <v>900</v>
      </c>
      <c r="M47" s="521" t="s">
        <v>901</v>
      </c>
      <c r="N47" s="521" t="s">
        <v>815</v>
      </c>
      <c r="O47" s="22" t="s">
        <v>102</v>
      </c>
      <c r="P47" s="426">
        <v>2020</v>
      </c>
      <c r="Q47" s="414">
        <f t="shared" ca="1" si="0"/>
        <v>5518.9322076968392</v>
      </c>
      <c r="R47" s="335" t="str">
        <f t="shared" ca="1" si="1"/>
        <v>N/A</v>
      </c>
      <c r="S47" s="335" t="str">
        <f t="shared" ca="1" si="2"/>
        <v>N/A</v>
      </c>
      <c r="T47" s="429" t="s">
        <v>899</v>
      </c>
      <c r="U47" s="22"/>
      <c r="V47" s="24"/>
      <c r="W47" s="21"/>
      <c r="Y47" s="490"/>
    </row>
    <row r="48" spans="1:25" ht="45" hidden="1">
      <c r="A48" s="31">
        <v>45</v>
      </c>
      <c r="B48" s="22" t="s">
        <v>39</v>
      </c>
      <c r="C48" s="22" t="s">
        <v>50</v>
      </c>
      <c r="D48" s="22" t="s">
        <v>100</v>
      </c>
      <c r="E48" s="23" t="s">
        <v>51</v>
      </c>
      <c r="F48" s="22" t="s">
        <v>56</v>
      </c>
      <c r="G48" s="22" t="s">
        <v>53</v>
      </c>
      <c r="H48" s="22" t="s">
        <v>30</v>
      </c>
      <c r="I48" s="22" t="s">
        <v>101</v>
      </c>
      <c r="J48" s="22" t="s">
        <v>56</v>
      </c>
      <c r="K48" s="519" t="s">
        <v>896</v>
      </c>
      <c r="L48" s="521" t="s">
        <v>902</v>
      </c>
      <c r="M48" s="521" t="s">
        <v>903</v>
      </c>
      <c r="N48" s="521" t="s">
        <v>815</v>
      </c>
      <c r="O48" s="22" t="s">
        <v>102</v>
      </c>
      <c r="P48" s="426">
        <v>2020</v>
      </c>
      <c r="Q48" s="414">
        <f t="shared" ca="1" si="0"/>
        <v>33263728.448498197</v>
      </c>
      <c r="R48" s="335" t="str">
        <f t="shared" ca="1" si="1"/>
        <v>N/A</v>
      </c>
      <c r="S48" s="335" t="str">
        <f t="shared" ca="1" si="2"/>
        <v>N/A</v>
      </c>
      <c r="T48" s="429" t="s">
        <v>899</v>
      </c>
      <c r="U48" s="22"/>
      <c r="V48" s="24"/>
      <c r="W48" s="21"/>
      <c r="Y48" s="490"/>
    </row>
    <row r="49" spans="1:25" ht="45" hidden="1">
      <c r="A49" s="31">
        <v>46</v>
      </c>
      <c r="B49" s="22" t="s">
        <v>39</v>
      </c>
      <c r="C49" s="22" t="s">
        <v>50</v>
      </c>
      <c r="D49" s="22" t="s">
        <v>100</v>
      </c>
      <c r="E49" s="23" t="s">
        <v>51</v>
      </c>
      <c r="F49" s="22" t="s">
        <v>57</v>
      </c>
      <c r="G49" s="22" t="s">
        <v>53</v>
      </c>
      <c r="H49" s="22" t="s">
        <v>30</v>
      </c>
      <c r="I49" s="22" t="s">
        <v>101</v>
      </c>
      <c r="J49" s="22" t="s">
        <v>57</v>
      </c>
      <c r="K49" s="519" t="s">
        <v>896</v>
      </c>
      <c r="L49" s="521" t="s">
        <v>904</v>
      </c>
      <c r="M49" s="521" t="s">
        <v>905</v>
      </c>
      <c r="N49" s="521" t="s">
        <v>815</v>
      </c>
      <c r="O49" s="22" t="s">
        <v>102</v>
      </c>
      <c r="P49" s="426">
        <v>2020</v>
      </c>
      <c r="Q49" s="414">
        <f t="shared" ca="1" si="0"/>
        <v>33868101.648062274</v>
      </c>
      <c r="R49" s="335" t="str">
        <f t="shared" ca="1" si="1"/>
        <v>N/A</v>
      </c>
      <c r="S49" s="335" t="str">
        <f t="shared" ca="1" si="2"/>
        <v>N/A</v>
      </c>
      <c r="T49" s="429" t="s">
        <v>899</v>
      </c>
      <c r="U49" s="22"/>
      <c r="V49" s="24"/>
      <c r="W49" s="21"/>
      <c r="Y49" s="490"/>
    </row>
    <row r="50" spans="1:25" ht="45" hidden="1">
      <c r="A50" s="31">
        <v>47</v>
      </c>
      <c r="B50" s="22" t="s">
        <v>39</v>
      </c>
      <c r="C50" s="22" t="s">
        <v>50</v>
      </c>
      <c r="D50" s="22" t="s">
        <v>100</v>
      </c>
      <c r="E50" s="23" t="s">
        <v>51</v>
      </c>
      <c r="F50" s="22" t="s">
        <v>58</v>
      </c>
      <c r="G50" s="22" t="s">
        <v>53</v>
      </c>
      <c r="H50" s="22" t="s">
        <v>30</v>
      </c>
      <c r="I50" s="22" t="s">
        <v>101</v>
      </c>
      <c r="J50" s="22" t="s">
        <v>58</v>
      </c>
      <c r="K50" s="519" t="s">
        <v>896</v>
      </c>
      <c r="L50" s="521" t="s">
        <v>906</v>
      </c>
      <c r="M50" s="521" t="s">
        <v>907</v>
      </c>
      <c r="N50" s="521" t="s">
        <v>815</v>
      </c>
      <c r="O50" s="22" t="s">
        <v>102</v>
      </c>
      <c r="P50" s="426">
        <v>2020</v>
      </c>
      <c r="Q50" s="414">
        <f t="shared" ca="1" si="0"/>
        <v>836574.30775762093</v>
      </c>
      <c r="R50" s="335" t="str">
        <f t="shared" ca="1" si="1"/>
        <v>N/A</v>
      </c>
      <c r="S50" s="335" t="str">
        <f t="shared" ca="1" si="2"/>
        <v>N/A</v>
      </c>
      <c r="T50" s="429" t="s">
        <v>899</v>
      </c>
      <c r="U50" s="22" t="s">
        <v>49</v>
      </c>
      <c r="V50" s="24"/>
      <c r="W50" s="21"/>
      <c r="Y50" s="490"/>
    </row>
    <row r="51" spans="1:25" ht="45" hidden="1">
      <c r="A51" s="31">
        <v>48</v>
      </c>
      <c r="B51" s="22" t="s">
        <v>39</v>
      </c>
      <c r="C51" s="22" t="s">
        <v>50</v>
      </c>
      <c r="D51" s="22" t="s">
        <v>100</v>
      </c>
      <c r="E51" s="23" t="s">
        <v>51</v>
      </c>
      <c r="F51" s="22" t="s">
        <v>60</v>
      </c>
      <c r="G51" s="22" t="s">
        <v>53</v>
      </c>
      <c r="H51" s="22" t="s">
        <v>30</v>
      </c>
      <c r="I51" s="22" t="s">
        <v>101</v>
      </c>
      <c r="J51" s="22" t="s">
        <v>60</v>
      </c>
      <c r="K51" s="519" t="s">
        <v>896</v>
      </c>
      <c r="L51" s="521" t="s">
        <v>908</v>
      </c>
      <c r="M51" s="521" t="s">
        <v>909</v>
      </c>
      <c r="N51" s="521" t="s">
        <v>815</v>
      </c>
      <c r="O51" s="22" t="s">
        <v>102</v>
      </c>
      <c r="P51" s="426">
        <v>2020</v>
      </c>
      <c r="Q51" s="414">
        <f t="shared" ca="1" si="0"/>
        <v>845800.47900917358</v>
      </c>
      <c r="R51" s="335" t="str">
        <f t="shared" ca="1" si="1"/>
        <v>N/A</v>
      </c>
      <c r="S51" s="335" t="str">
        <f t="shared" ca="1" si="2"/>
        <v>N/A</v>
      </c>
      <c r="T51" s="429" t="s">
        <v>899</v>
      </c>
      <c r="U51" s="22" t="s">
        <v>49</v>
      </c>
      <c r="V51" s="24"/>
      <c r="W51" s="21"/>
      <c r="Y51" s="490"/>
    </row>
    <row r="52" spans="1:25" ht="45" hidden="1">
      <c r="A52" s="31">
        <v>49</v>
      </c>
      <c r="B52" s="22" t="s">
        <v>39</v>
      </c>
      <c r="C52" s="22" t="s">
        <v>50</v>
      </c>
      <c r="D52" s="22" t="s">
        <v>100</v>
      </c>
      <c r="E52" s="23" t="s">
        <v>51</v>
      </c>
      <c r="F52" s="22" t="s">
        <v>61</v>
      </c>
      <c r="G52" s="22" t="s">
        <v>53</v>
      </c>
      <c r="H52" s="22" t="s">
        <v>30</v>
      </c>
      <c r="I52" s="22" t="s">
        <v>101</v>
      </c>
      <c r="J52" s="22" t="s">
        <v>61</v>
      </c>
      <c r="K52" s="519" t="s">
        <v>896</v>
      </c>
      <c r="L52" s="521" t="s">
        <v>910</v>
      </c>
      <c r="M52" s="521" t="s">
        <v>911</v>
      </c>
      <c r="N52" s="521" t="s">
        <v>815</v>
      </c>
      <c r="O52" s="22" t="s">
        <v>102</v>
      </c>
      <c r="P52" s="426">
        <v>2020</v>
      </c>
      <c r="Q52" s="414">
        <f t="shared" ca="1" si="0"/>
        <v>6442.0477026642202</v>
      </c>
      <c r="R52" s="335" t="str">
        <f t="shared" ca="1" si="1"/>
        <v>N/A</v>
      </c>
      <c r="S52" s="335" t="str">
        <f t="shared" ca="1" si="2"/>
        <v>N/A</v>
      </c>
      <c r="T52" s="429" t="s">
        <v>899</v>
      </c>
      <c r="U52" s="22"/>
      <c r="V52" s="24"/>
      <c r="W52" s="21"/>
      <c r="Y52" s="490"/>
    </row>
    <row r="53" spans="1:25" ht="45" hidden="1">
      <c r="A53" s="31">
        <v>50</v>
      </c>
      <c r="B53" s="22" t="s">
        <v>39</v>
      </c>
      <c r="C53" s="22" t="s">
        <v>50</v>
      </c>
      <c r="D53" s="22" t="s">
        <v>100</v>
      </c>
      <c r="E53" s="23" t="s">
        <v>51</v>
      </c>
      <c r="F53" s="22" t="s">
        <v>62</v>
      </c>
      <c r="G53" s="22" t="s">
        <v>53</v>
      </c>
      <c r="H53" s="22" t="s">
        <v>30</v>
      </c>
      <c r="I53" s="22" t="s">
        <v>101</v>
      </c>
      <c r="J53" s="22" t="s">
        <v>62</v>
      </c>
      <c r="K53" s="519" t="s">
        <v>896</v>
      </c>
      <c r="L53" s="521" t="s">
        <v>912</v>
      </c>
      <c r="M53" s="521" t="s">
        <v>913</v>
      </c>
      <c r="N53" s="521" t="s">
        <v>815</v>
      </c>
      <c r="O53" s="22" t="s">
        <v>102</v>
      </c>
      <c r="P53" s="426">
        <v>2020</v>
      </c>
      <c r="Q53" s="414">
        <f t="shared" ca="1" si="0"/>
        <v>6198.1419747915243</v>
      </c>
      <c r="R53" s="335" t="str">
        <f t="shared" ca="1" si="1"/>
        <v>N/A</v>
      </c>
      <c r="S53" s="335" t="str">
        <f t="shared" ca="1" si="2"/>
        <v>N/A</v>
      </c>
      <c r="T53" s="429" t="s">
        <v>899</v>
      </c>
      <c r="U53" s="22"/>
      <c r="V53" s="24"/>
      <c r="W53" s="21"/>
      <c r="Y53" s="490"/>
    </row>
    <row r="54" spans="1:25" ht="45" hidden="1">
      <c r="A54" s="31">
        <v>51</v>
      </c>
      <c r="B54" s="22" t="s">
        <v>39</v>
      </c>
      <c r="C54" s="22" t="s">
        <v>50</v>
      </c>
      <c r="D54" s="22" t="s">
        <v>100</v>
      </c>
      <c r="E54" s="23" t="s">
        <v>51</v>
      </c>
      <c r="F54" s="22" t="s">
        <v>63</v>
      </c>
      <c r="G54" s="22" t="s">
        <v>53</v>
      </c>
      <c r="H54" s="22" t="s">
        <v>30</v>
      </c>
      <c r="I54" s="22" t="s">
        <v>101</v>
      </c>
      <c r="J54" s="22" t="s">
        <v>63</v>
      </c>
      <c r="K54" s="519" t="s">
        <v>896</v>
      </c>
      <c r="L54" s="521" t="s">
        <v>914</v>
      </c>
      <c r="M54" s="521" t="s">
        <v>915</v>
      </c>
      <c r="N54" s="521" t="s">
        <v>815</v>
      </c>
      <c r="O54" s="22" t="s">
        <v>102</v>
      </c>
      <c r="P54" s="426">
        <v>2020</v>
      </c>
      <c r="Q54" s="414">
        <f t="shared" ca="1" si="0"/>
        <v>53946269.870446295</v>
      </c>
      <c r="R54" s="335" t="str">
        <f t="shared" ca="1" si="1"/>
        <v>N/A</v>
      </c>
      <c r="S54" s="335" t="str">
        <f t="shared" ca="1" si="2"/>
        <v>N/A</v>
      </c>
      <c r="T54" s="429" t="s">
        <v>899</v>
      </c>
      <c r="U54" s="22"/>
      <c r="V54" s="24"/>
      <c r="W54" s="21"/>
      <c r="Y54" s="490"/>
    </row>
    <row r="55" spans="1:25" ht="45" hidden="1">
      <c r="A55" s="31">
        <v>52</v>
      </c>
      <c r="B55" s="22" t="s">
        <v>39</v>
      </c>
      <c r="C55" s="22" t="s">
        <v>50</v>
      </c>
      <c r="D55" s="22" t="s">
        <v>100</v>
      </c>
      <c r="E55" s="23" t="s">
        <v>51</v>
      </c>
      <c r="F55" s="22" t="s">
        <v>64</v>
      </c>
      <c r="G55" s="22" t="s">
        <v>53</v>
      </c>
      <c r="H55" s="22" t="s">
        <v>30</v>
      </c>
      <c r="I55" s="22" t="s">
        <v>101</v>
      </c>
      <c r="J55" s="22" t="s">
        <v>64</v>
      </c>
      <c r="K55" s="519" t="s">
        <v>896</v>
      </c>
      <c r="L55" s="521" t="s">
        <v>916</v>
      </c>
      <c r="M55" s="521" t="s">
        <v>917</v>
      </c>
      <c r="N55" s="521" t="s">
        <v>815</v>
      </c>
      <c r="O55" s="22" t="s">
        <v>102</v>
      </c>
      <c r="P55" s="426">
        <v>2020</v>
      </c>
      <c r="Q55" s="414">
        <f t="shared" ca="1" si="0"/>
        <v>46277626.747786298</v>
      </c>
      <c r="R55" s="335" t="str">
        <f t="shared" ca="1" si="1"/>
        <v>N/A</v>
      </c>
      <c r="S55" s="335" t="str">
        <f t="shared" ca="1" si="2"/>
        <v>N/A</v>
      </c>
      <c r="T55" s="429" t="s">
        <v>899</v>
      </c>
      <c r="U55" s="22"/>
      <c r="V55" s="24"/>
      <c r="W55" s="21"/>
      <c r="Y55" s="490"/>
    </row>
    <row r="56" spans="1:25" ht="45" hidden="1">
      <c r="A56" s="31">
        <v>53</v>
      </c>
      <c r="B56" s="22" t="s">
        <v>39</v>
      </c>
      <c r="C56" s="22" t="s">
        <v>50</v>
      </c>
      <c r="D56" s="22" t="s">
        <v>100</v>
      </c>
      <c r="E56" s="23" t="s">
        <v>51</v>
      </c>
      <c r="F56" s="22" t="s">
        <v>65</v>
      </c>
      <c r="G56" s="22" t="s">
        <v>53</v>
      </c>
      <c r="H56" s="22" t="s">
        <v>30</v>
      </c>
      <c r="I56" s="22" t="s">
        <v>101</v>
      </c>
      <c r="J56" s="22" t="s">
        <v>65</v>
      </c>
      <c r="K56" s="519" t="s">
        <v>896</v>
      </c>
      <c r="L56" s="521" t="s">
        <v>918</v>
      </c>
      <c r="M56" s="521" t="s">
        <v>919</v>
      </c>
      <c r="N56" s="521" t="s">
        <v>815</v>
      </c>
      <c r="O56" s="22" t="s">
        <v>102</v>
      </c>
      <c r="P56" s="426">
        <v>2020</v>
      </c>
      <c r="Q56" s="414">
        <f t="shared" ca="1" si="0"/>
        <v>1486699.8226902529</v>
      </c>
      <c r="R56" s="335" t="str">
        <f t="shared" ca="1" si="1"/>
        <v>N/A</v>
      </c>
      <c r="S56" s="335" t="str">
        <f t="shared" ca="1" si="2"/>
        <v>N/A</v>
      </c>
      <c r="T56" s="429" t="s">
        <v>899</v>
      </c>
      <c r="U56" s="22" t="s">
        <v>49</v>
      </c>
      <c r="V56" s="24"/>
      <c r="W56" s="21"/>
      <c r="Y56" s="490"/>
    </row>
    <row r="57" spans="1:25" ht="45" hidden="1">
      <c r="A57" s="31">
        <v>54</v>
      </c>
      <c r="B57" s="22" t="s">
        <v>39</v>
      </c>
      <c r="C57" s="22" t="s">
        <v>50</v>
      </c>
      <c r="D57" s="22" t="s">
        <v>100</v>
      </c>
      <c r="E57" s="23" t="s">
        <v>51</v>
      </c>
      <c r="F57" s="22" t="s">
        <v>66</v>
      </c>
      <c r="G57" s="22" t="s">
        <v>53</v>
      </c>
      <c r="H57" s="22" t="s">
        <v>30</v>
      </c>
      <c r="I57" s="22" t="s">
        <v>101</v>
      </c>
      <c r="J57" s="22" t="s">
        <v>66</v>
      </c>
      <c r="K57" s="519" t="s">
        <v>896</v>
      </c>
      <c r="L57" s="521" t="s">
        <v>920</v>
      </c>
      <c r="M57" s="521" t="s">
        <v>921</v>
      </c>
      <c r="N57" s="521" t="s">
        <v>815</v>
      </c>
      <c r="O57" s="22" t="s">
        <v>102</v>
      </c>
      <c r="P57" s="426">
        <v>2020</v>
      </c>
      <c r="Q57" s="414">
        <f t="shared" ca="1" si="0"/>
        <v>1235875.7957188531</v>
      </c>
      <c r="R57" s="335" t="str">
        <f t="shared" ca="1" si="1"/>
        <v>N/A</v>
      </c>
      <c r="S57" s="335" t="str">
        <f t="shared" ca="1" si="2"/>
        <v>N/A</v>
      </c>
      <c r="T57" s="429" t="s">
        <v>899</v>
      </c>
      <c r="U57" s="22" t="s">
        <v>49</v>
      </c>
      <c r="V57" s="24"/>
      <c r="W57" s="21"/>
      <c r="Y57" s="490"/>
    </row>
    <row r="58" spans="1:25" ht="30" hidden="1">
      <c r="A58" s="31">
        <v>55</v>
      </c>
      <c r="B58" s="22" t="s">
        <v>39</v>
      </c>
      <c r="C58" s="22" t="s">
        <v>40</v>
      </c>
      <c r="D58" s="22" t="s">
        <v>103</v>
      </c>
      <c r="E58" s="23" t="s">
        <v>42</v>
      </c>
      <c r="F58" s="22" t="s">
        <v>43</v>
      </c>
      <c r="G58" s="22" t="s">
        <v>44</v>
      </c>
      <c r="H58" s="22" t="s">
        <v>30</v>
      </c>
      <c r="I58" s="22" t="s">
        <v>104</v>
      </c>
      <c r="J58" s="19" t="s">
        <v>46</v>
      </c>
      <c r="K58" s="519" t="s">
        <v>896</v>
      </c>
      <c r="L58" s="521" t="s">
        <v>922</v>
      </c>
      <c r="M58" s="521" t="s">
        <v>923</v>
      </c>
      <c r="N58" s="521" t="s">
        <v>815</v>
      </c>
      <c r="O58" s="22" t="s">
        <v>102</v>
      </c>
      <c r="P58" s="426">
        <v>2020</v>
      </c>
      <c r="Q58" s="414">
        <f t="shared" ca="1" si="0"/>
        <v>28427.490403928648</v>
      </c>
      <c r="R58" s="335" t="str">
        <f t="shared" ca="1" si="1"/>
        <v>N/A</v>
      </c>
      <c r="S58" s="335" t="str">
        <f t="shared" ca="1" si="2"/>
        <v>N/A</v>
      </c>
      <c r="T58" s="429" t="s">
        <v>48</v>
      </c>
      <c r="U58" s="22" t="s">
        <v>105</v>
      </c>
      <c r="V58" s="24"/>
      <c r="W58" s="21"/>
      <c r="Y58" s="490"/>
    </row>
    <row r="59" spans="1:25" ht="60">
      <c r="A59" s="31">
        <v>56</v>
      </c>
      <c r="B59" s="22" t="s">
        <v>39</v>
      </c>
      <c r="C59" s="22" t="s">
        <v>40</v>
      </c>
      <c r="D59" s="22" t="s">
        <v>106</v>
      </c>
      <c r="E59" s="23" t="s">
        <v>107</v>
      </c>
      <c r="F59" s="22" t="s">
        <v>108</v>
      </c>
      <c r="G59" s="22" t="s">
        <v>109</v>
      </c>
      <c r="H59" s="22" t="s">
        <v>30</v>
      </c>
      <c r="I59" s="22" t="s">
        <v>110</v>
      </c>
      <c r="J59" s="101" t="s">
        <v>111</v>
      </c>
      <c r="K59" s="519" t="s">
        <v>896</v>
      </c>
      <c r="L59" s="521" t="s">
        <v>924</v>
      </c>
      <c r="M59" s="521" t="s">
        <v>925</v>
      </c>
      <c r="N59" s="521" t="s">
        <v>885</v>
      </c>
      <c r="O59" s="22" t="s">
        <v>102</v>
      </c>
      <c r="P59" s="426">
        <v>2020</v>
      </c>
      <c r="Q59" s="414">
        <f t="shared" ca="1" si="0"/>
        <v>0.96906534940455347</v>
      </c>
      <c r="R59" s="335">
        <f t="shared" ca="1" si="1"/>
        <v>0</v>
      </c>
      <c r="S59" s="335">
        <f t="shared" ca="1" si="2"/>
        <v>0</v>
      </c>
      <c r="T59" s="429"/>
      <c r="U59" s="22"/>
      <c r="V59" s="24"/>
      <c r="W59" s="21"/>
      <c r="Y59" s="490"/>
    </row>
    <row r="60" spans="1:25" ht="60">
      <c r="A60" s="31">
        <v>57</v>
      </c>
      <c r="B60" s="22" t="s">
        <v>39</v>
      </c>
      <c r="C60" s="22" t="s">
        <v>40</v>
      </c>
      <c r="D60" s="22" t="s">
        <v>106</v>
      </c>
      <c r="E60" s="23" t="s">
        <v>107</v>
      </c>
      <c r="F60" s="22" t="s">
        <v>112</v>
      </c>
      <c r="G60" s="22" t="s">
        <v>109</v>
      </c>
      <c r="H60" s="22" t="s">
        <v>30</v>
      </c>
      <c r="I60" s="22" t="s">
        <v>110</v>
      </c>
      <c r="J60" s="101" t="s">
        <v>113</v>
      </c>
      <c r="K60" s="519" t="s">
        <v>896</v>
      </c>
      <c r="L60" s="521" t="s">
        <v>926</v>
      </c>
      <c r="M60" s="521" t="s">
        <v>927</v>
      </c>
      <c r="N60" s="521" t="s">
        <v>885</v>
      </c>
      <c r="O60" s="22" t="s">
        <v>102</v>
      </c>
      <c r="P60" s="426">
        <v>2020</v>
      </c>
      <c r="Q60" s="414">
        <f t="shared" ca="1" si="0"/>
        <v>7235.4013051573329</v>
      </c>
      <c r="R60" s="335">
        <f t="shared" ca="1" si="1"/>
        <v>0</v>
      </c>
      <c r="S60" s="335">
        <f t="shared" ca="1" si="2"/>
        <v>0</v>
      </c>
      <c r="T60" s="429"/>
      <c r="U60" s="22"/>
      <c r="V60" s="24"/>
      <c r="W60" s="21"/>
      <c r="Y60" s="490"/>
    </row>
    <row r="61" spans="1:25" ht="60">
      <c r="A61" s="31">
        <v>58</v>
      </c>
      <c r="B61" s="22" t="s">
        <v>39</v>
      </c>
      <c r="C61" s="22" t="s">
        <v>40</v>
      </c>
      <c r="D61" s="22" t="s">
        <v>106</v>
      </c>
      <c r="E61" s="23" t="s">
        <v>107</v>
      </c>
      <c r="F61" s="22" t="s">
        <v>114</v>
      </c>
      <c r="G61" s="22" t="s">
        <v>109</v>
      </c>
      <c r="H61" s="22" t="s">
        <v>30</v>
      </c>
      <c r="I61" s="22" t="s">
        <v>110</v>
      </c>
      <c r="J61" s="101" t="s">
        <v>115</v>
      </c>
      <c r="K61" s="519" t="s">
        <v>896</v>
      </c>
      <c r="L61" s="521" t="s">
        <v>928</v>
      </c>
      <c r="M61" s="521" t="s">
        <v>929</v>
      </c>
      <c r="N61" s="521" t="s">
        <v>885</v>
      </c>
      <c r="O61" s="22" t="s">
        <v>102</v>
      </c>
      <c r="P61" s="426">
        <v>2020</v>
      </c>
      <c r="Q61" s="414">
        <f t="shared" ca="1" si="0"/>
        <v>193.22635955579318</v>
      </c>
      <c r="R61" s="335">
        <f t="shared" ca="1" si="1"/>
        <v>0</v>
      </c>
      <c r="S61" s="335">
        <f t="shared" ca="1" si="2"/>
        <v>0</v>
      </c>
      <c r="T61" s="429" t="s">
        <v>116</v>
      </c>
      <c r="U61" s="22" t="s">
        <v>117</v>
      </c>
      <c r="V61" s="24"/>
      <c r="W61" s="21"/>
      <c r="Y61" s="490"/>
    </row>
    <row r="62" spans="1:25" ht="45">
      <c r="A62" s="31">
        <v>59</v>
      </c>
      <c r="B62" s="22" t="s">
        <v>39</v>
      </c>
      <c r="C62" s="22" t="s">
        <v>40</v>
      </c>
      <c r="D62" s="22" t="s">
        <v>106</v>
      </c>
      <c r="E62" s="23" t="s">
        <v>118</v>
      </c>
      <c r="F62" s="22" t="s">
        <v>108</v>
      </c>
      <c r="G62" s="22" t="s">
        <v>119</v>
      </c>
      <c r="H62" s="22" t="s">
        <v>30</v>
      </c>
      <c r="I62" s="22" t="s">
        <v>120</v>
      </c>
      <c r="J62" s="101" t="s">
        <v>121</v>
      </c>
      <c r="K62" s="519" t="s">
        <v>896</v>
      </c>
      <c r="L62" s="521" t="s">
        <v>930</v>
      </c>
      <c r="M62" s="521" t="s">
        <v>931</v>
      </c>
      <c r="N62" s="521" t="s">
        <v>885</v>
      </c>
      <c r="O62" s="22" t="s">
        <v>102</v>
      </c>
      <c r="P62" s="426">
        <v>2020</v>
      </c>
      <c r="Q62" s="414">
        <f t="shared" ca="1" si="0"/>
        <v>0.11933547106168485</v>
      </c>
      <c r="R62" s="335">
        <f t="shared" ca="1" si="1"/>
        <v>0</v>
      </c>
      <c r="S62" s="335">
        <f t="shared" ca="1" si="2"/>
        <v>0</v>
      </c>
      <c r="T62" s="429"/>
      <c r="U62" s="22"/>
      <c r="V62" s="24"/>
      <c r="W62" s="21"/>
      <c r="Y62" s="490"/>
    </row>
    <row r="63" spans="1:25" ht="45">
      <c r="A63" s="31">
        <v>60</v>
      </c>
      <c r="B63" s="22" t="s">
        <v>39</v>
      </c>
      <c r="C63" s="22" t="s">
        <v>40</v>
      </c>
      <c r="D63" s="22" t="s">
        <v>106</v>
      </c>
      <c r="E63" s="23" t="s">
        <v>118</v>
      </c>
      <c r="F63" s="22" t="s">
        <v>112</v>
      </c>
      <c r="G63" s="22" t="s">
        <v>119</v>
      </c>
      <c r="H63" s="22" t="s">
        <v>30</v>
      </c>
      <c r="I63" s="22" t="s">
        <v>120</v>
      </c>
      <c r="J63" s="101" t="s">
        <v>122</v>
      </c>
      <c r="K63" s="519" t="s">
        <v>896</v>
      </c>
      <c r="L63" s="521" t="s">
        <v>932</v>
      </c>
      <c r="M63" s="521" t="s">
        <v>933</v>
      </c>
      <c r="N63" s="521" t="s">
        <v>885</v>
      </c>
      <c r="O63" s="22" t="s">
        <v>102</v>
      </c>
      <c r="P63" s="426">
        <v>2020</v>
      </c>
      <c r="Q63" s="414">
        <f t="shared" ca="1" si="0"/>
        <v>2185.5275346277672</v>
      </c>
      <c r="R63" s="335">
        <f t="shared" ca="1" si="1"/>
        <v>0</v>
      </c>
      <c r="S63" s="335">
        <f t="shared" ca="1" si="2"/>
        <v>0</v>
      </c>
      <c r="T63" s="429"/>
      <c r="U63" s="22"/>
      <c r="V63" s="24"/>
      <c r="W63" s="21"/>
      <c r="Y63" s="490"/>
    </row>
    <row r="64" spans="1:25" ht="60">
      <c r="A64" s="31">
        <v>61</v>
      </c>
      <c r="B64" s="22" t="s">
        <v>39</v>
      </c>
      <c r="C64" s="22" t="s">
        <v>40</v>
      </c>
      <c r="D64" s="22" t="s">
        <v>106</v>
      </c>
      <c r="E64" s="23" t="s">
        <v>118</v>
      </c>
      <c r="F64" s="22" t="s">
        <v>114</v>
      </c>
      <c r="G64" s="22" t="s">
        <v>119</v>
      </c>
      <c r="H64" s="22" t="s">
        <v>30</v>
      </c>
      <c r="I64" s="22" t="s">
        <v>120</v>
      </c>
      <c r="J64" s="101" t="s">
        <v>123</v>
      </c>
      <c r="K64" s="519" t="s">
        <v>896</v>
      </c>
      <c r="L64" s="521" t="s">
        <v>934</v>
      </c>
      <c r="M64" s="521" t="s">
        <v>935</v>
      </c>
      <c r="N64" s="521" t="s">
        <v>885</v>
      </c>
      <c r="O64" s="22" t="s">
        <v>102</v>
      </c>
      <c r="P64" s="426">
        <v>2020</v>
      </c>
      <c r="Q64" s="414">
        <f t="shared" ca="1" si="0"/>
        <v>68.555562551130933</v>
      </c>
      <c r="R64" s="335">
        <f t="shared" ca="1" si="1"/>
        <v>0</v>
      </c>
      <c r="S64" s="335">
        <f t="shared" ca="1" si="2"/>
        <v>0</v>
      </c>
      <c r="T64" s="429" t="s">
        <v>124</v>
      </c>
      <c r="U64" s="22" t="s">
        <v>117</v>
      </c>
      <c r="V64" s="24"/>
      <c r="W64" s="21"/>
      <c r="Y64" s="490"/>
    </row>
    <row r="65" spans="1:25" ht="45" hidden="1">
      <c r="A65" s="31">
        <v>62</v>
      </c>
      <c r="B65" s="22" t="s">
        <v>39</v>
      </c>
      <c r="C65" s="22" t="s">
        <v>40</v>
      </c>
      <c r="D65" s="22" t="s">
        <v>106</v>
      </c>
      <c r="E65" s="23" t="s">
        <v>125</v>
      </c>
      <c r="F65" s="22" t="s">
        <v>108</v>
      </c>
      <c r="G65" s="22" t="s">
        <v>126</v>
      </c>
      <c r="H65" s="22" t="s">
        <v>30</v>
      </c>
      <c r="I65" s="22" t="s">
        <v>127</v>
      </c>
      <c r="J65" s="101" t="s">
        <v>128</v>
      </c>
      <c r="K65" s="519" t="s">
        <v>896</v>
      </c>
      <c r="L65" s="521" t="s">
        <v>936</v>
      </c>
      <c r="M65" s="521" t="s">
        <v>937</v>
      </c>
      <c r="N65" s="521" t="s">
        <v>815</v>
      </c>
      <c r="O65" s="22" t="s">
        <v>102</v>
      </c>
      <c r="P65" s="426">
        <v>2020</v>
      </c>
      <c r="Q65" s="414">
        <f t="shared" ca="1" si="0"/>
        <v>0</v>
      </c>
      <c r="R65" s="335" t="str">
        <f t="shared" ca="1" si="1"/>
        <v>N/A</v>
      </c>
      <c r="S65" s="335" t="str">
        <f t="shared" ca="1" si="2"/>
        <v>N/A</v>
      </c>
      <c r="T65" s="429"/>
      <c r="U65" s="22"/>
      <c r="V65" s="24"/>
      <c r="W65" s="21"/>
      <c r="Y65" s="490"/>
    </row>
    <row r="66" spans="1:25" ht="45" hidden="1">
      <c r="A66" s="31">
        <v>63</v>
      </c>
      <c r="B66" s="22" t="s">
        <v>39</v>
      </c>
      <c r="C66" s="22" t="s">
        <v>40</v>
      </c>
      <c r="D66" s="22" t="s">
        <v>106</v>
      </c>
      <c r="E66" s="23" t="s">
        <v>125</v>
      </c>
      <c r="F66" s="22" t="s">
        <v>112</v>
      </c>
      <c r="G66" s="22" t="s">
        <v>126</v>
      </c>
      <c r="H66" s="22" t="s">
        <v>30</v>
      </c>
      <c r="I66" s="22" t="s">
        <v>127</v>
      </c>
      <c r="J66" s="101" t="s">
        <v>129</v>
      </c>
      <c r="K66" s="519" t="s">
        <v>896</v>
      </c>
      <c r="L66" s="521" t="s">
        <v>938</v>
      </c>
      <c r="M66" s="521" t="s">
        <v>939</v>
      </c>
      <c r="N66" s="521" t="s">
        <v>815</v>
      </c>
      <c r="O66" s="22" t="s">
        <v>102</v>
      </c>
      <c r="P66" s="426">
        <v>2020</v>
      </c>
      <c r="Q66" s="414">
        <f t="shared" ca="1" si="0"/>
        <v>0</v>
      </c>
      <c r="R66" s="335" t="str">
        <f t="shared" ca="1" si="1"/>
        <v>N/A</v>
      </c>
      <c r="S66" s="335" t="str">
        <f t="shared" ca="1" si="2"/>
        <v>N/A</v>
      </c>
      <c r="T66" s="429"/>
      <c r="U66" s="22"/>
      <c r="V66" s="24"/>
      <c r="W66" s="21"/>
      <c r="Y66" s="490"/>
    </row>
    <row r="67" spans="1:25" ht="45" hidden="1">
      <c r="A67" s="31">
        <v>64</v>
      </c>
      <c r="B67" s="22" t="s">
        <v>39</v>
      </c>
      <c r="C67" s="22" t="s">
        <v>40</v>
      </c>
      <c r="D67" s="22" t="s">
        <v>106</v>
      </c>
      <c r="E67" s="23" t="s">
        <v>125</v>
      </c>
      <c r="F67" s="22" t="s">
        <v>114</v>
      </c>
      <c r="G67" s="22" t="s">
        <v>126</v>
      </c>
      <c r="H67" s="22" t="s">
        <v>30</v>
      </c>
      <c r="I67" s="22" t="s">
        <v>127</v>
      </c>
      <c r="J67" s="101" t="s">
        <v>130</v>
      </c>
      <c r="K67" s="519" t="s">
        <v>896</v>
      </c>
      <c r="L67" s="521" t="s">
        <v>940</v>
      </c>
      <c r="M67" s="521" t="s">
        <v>941</v>
      </c>
      <c r="N67" s="521" t="s">
        <v>815</v>
      </c>
      <c r="O67" s="22" t="s">
        <v>102</v>
      </c>
      <c r="P67" s="426">
        <v>2020</v>
      </c>
      <c r="Q67" s="414">
        <f t="shared" ref="Q67:Q130" ca="1" si="3">SUMIF(INDIRECT("'"&amp;K67&amp;"'!c:c"),A67,INDIRECT("'"&amp;K67&amp;"'!h:h"))</f>
        <v>0</v>
      </c>
      <c r="R67" s="335" t="str">
        <f t="shared" ref="R67:R130" ca="1" si="4">IF($N67 = "N","N/A",SUMIF(INDIRECT("'"&amp;K67&amp;"'!i:i"),L67,INDIRECT("'"&amp;K67&amp;"'!o:o")))</f>
        <v>N/A</v>
      </c>
      <c r="S67" s="335" t="str">
        <f t="shared" ref="S67:S130" ca="1" si="5">IF($N67 = "N","N/A",SUMIF(INDIRECT("'"&amp;K67&amp;"'!i:i"),M67,INDIRECT("'"&amp;K67&amp;"'!o:o")))</f>
        <v>N/A</v>
      </c>
      <c r="T67" s="429" t="s">
        <v>131</v>
      </c>
      <c r="U67" s="22" t="s">
        <v>132</v>
      </c>
      <c r="V67" s="24"/>
      <c r="W67" s="21"/>
      <c r="Y67" s="490"/>
    </row>
    <row r="68" spans="1:25" ht="45">
      <c r="A68" s="31">
        <v>65</v>
      </c>
      <c r="B68" s="22" t="s">
        <v>39</v>
      </c>
      <c r="C68" s="22" t="s">
        <v>40</v>
      </c>
      <c r="D68" s="22" t="s">
        <v>106</v>
      </c>
      <c r="E68" s="23" t="s">
        <v>133</v>
      </c>
      <c r="F68" s="22" t="s">
        <v>108</v>
      </c>
      <c r="G68" s="22" t="s">
        <v>134</v>
      </c>
      <c r="H68" s="22" t="s">
        <v>30</v>
      </c>
      <c r="I68" s="22" t="s">
        <v>135</v>
      </c>
      <c r="J68" s="101" t="s">
        <v>136</v>
      </c>
      <c r="K68" s="519" t="s">
        <v>896</v>
      </c>
      <c r="L68" s="521" t="s">
        <v>942</v>
      </c>
      <c r="M68" s="521" t="s">
        <v>943</v>
      </c>
      <c r="N68" s="521" t="s">
        <v>885</v>
      </c>
      <c r="O68" s="22" t="s">
        <v>102</v>
      </c>
      <c r="P68" s="426">
        <v>2020</v>
      </c>
      <c r="Q68" s="414">
        <f t="shared" ca="1" si="3"/>
        <v>0.11933547106168485</v>
      </c>
      <c r="R68" s="335">
        <f t="shared" ca="1" si="4"/>
        <v>0</v>
      </c>
      <c r="S68" s="335">
        <f t="shared" ca="1" si="5"/>
        <v>0</v>
      </c>
      <c r="T68" s="429"/>
      <c r="U68" s="22"/>
      <c r="V68" s="24"/>
      <c r="W68" s="21"/>
      <c r="Y68" s="490"/>
    </row>
    <row r="69" spans="1:25" ht="45">
      <c r="A69" s="31">
        <v>66</v>
      </c>
      <c r="B69" s="22" t="s">
        <v>39</v>
      </c>
      <c r="C69" s="22" t="s">
        <v>40</v>
      </c>
      <c r="D69" s="22" t="s">
        <v>106</v>
      </c>
      <c r="E69" s="23" t="s">
        <v>133</v>
      </c>
      <c r="F69" s="22" t="s">
        <v>112</v>
      </c>
      <c r="G69" s="22" t="s">
        <v>134</v>
      </c>
      <c r="H69" s="22" t="s">
        <v>30</v>
      </c>
      <c r="I69" s="22" t="s">
        <v>135</v>
      </c>
      <c r="J69" s="101" t="s">
        <v>137</v>
      </c>
      <c r="K69" s="519" t="s">
        <v>896</v>
      </c>
      <c r="L69" s="521" t="s">
        <v>944</v>
      </c>
      <c r="M69" s="521" t="s">
        <v>945</v>
      </c>
      <c r="N69" s="521" t="s">
        <v>885</v>
      </c>
      <c r="O69" s="22" t="s">
        <v>102</v>
      </c>
      <c r="P69" s="426">
        <v>2020</v>
      </c>
      <c r="Q69" s="414">
        <f t="shared" ca="1" si="3"/>
        <v>2185.5275346277672</v>
      </c>
      <c r="R69" s="335">
        <f t="shared" ca="1" si="4"/>
        <v>0</v>
      </c>
      <c r="S69" s="335">
        <f t="shared" ca="1" si="5"/>
        <v>0</v>
      </c>
      <c r="T69" s="429"/>
      <c r="U69" s="22"/>
      <c r="V69" s="24"/>
      <c r="W69" s="21"/>
      <c r="Y69" s="490"/>
    </row>
    <row r="70" spans="1:25" ht="60">
      <c r="A70" s="31">
        <v>67</v>
      </c>
      <c r="B70" s="22" t="s">
        <v>39</v>
      </c>
      <c r="C70" s="22" t="s">
        <v>40</v>
      </c>
      <c r="D70" s="22" t="s">
        <v>106</v>
      </c>
      <c r="E70" s="23" t="s">
        <v>133</v>
      </c>
      <c r="F70" s="22" t="s">
        <v>114</v>
      </c>
      <c r="G70" s="22" t="s">
        <v>134</v>
      </c>
      <c r="H70" s="22" t="s">
        <v>30</v>
      </c>
      <c r="I70" s="22" t="s">
        <v>135</v>
      </c>
      <c r="J70" s="101" t="s">
        <v>138</v>
      </c>
      <c r="K70" s="519" t="s">
        <v>896</v>
      </c>
      <c r="L70" s="521" t="s">
        <v>946</v>
      </c>
      <c r="M70" s="521" t="s">
        <v>947</v>
      </c>
      <c r="N70" s="521" t="s">
        <v>885</v>
      </c>
      <c r="O70" s="22" t="s">
        <v>102</v>
      </c>
      <c r="P70" s="426">
        <v>2020</v>
      </c>
      <c r="Q70" s="414">
        <f t="shared" ca="1" si="3"/>
        <v>68.555562551130933</v>
      </c>
      <c r="R70" s="335">
        <f t="shared" ca="1" si="4"/>
        <v>0</v>
      </c>
      <c r="S70" s="335">
        <f t="shared" ca="1" si="5"/>
        <v>0</v>
      </c>
      <c r="T70" s="429" t="s">
        <v>139</v>
      </c>
      <c r="U70" s="22" t="s">
        <v>117</v>
      </c>
      <c r="V70" s="24"/>
      <c r="W70" s="21"/>
      <c r="Y70" s="490"/>
    </row>
    <row r="71" spans="1:25" ht="105">
      <c r="A71" s="31">
        <v>68</v>
      </c>
      <c r="B71" s="22" t="s">
        <v>39</v>
      </c>
      <c r="C71" s="22" t="s">
        <v>40</v>
      </c>
      <c r="D71" s="22" t="s">
        <v>140</v>
      </c>
      <c r="E71" s="23" t="s">
        <v>141</v>
      </c>
      <c r="F71" s="22" t="s">
        <v>142</v>
      </c>
      <c r="G71" s="22" t="s">
        <v>143</v>
      </c>
      <c r="H71" s="22" t="s">
        <v>30</v>
      </c>
      <c r="I71" s="22" t="s">
        <v>144</v>
      </c>
      <c r="J71" s="22" t="s">
        <v>145</v>
      </c>
      <c r="K71" s="519" t="s">
        <v>896</v>
      </c>
      <c r="L71" s="521" t="s">
        <v>948</v>
      </c>
      <c r="M71" s="521" t="s">
        <v>949</v>
      </c>
      <c r="N71" s="521" t="s">
        <v>885</v>
      </c>
      <c r="O71" s="22" t="s">
        <v>102</v>
      </c>
      <c r="P71" s="426">
        <v>2020</v>
      </c>
      <c r="Q71" s="533">
        <f t="shared" ca="1" si="3"/>
        <v>6.4650270942856886E-3</v>
      </c>
      <c r="R71" s="335">
        <f t="shared" ca="1" si="4"/>
        <v>0</v>
      </c>
      <c r="S71" s="335">
        <f t="shared" ca="1" si="5"/>
        <v>0</v>
      </c>
      <c r="T71" s="429" t="s">
        <v>950</v>
      </c>
      <c r="U71" s="22" t="s">
        <v>147</v>
      </c>
      <c r="V71" s="24"/>
      <c r="W71" s="21"/>
      <c r="Y71" s="490"/>
    </row>
    <row r="72" spans="1:25" ht="60">
      <c r="A72" s="31">
        <v>69</v>
      </c>
      <c r="B72" s="22" t="s">
        <v>39</v>
      </c>
      <c r="C72" s="22" t="s">
        <v>40</v>
      </c>
      <c r="D72" s="22" t="s">
        <v>140</v>
      </c>
      <c r="E72" s="23" t="s">
        <v>148</v>
      </c>
      <c r="F72" s="22" t="s">
        <v>142</v>
      </c>
      <c r="G72" s="22" t="s">
        <v>149</v>
      </c>
      <c r="H72" s="22" t="s">
        <v>30</v>
      </c>
      <c r="I72" s="22" t="s">
        <v>150</v>
      </c>
      <c r="J72" s="22" t="s">
        <v>151</v>
      </c>
      <c r="K72" s="519" t="s">
        <v>896</v>
      </c>
      <c r="L72" s="521" t="s">
        <v>951</v>
      </c>
      <c r="M72" s="521" t="s">
        <v>952</v>
      </c>
      <c r="N72" s="521" t="s">
        <v>885</v>
      </c>
      <c r="O72" s="22" t="s">
        <v>102</v>
      </c>
      <c r="P72" s="426">
        <v>2020</v>
      </c>
      <c r="Q72" s="533">
        <f t="shared" ca="1" si="3"/>
        <v>0</v>
      </c>
      <c r="R72" s="335">
        <f t="shared" ca="1" si="4"/>
        <v>0</v>
      </c>
      <c r="S72" s="335">
        <f t="shared" ca="1" si="5"/>
        <v>0</v>
      </c>
      <c r="T72" s="429" t="s">
        <v>152</v>
      </c>
      <c r="U72" s="22" t="str">
        <f>Definitions!C7</f>
        <v>D.18-05-041: DAC = Bill accounts in census tracts corresponding to census tracts in the top quartile of CalEnviroScreen 3.0 scores.</v>
      </c>
      <c r="V72" s="24"/>
      <c r="W72" s="21"/>
      <c r="Y72" s="490"/>
    </row>
    <row r="73" spans="1:25" ht="90">
      <c r="A73" s="31">
        <v>70</v>
      </c>
      <c r="B73" s="22" t="s">
        <v>39</v>
      </c>
      <c r="C73" s="22" t="s">
        <v>40</v>
      </c>
      <c r="D73" s="22" t="s">
        <v>140</v>
      </c>
      <c r="E73" s="23" t="s">
        <v>153</v>
      </c>
      <c r="F73" s="22" t="s">
        <v>142</v>
      </c>
      <c r="G73" s="22" t="s">
        <v>154</v>
      </c>
      <c r="H73" s="22" t="s">
        <v>30</v>
      </c>
      <c r="I73" s="22" t="s">
        <v>155</v>
      </c>
      <c r="J73" s="22" t="s">
        <v>156</v>
      </c>
      <c r="K73" s="519" t="s">
        <v>896</v>
      </c>
      <c r="L73" s="521" t="s">
        <v>953</v>
      </c>
      <c r="M73" s="521" t="s">
        <v>954</v>
      </c>
      <c r="N73" s="521" t="s">
        <v>885</v>
      </c>
      <c r="O73" s="22" t="s">
        <v>102</v>
      </c>
      <c r="P73" s="426">
        <v>2020</v>
      </c>
      <c r="Q73" s="533">
        <f t="shared" ca="1" si="3"/>
        <v>0</v>
      </c>
      <c r="R73" s="335">
        <f t="shared" ca="1" si="4"/>
        <v>0</v>
      </c>
      <c r="S73" s="335">
        <f t="shared" ca="1" si="5"/>
        <v>0</v>
      </c>
      <c r="T73" s="429" t="s">
        <v>157</v>
      </c>
      <c r="U7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73" s="24"/>
      <c r="W73" s="21"/>
      <c r="Y73" s="490"/>
    </row>
    <row r="74" spans="1:25" ht="30">
      <c r="A74" s="31">
        <v>71</v>
      </c>
      <c r="B74" s="22" t="s">
        <v>39</v>
      </c>
      <c r="C74" s="22" t="s">
        <v>40</v>
      </c>
      <c r="D74" s="22" t="s">
        <v>158</v>
      </c>
      <c r="E74" s="23" t="s">
        <v>91</v>
      </c>
      <c r="F74" s="22" t="s">
        <v>92</v>
      </c>
      <c r="G74" s="22" t="s">
        <v>93</v>
      </c>
      <c r="H74" s="22" t="s">
        <v>30</v>
      </c>
      <c r="I74" s="22" t="s">
        <v>159</v>
      </c>
      <c r="J74" s="22" t="s">
        <v>92</v>
      </c>
      <c r="K74" s="519" t="s">
        <v>896</v>
      </c>
      <c r="L74" s="521" t="s">
        <v>955</v>
      </c>
      <c r="M74" s="521" t="s">
        <v>956</v>
      </c>
      <c r="N74" s="521" t="s">
        <v>885</v>
      </c>
      <c r="O74" s="22" t="s">
        <v>102</v>
      </c>
      <c r="P74" s="426">
        <v>2020</v>
      </c>
      <c r="Q74" s="414">
        <f t="shared" ca="1" si="3"/>
        <v>791.68698077758927</v>
      </c>
      <c r="R74" s="335">
        <f t="shared" ca="1" si="4"/>
        <v>0</v>
      </c>
      <c r="S74" s="335">
        <f t="shared" ca="1" si="5"/>
        <v>0</v>
      </c>
      <c r="T74" s="429"/>
      <c r="U74" s="22"/>
      <c r="V74" s="24"/>
      <c r="W74" s="21"/>
      <c r="Y74" s="490"/>
    </row>
    <row r="75" spans="1:25" ht="30">
      <c r="A75" s="31">
        <v>72</v>
      </c>
      <c r="B75" s="22" t="s">
        <v>39</v>
      </c>
      <c r="C75" s="22" t="s">
        <v>40</v>
      </c>
      <c r="D75" s="22" t="s">
        <v>158</v>
      </c>
      <c r="E75" s="23" t="s">
        <v>91</v>
      </c>
      <c r="F75" s="22" t="s">
        <v>95</v>
      </c>
      <c r="G75" s="22" t="s">
        <v>93</v>
      </c>
      <c r="H75" s="22" t="s">
        <v>30</v>
      </c>
      <c r="I75" s="22" t="s">
        <v>159</v>
      </c>
      <c r="J75" s="22" t="s">
        <v>95</v>
      </c>
      <c r="K75" s="519" t="s">
        <v>896</v>
      </c>
      <c r="L75" s="521" t="s">
        <v>957</v>
      </c>
      <c r="M75" s="521" t="s">
        <v>958</v>
      </c>
      <c r="N75" s="521" t="s">
        <v>885</v>
      </c>
      <c r="O75" s="22" t="s">
        <v>102</v>
      </c>
      <c r="P75" s="426">
        <v>2020</v>
      </c>
      <c r="Q75" s="414">
        <f t="shared" ca="1" si="3"/>
        <v>0.10603370681034921</v>
      </c>
      <c r="R75" s="335">
        <f t="shared" ca="1" si="4"/>
        <v>0</v>
      </c>
      <c r="S75" s="335">
        <f t="shared" ca="1" si="5"/>
        <v>0</v>
      </c>
      <c r="T75" s="429"/>
      <c r="U75" s="22"/>
      <c r="V75" s="24"/>
      <c r="W75" s="21"/>
      <c r="Y75" s="490"/>
    </row>
    <row r="76" spans="1:25" ht="30">
      <c r="A76" s="31">
        <v>73</v>
      </c>
      <c r="B76" s="22" t="s">
        <v>39</v>
      </c>
      <c r="C76" s="22" t="s">
        <v>40</v>
      </c>
      <c r="D76" s="22" t="s">
        <v>158</v>
      </c>
      <c r="E76" s="23" t="s">
        <v>91</v>
      </c>
      <c r="F76" s="22" t="s">
        <v>96</v>
      </c>
      <c r="G76" s="22" t="s">
        <v>93</v>
      </c>
      <c r="H76" s="22" t="s">
        <v>30</v>
      </c>
      <c r="I76" s="22" t="s">
        <v>159</v>
      </c>
      <c r="J76" s="22" t="s">
        <v>96</v>
      </c>
      <c r="K76" s="519" t="s">
        <v>896</v>
      </c>
      <c r="L76" s="521" t="s">
        <v>959</v>
      </c>
      <c r="M76" s="521" t="s">
        <v>960</v>
      </c>
      <c r="N76" s="521" t="s">
        <v>885</v>
      </c>
      <c r="O76" s="22" t="s">
        <v>102</v>
      </c>
      <c r="P76" s="426">
        <v>2020</v>
      </c>
      <c r="Q76" s="414">
        <f t="shared" ca="1" si="3"/>
        <v>1.0162588104301145</v>
      </c>
      <c r="R76" s="335">
        <f t="shared" ca="1" si="4"/>
        <v>0</v>
      </c>
      <c r="S76" s="335">
        <f t="shared" ca="1" si="5"/>
        <v>0</v>
      </c>
      <c r="T76" s="429" t="s">
        <v>48</v>
      </c>
      <c r="U76" s="22" t="s">
        <v>49</v>
      </c>
      <c r="V76" s="24"/>
      <c r="W76" s="21"/>
      <c r="Y76" s="490"/>
    </row>
    <row r="77" spans="1:25" ht="30">
      <c r="A77" s="31">
        <v>74</v>
      </c>
      <c r="B77" s="22" t="s">
        <v>39</v>
      </c>
      <c r="C77" s="22" t="s">
        <v>40</v>
      </c>
      <c r="D77" s="22" t="s">
        <v>158</v>
      </c>
      <c r="E77" s="23" t="s">
        <v>91</v>
      </c>
      <c r="F77" s="22" t="s">
        <v>97</v>
      </c>
      <c r="G77" s="22" t="s">
        <v>93</v>
      </c>
      <c r="H77" s="22" t="s">
        <v>30</v>
      </c>
      <c r="I77" s="22" t="s">
        <v>159</v>
      </c>
      <c r="J77" s="22" t="s">
        <v>97</v>
      </c>
      <c r="K77" s="519" t="s">
        <v>896</v>
      </c>
      <c r="L77" s="521" t="s">
        <v>961</v>
      </c>
      <c r="M77" s="521" t="s">
        <v>962</v>
      </c>
      <c r="N77" s="521" t="s">
        <v>885</v>
      </c>
      <c r="O77" s="22" t="s">
        <v>102</v>
      </c>
      <c r="P77" s="426">
        <v>2020</v>
      </c>
      <c r="Q77" s="414">
        <f t="shared" ca="1" si="3"/>
        <v>839.00673256190248</v>
      </c>
      <c r="R77" s="335">
        <f t="shared" ca="1" si="4"/>
        <v>0</v>
      </c>
      <c r="S77" s="335">
        <f t="shared" ca="1" si="5"/>
        <v>0</v>
      </c>
      <c r="T77" s="429"/>
      <c r="U77" s="22"/>
      <c r="V77" s="24"/>
      <c r="W77" s="21"/>
      <c r="Y77" s="490"/>
    </row>
    <row r="78" spans="1:25" ht="30">
      <c r="A78" s="31">
        <v>75</v>
      </c>
      <c r="B78" s="22" t="s">
        <v>39</v>
      </c>
      <c r="C78" s="22" t="s">
        <v>40</v>
      </c>
      <c r="D78" s="22" t="s">
        <v>158</v>
      </c>
      <c r="E78" s="23" t="s">
        <v>91</v>
      </c>
      <c r="F78" s="22" t="s">
        <v>98</v>
      </c>
      <c r="G78" s="22" t="s">
        <v>93</v>
      </c>
      <c r="H78" s="22" t="s">
        <v>30</v>
      </c>
      <c r="I78" s="22" t="s">
        <v>159</v>
      </c>
      <c r="J78" s="22" t="s">
        <v>98</v>
      </c>
      <c r="K78" s="519" t="s">
        <v>896</v>
      </c>
      <c r="L78" s="521" t="s">
        <v>963</v>
      </c>
      <c r="M78" s="521" t="s">
        <v>964</v>
      </c>
      <c r="N78" s="521" t="s">
        <v>885</v>
      </c>
      <c r="O78" s="22" t="s">
        <v>102</v>
      </c>
      <c r="P78" s="426">
        <v>2020</v>
      </c>
      <c r="Q78" s="414">
        <f t="shared" ca="1" si="3"/>
        <v>0.11237142463173895</v>
      </c>
      <c r="R78" s="335">
        <f t="shared" ca="1" si="4"/>
        <v>0</v>
      </c>
      <c r="S78" s="335">
        <f t="shared" ca="1" si="5"/>
        <v>0</v>
      </c>
      <c r="T78" s="429"/>
      <c r="U78" s="22"/>
      <c r="V78" s="24"/>
      <c r="W78" s="21"/>
      <c r="Y78" s="490"/>
    </row>
    <row r="79" spans="1:25" ht="30">
      <c r="A79" s="31">
        <v>76</v>
      </c>
      <c r="B79" s="22" t="s">
        <v>39</v>
      </c>
      <c r="C79" s="22" t="s">
        <v>40</v>
      </c>
      <c r="D79" s="22" t="s">
        <v>158</v>
      </c>
      <c r="E79" s="23" t="s">
        <v>91</v>
      </c>
      <c r="F79" s="22" t="s">
        <v>99</v>
      </c>
      <c r="G79" s="22" t="s">
        <v>93</v>
      </c>
      <c r="H79" s="22" t="s">
        <v>30</v>
      </c>
      <c r="I79" s="22" t="s">
        <v>159</v>
      </c>
      <c r="J79" s="22" t="s">
        <v>99</v>
      </c>
      <c r="K79" s="519" t="s">
        <v>896</v>
      </c>
      <c r="L79" s="521" t="s">
        <v>965</v>
      </c>
      <c r="M79" s="521" t="s">
        <v>966</v>
      </c>
      <c r="N79" s="521" t="s">
        <v>885</v>
      </c>
      <c r="O79" s="22" t="s">
        <v>102</v>
      </c>
      <c r="P79" s="426">
        <v>2020</v>
      </c>
      <c r="Q79" s="414">
        <f t="shared" ca="1" si="3"/>
        <v>1.0770013966110084</v>
      </c>
      <c r="R79" s="335">
        <f t="shared" ca="1" si="4"/>
        <v>0</v>
      </c>
      <c r="S79" s="335">
        <f t="shared" ca="1" si="5"/>
        <v>0</v>
      </c>
      <c r="T79" s="429" t="s">
        <v>48</v>
      </c>
      <c r="U79" s="22" t="s">
        <v>49</v>
      </c>
      <c r="V79" s="24"/>
      <c r="W79" s="21"/>
      <c r="Y79" s="490"/>
    </row>
    <row r="80" spans="1:25" ht="45" hidden="1">
      <c r="A80" s="31">
        <v>77</v>
      </c>
      <c r="B80" s="22" t="s">
        <v>39</v>
      </c>
      <c r="C80" s="22" t="s">
        <v>40</v>
      </c>
      <c r="D80" s="22" t="s">
        <v>160</v>
      </c>
      <c r="E80" s="23" t="s">
        <v>161</v>
      </c>
      <c r="F80" s="22" t="s">
        <v>162</v>
      </c>
      <c r="G80" s="22" t="s">
        <v>163</v>
      </c>
      <c r="H80" s="22" t="s">
        <v>164</v>
      </c>
      <c r="I80" s="22" t="s">
        <v>165</v>
      </c>
      <c r="J80" s="22" t="s">
        <v>166</v>
      </c>
      <c r="K80" s="519" t="s">
        <v>896</v>
      </c>
      <c r="L80" s="521" t="s">
        <v>967</v>
      </c>
      <c r="M80" s="521" t="s">
        <v>968</v>
      </c>
      <c r="N80" s="521" t="s">
        <v>815</v>
      </c>
      <c r="O80" s="22" t="s">
        <v>102</v>
      </c>
      <c r="P80" s="426">
        <v>2020</v>
      </c>
      <c r="Q80" s="414">
        <f t="shared" ca="1" si="3"/>
        <v>37390.980254976144</v>
      </c>
      <c r="R80" s="335" t="str">
        <f t="shared" ca="1" si="4"/>
        <v>N/A</v>
      </c>
      <c r="S80" s="335" t="str">
        <f t="shared" ca="1" si="5"/>
        <v>N/A</v>
      </c>
      <c r="T80" s="429" t="s">
        <v>168</v>
      </c>
      <c r="U80" s="22" t="s">
        <v>169</v>
      </c>
      <c r="V80" s="24"/>
      <c r="W80" s="21"/>
      <c r="Y80" s="490"/>
    </row>
    <row r="81" spans="1:25" ht="60" hidden="1">
      <c r="A81" s="31">
        <v>78</v>
      </c>
      <c r="B81" s="22" t="s">
        <v>39</v>
      </c>
      <c r="C81" s="22" t="s">
        <v>40</v>
      </c>
      <c r="D81" s="22" t="s">
        <v>170</v>
      </c>
      <c r="E81" s="23" t="s">
        <v>171</v>
      </c>
      <c r="F81" s="22" t="s">
        <v>52</v>
      </c>
      <c r="G81" s="22" t="s">
        <v>53</v>
      </c>
      <c r="H81" s="22" t="s">
        <v>30</v>
      </c>
      <c r="I81" s="22" t="s">
        <v>172</v>
      </c>
      <c r="J81" s="22" t="s">
        <v>173</v>
      </c>
      <c r="K81" s="519" t="s">
        <v>969</v>
      </c>
      <c r="L81" s="521" t="s">
        <v>970</v>
      </c>
      <c r="M81" s="521" t="s">
        <v>971</v>
      </c>
      <c r="N81" s="521" t="s">
        <v>815</v>
      </c>
      <c r="O81" s="22" t="s">
        <v>174</v>
      </c>
      <c r="P81" s="426">
        <v>2020</v>
      </c>
      <c r="Q81" s="414">
        <f t="shared" ca="1" si="3"/>
        <v>2846.1503726502024</v>
      </c>
      <c r="R81" s="335" t="str">
        <f t="shared" ca="1" si="4"/>
        <v>N/A</v>
      </c>
      <c r="S81" s="335" t="str">
        <f t="shared" ca="1" si="5"/>
        <v>N/A</v>
      </c>
      <c r="T81" s="429" t="s">
        <v>899</v>
      </c>
      <c r="U81" s="22"/>
      <c r="V81" s="24"/>
      <c r="W81" s="21"/>
      <c r="Y81" s="490"/>
    </row>
    <row r="82" spans="1:25" ht="60" hidden="1">
      <c r="A82" s="31">
        <v>79</v>
      </c>
      <c r="B82" s="22" t="s">
        <v>39</v>
      </c>
      <c r="C82" s="22" t="s">
        <v>40</v>
      </c>
      <c r="D82" s="22" t="s">
        <v>170</v>
      </c>
      <c r="E82" s="23" t="s">
        <v>171</v>
      </c>
      <c r="F82" s="22" t="s">
        <v>55</v>
      </c>
      <c r="G82" s="22" t="s">
        <v>53</v>
      </c>
      <c r="H82" s="22" t="s">
        <v>30</v>
      </c>
      <c r="I82" s="22" t="s">
        <v>172</v>
      </c>
      <c r="J82" s="22" t="s">
        <v>175</v>
      </c>
      <c r="K82" s="519" t="s">
        <v>969</v>
      </c>
      <c r="L82" s="521" t="s">
        <v>972</v>
      </c>
      <c r="M82" s="521" t="s">
        <v>973</v>
      </c>
      <c r="N82" s="521" t="s">
        <v>815</v>
      </c>
      <c r="O82" s="22" t="s">
        <v>174</v>
      </c>
      <c r="P82" s="426">
        <v>2020</v>
      </c>
      <c r="Q82" s="414">
        <f t="shared" ca="1" si="3"/>
        <v>2834.2529214697938</v>
      </c>
      <c r="R82" s="335" t="str">
        <f t="shared" ca="1" si="4"/>
        <v>N/A</v>
      </c>
      <c r="S82" s="335" t="str">
        <f t="shared" ca="1" si="5"/>
        <v>N/A</v>
      </c>
      <c r="T82" s="429" t="s">
        <v>899</v>
      </c>
      <c r="U82" s="22"/>
      <c r="V82" s="24"/>
      <c r="W82" s="21"/>
      <c r="Y82" s="490"/>
    </row>
    <row r="83" spans="1:25" ht="60" hidden="1">
      <c r="A83" s="31">
        <v>80</v>
      </c>
      <c r="B83" s="22" t="s">
        <v>39</v>
      </c>
      <c r="C83" s="22" t="s">
        <v>40</v>
      </c>
      <c r="D83" s="22" t="s">
        <v>170</v>
      </c>
      <c r="E83" s="23" t="s">
        <v>171</v>
      </c>
      <c r="F83" s="22" t="s">
        <v>56</v>
      </c>
      <c r="G83" s="22" t="s">
        <v>53</v>
      </c>
      <c r="H83" s="22" t="s">
        <v>30</v>
      </c>
      <c r="I83" s="22" t="s">
        <v>172</v>
      </c>
      <c r="J83" s="22" t="s">
        <v>176</v>
      </c>
      <c r="K83" s="519" t="s">
        <v>969</v>
      </c>
      <c r="L83" s="521" t="s">
        <v>974</v>
      </c>
      <c r="M83" s="521" t="s">
        <v>975</v>
      </c>
      <c r="N83" s="521" t="s">
        <v>815</v>
      </c>
      <c r="O83" s="22" t="s">
        <v>174</v>
      </c>
      <c r="P83" s="426">
        <v>2020</v>
      </c>
      <c r="Q83" s="414">
        <f t="shared" ca="1" si="3"/>
        <v>15494532.942354519</v>
      </c>
      <c r="R83" s="335" t="str">
        <f t="shared" ca="1" si="4"/>
        <v>N/A</v>
      </c>
      <c r="S83" s="335" t="str">
        <f t="shared" ca="1" si="5"/>
        <v>N/A</v>
      </c>
      <c r="T83" s="429" t="s">
        <v>899</v>
      </c>
      <c r="U83" s="22"/>
      <c r="V83" s="24"/>
      <c r="W83" s="21"/>
      <c r="Y83" s="490"/>
    </row>
    <row r="84" spans="1:25" ht="60" hidden="1">
      <c r="A84" s="31">
        <v>81</v>
      </c>
      <c r="B84" s="22" t="s">
        <v>39</v>
      </c>
      <c r="C84" s="22" t="s">
        <v>40</v>
      </c>
      <c r="D84" s="22" t="s">
        <v>170</v>
      </c>
      <c r="E84" s="23" t="s">
        <v>171</v>
      </c>
      <c r="F84" s="22" t="s">
        <v>57</v>
      </c>
      <c r="G84" s="22" t="s">
        <v>53</v>
      </c>
      <c r="H84" s="22" t="s">
        <v>30</v>
      </c>
      <c r="I84" s="22" t="s">
        <v>172</v>
      </c>
      <c r="J84" s="22" t="s">
        <v>177</v>
      </c>
      <c r="K84" s="519" t="s">
        <v>969</v>
      </c>
      <c r="L84" s="521" t="s">
        <v>976</v>
      </c>
      <c r="M84" s="521" t="s">
        <v>977</v>
      </c>
      <c r="N84" s="521" t="s">
        <v>815</v>
      </c>
      <c r="O84" s="22" t="s">
        <v>174</v>
      </c>
      <c r="P84" s="426">
        <v>2020</v>
      </c>
      <c r="Q84" s="414">
        <f t="shared" ca="1" si="3"/>
        <v>15890094.776891826</v>
      </c>
      <c r="R84" s="335" t="str">
        <f t="shared" ca="1" si="4"/>
        <v>N/A</v>
      </c>
      <c r="S84" s="335" t="str">
        <f t="shared" ca="1" si="5"/>
        <v>N/A</v>
      </c>
      <c r="T84" s="429" t="s">
        <v>899</v>
      </c>
      <c r="U84" s="22"/>
      <c r="V84" s="24"/>
      <c r="W84" s="21"/>
      <c r="Y84" s="490"/>
    </row>
    <row r="85" spans="1:25" ht="60" hidden="1">
      <c r="A85" s="31">
        <v>82</v>
      </c>
      <c r="B85" s="22" t="s">
        <v>39</v>
      </c>
      <c r="C85" s="22" t="s">
        <v>40</v>
      </c>
      <c r="D85" s="22" t="s">
        <v>170</v>
      </c>
      <c r="E85" s="23" t="s">
        <v>171</v>
      </c>
      <c r="F85" s="22" t="s">
        <v>58</v>
      </c>
      <c r="G85" s="22" t="s">
        <v>53</v>
      </c>
      <c r="H85" s="22" t="s">
        <v>30</v>
      </c>
      <c r="I85" s="22" t="s">
        <v>172</v>
      </c>
      <c r="J85" s="22" t="s">
        <v>178</v>
      </c>
      <c r="K85" s="519" t="s">
        <v>969</v>
      </c>
      <c r="L85" s="521" t="s">
        <v>978</v>
      </c>
      <c r="M85" s="521" t="s">
        <v>979</v>
      </c>
      <c r="N85" s="521" t="s">
        <v>815</v>
      </c>
      <c r="O85" s="22" t="s">
        <v>174</v>
      </c>
      <c r="P85" s="426">
        <v>2020</v>
      </c>
      <c r="Q85" s="414">
        <f t="shared" ca="1" si="3"/>
        <v>374173.23724446661</v>
      </c>
      <c r="R85" s="335" t="str">
        <f t="shared" ca="1" si="4"/>
        <v>N/A</v>
      </c>
      <c r="S85" s="335" t="str">
        <f t="shared" ca="1" si="5"/>
        <v>N/A</v>
      </c>
      <c r="T85" s="429" t="s">
        <v>899</v>
      </c>
      <c r="U85" s="22" t="str">
        <f>Definitions!C$20</f>
        <v>A multi-family unit. Designated by a unique billing account under rate GR and location code (LC_CD) = B, C, D (&gt;= 2 units)</v>
      </c>
      <c r="V85" s="24"/>
      <c r="W85" s="21"/>
      <c r="Y85" s="490"/>
    </row>
    <row r="86" spans="1:25" ht="60" hidden="1">
      <c r="A86" s="31">
        <v>83</v>
      </c>
      <c r="B86" s="22" t="s">
        <v>39</v>
      </c>
      <c r="C86" s="22" t="s">
        <v>40</v>
      </c>
      <c r="D86" s="22" t="s">
        <v>170</v>
      </c>
      <c r="E86" s="23" t="s">
        <v>171</v>
      </c>
      <c r="F86" s="22" t="s">
        <v>60</v>
      </c>
      <c r="G86" s="22" t="s">
        <v>53</v>
      </c>
      <c r="H86" s="22" t="s">
        <v>30</v>
      </c>
      <c r="I86" s="22" t="s">
        <v>172</v>
      </c>
      <c r="J86" s="22" t="s">
        <v>180</v>
      </c>
      <c r="K86" s="519" t="s">
        <v>969</v>
      </c>
      <c r="L86" s="521" t="s">
        <v>980</v>
      </c>
      <c r="M86" s="521" t="s">
        <v>981</v>
      </c>
      <c r="N86" s="521" t="s">
        <v>815</v>
      </c>
      <c r="O86" s="22" t="s">
        <v>174</v>
      </c>
      <c r="P86" s="426">
        <v>2020</v>
      </c>
      <c r="Q86" s="414">
        <f t="shared" ca="1" si="3"/>
        <v>387621.69002220535</v>
      </c>
      <c r="R86" s="335" t="str">
        <f t="shared" ca="1" si="4"/>
        <v>N/A</v>
      </c>
      <c r="S86" s="335" t="str">
        <f t="shared" ca="1" si="5"/>
        <v>N/A</v>
      </c>
      <c r="T86" s="429" t="s">
        <v>899</v>
      </c>
      <c r="U86" s="22" t="str">
        <f>Definitions!C$20</f>
        <v>A multi-family unit. Designated by a unique billing account under rate GR and location code (LC_CD) = B, C, D (&gt;= 2 units)</v>
      </c>
      <c r="V86" s="24"/>
      <c r="W86" s="21"/>
      <c r="Y86" s="490"/>
    </row>
    <row r="87" spans="1:25" ht="60" hidden="1">
      <c r="A87" s="31">
        <v>84</v>
      </c>
      <c r="B87" s="22" t="s">
        <v>39</v>
      </c>
      <c r="C87" s="22" t="s">
        <v>40</v>
      </c>
      <c r="D87" s="22" t="s">
        <v>170</v>
      </c>
      <c r="E87" s="23" t="s">
        <v>171</v>
      </c>
      <c r="F87" s="22" t="s">
        <v>61</v>
      </c>
      <c r="G87" s="22" t="s">
        <v>53</v>
      </c>
      <c r="H87" s="22" t="s">
        <v>30</v>
      </c>
      <c r="I87" s="22" t="s">
        <v>172</v>
      </c>
      <c r="J87" s="22" t="s">
        <v>181</v>
      </c>
      <c r="K87" s="519" t="s">
        <v>969</v>
      </c>
      <c r="L87" s="521" t="s">
        <v>982</v>
      </c>
      <c r="M87" s="521" t="s">
        <v>983</v>
      </c>
      <c r="N87" s="521" t="s">
        <v>815</v>
      </c>
      <c r="O87" s="22" t="s">
        <v>174</v>
      </c>
      <c r="P87" s="426">
        <v>2020</v>
      </c>
      <c r="Q87" s="414">
        <f t="shared" ca="1" si="3"/>
        <v>4054.2623407428978</v>
      </c>
      <c r="R87" s="335" t="str">
        <f t="shared" ca="1" si="4"/>
        <v>N/A</v>
      </c>
      <c r="S87" s="335" t="str">
        <f t="shared" ca="1" si="5"/>
        <v>N/A</v>
      </c>
      <c r="T87" s="429" t="s">
        <v>899</v>
      </c>
      <c r="U87" s="22"/>
      <c r="V87" s="24"/>
      <c r="W87" s="21"/>
      <c r="Y87" s="490"/>
    </row>
    <row r="88" spans="1:25" ht="60" hidden="1">
      <c r="A88" s="31">
        <v>85</v>
      </c>
      <c r="B88" s="22" t="s">
        <v>39</v>
      </c>
      <c r="C88" s="22" t="s">
        <v>40</v>
      </c>
      <c r="D88" s="22" t="s">
        <v>170</v>
      </c>
      <c r="E88" s="23" t="s">
        <v>171</v>
      </c>
      <c r="F88" s="22" t="s">
        <v>62</v>
      </c>
      <c r="G88" s="22" t="s">
        <v>53</v>
      </c>
      <c r="H88" s="22" t="s">
        <v>30</v>
      </c>
      <c r="I88" s="22" t="s">
        <v>172</v>
      </c>
      <c r="J88" s="22" t="s">
        <v>182</v>
      </c>
      <c r="K88" s="519" t="s">
        <v>969</v>
      </c>
      <c r="L88" s="521" t="s">
        <v>984</v>
      </c>
      <c r="M88" s="521" t="s">
        <v>985</v>
      </c>
      <c r="N88" s="521" t="s">
        <v>815</v>
      </c>
      <c r="O88" s="22" t="s">
        <v>174</v>
      </c>
      <c r="P88" s="426">
        <v>2020</v>
      </c>
      <c r="Q88" s="414">
        <f t="shared" ca="1" si="3"/>
        <v>3637.1866576251391</v>
      </c>
      <c r="R88" s="335" t="str">
        <f t="shared" ca="1" si="4"/>
        <v>N/A</v>
      </c>
      <c r="S88" s="335" t="str">
        <f t="shared" ca="1" si="5"/>
        <v>N/A</v>
      </c>
      <c r="T88" s="429" t="s">
        <v>899</v>
      </c>
      <c r="U88" s="22"/>
      <c r="V88" s="24"/>
      <c r="W88" s="21"/>
      <c r="Y88" s="490"/>
    </row>
    <row r="89" spans="1:25" ht="60" hidden="1">
      <c r="A89" s="31">
        <v>86</v>
      </c>
      <c r="B89" s="22" t="s">
        <v>39</v>
      </c>
      <c r="C89" s="22" t="s">
        <v>40</v>
      </c>
      <c r="D89" s="22" t="s">
        <v>170</v>
      </c>
      <c r="E89" s="23" t="s">
        <v>171</v>
      </c>
      <c r="F89" s="22" t="s">
        <v>63</v>
      </c>
      <c r="G89" s="22" t="s">
        <v>53</v>
      </c>
      <c r="H89" s="22" t="s">
        <v>30</v>
      </c>
      <c r="I89" s="22" t="s">
        <v>172</v>
      </c>
      <c r="J89" s="22" t="s">
        <v>183</v>
      </c>
      <c r="K89" s="519" t="s">
        <v>969</v>
      </c>
      <c r="L89" s="521" t="s">
        <v>986</v>
      </c>
      <c r="M89" s="521" t="s">
        <v>987</v>
      </c>
      <c r="N89" s="521" t="s">
        <v>815</v>
      </c>
      <c r="O89" s="22" t="s">
        <v>174</v>
      </c>
      <c r="P89" s="426">
        <v>2020</v>
      </c>
      <c r="Q89" s="414">
        <f t="shared" ca="1" si="3"/>
        <v>20109152.663810141</v>
      </c>
      <c r="R89" s="335" t="str">
        <f t="shared" ca="1" si="4"/>
        <v>N/A</v>
      </c>
      <c r="S89" s="335" t="str">
        <f t="shared" ca="1" si="5"/>
        <v>N/A</v>
      </c>
      <c r="T89" s="429" t="s">
        <v>899</v>
      </c>
      <c r="U89" s="22"/>
      <c r="V89" s="24"/>
      <c r="W89" s="21"/>
      <c r="Y89" s="490"/>
    </row>
    <row r="90" spans="1:25" ht="60" hidden="1">
      <c r="A90" s="31">
        <v>87</v>
      </c>
      <c r="B90" s="22" t="s">
        <v>39</v>
      </c>
      <c r="C90" s="22" t="s">
        <v>40</v>
      </c>
      <c r="D90" s="22" t="s">
        <v>170</v>
      </c>
      <c r="E90" s="23" t="s">
        <v>171</v>
      </c>
      <c r="F90" s="22" t="s">
        <v>64</v>
      </c>
      <c r="G90" s="22" t="s">
        <v>53</v>
      </c>
      <c r="H90" s="22" t="s">
        <v>30</v>
      </c>
      <c r="I90" s="22" t="s">
        <v>172</v>
      </c>
      <c r="J90" s="22" t="s">
        <v>184</v>
      </c>
      <c r="K90" s="519" t="s">
        <v>969</v>
      </c>
      <c r="L90" s="521" t="s">
        <v>988</v>
      </c>
      <c r="M90" s="521" t="s">
        <v>989</v>
      </c>
      <c r="N90" s="521" t="s">
        <v>815</v>
      </c>
      <c r="O90" s="22" t="s">
        <v>174</v>
      </c>
      <c r="P90" s="426">
        <v>2020</v>
      </c>
      <c r="Q90" s="414">
        <f t="shared" ca="1" si="3"/>
        <v>18847541.687370114</v>
      </c>
      <c r="R90" s="335" t="str">
        <f t="shared" ca="1" si="4"/>
        <v>N/A</v>
      </c>
      <c r="S90" s="335" t="str">
        <f t="shared" ca="1" si="5"/>
        <v>N/A</v>
      </c>
      <c r="T90" s="429" t="s">
        <v>899</v>
      </c>
      <c r="U90" s="22"/>
      <c r="V90" s="24"/>
      <c r="W90" s="21"/>
      <c r="Y90" s="490"/>
    </row>
    <row r="91" spans="1:25" ht="60" hidden="1">
      <c r="A91" s="31">
        <v>88</v>
      </c>
      <c r="B91" s="22" t="s">
        <v>39</v>
      </c>
      <c r="C91" s="22" t="s">
        <v>40</v>
      </c>
      <c r="D91" s="22" t="s">
        <v>170</v>
      </c>
      <c r="E91" s="23" t="s">
        <v>171</v>
      </c>
      <c r="F91" s="22" t="s">
        <v>65</v>
      </c>
      <c r="G91" s="22" t="s">
        <v>53</v>
      </c>
      <c r="H91" s="22" t="s">
        <v>30</v>
      </c>
      <c r="I91" s="22" t="s">
        <v>172</v>
      </c>
      <c r="J91" s="22" t="s">
        <v>185</v>
      </c>
      <c r="K91" s="519" t="s">
        <v>969</v>
      </c>
      <c r="L91" s="521" t="s">
        <v>990</v>
      </c>
      <c r="M91" s="521" t="s">
        <v>991</v>
      </c>
      <c r="N91" s="521" t="s">
        <v>815</v>
      </c>
      <c r="O91" s="22" t="s">
        <v>174</v>
      </c>
      <c r="P91" s="426">
        <v>2020</v>
      </c>
      <c r="Q91" s="414">
        <f t="shared" ca="1" si="3"/>
        <v>463920.78687777388</v>
      </c>
      <c r="R91" s="335" t="str">
        <f t="shared" ca="1" si="4"/>
        <v>N/A</v>
      </c>
      <c r="S91" s="335" t="str">
        <f t="shared" ca="1" si="5"/>
        <v>N/A</v>
      </c>
      <c r="T91" s="429" t="s">
        <v>899</v>
      </c>
      <c r="U91" s="22" t="str">
        <f>Definitions!C$20</f>
        <v>A multi-family unit. Designated by a unique billing account under rate GR and location code (LC_CD) = B, C, D (&gt;= 2 units)</v>
      </c>
      <c r="V91" s="24"/>
      <c r="W91" s="21"/>
      <c r="Y91" s="490"/>
    </row>
    <row r="92" spans="1:25" ht="60" hidden="1">
      <c r="A92" s="31">
        <v>89</v>
      </c>
      <c r="B92" s="22" t="s">
        <v>39</v>
      </c>
      <c r="C92" s="22" t="s">
        <v>40</v>
      </c>
      <c r="D92" s="22" t="s">
        <v>170</v>
      </c>
      <c r="E92" s="23" t="s">
        <v>171</v>
      </c>
      <c r="F92" s="22" t="s">
        <v>66</v>
      </c>
      <c r="G92" s="22" t="s">
        <v>53</v>
      </c>
      <c r="H92" s="22" t="s">
        <v>30</v>
      </c>
      <c r="I92" s="22" t="s">
        <v>172</v>
      </c>
      <c r="J92" s="22" t="s">
        <v>186</v>
      </c>
      <c r="K92" s="519" t="s">
        <v>969</v>
      </c>
      <c r="L92" s="521" t="s">
        <v>992</v>
      </c>
      <c r="M92" s="521" t="s">
        <v>993</v>
      </c>
      <c r="N92" s="521" t="s">
        <v>815</v>
      </c>
      <c r="O92" s="22" t="s">
        <v>174</v>
      </c>
      <c r="P92" s="426">
        <v>2020</v>
      </c>
      <c r="Q92" s="414">
        <f t="shared" ca="1" si="3"/>
        <v>447181.16146424651</v>
      </c>
      <c r="R92" s="335" t="str">
        <f t="shared" ca="1" si="4"/>
        <v>N/A</v>
      </c>
      <c r="S92" s="335" t="str">
        <f t="shared" ca="1" si="5"/>
        <v>N/A</v>
      </c>
      <c r="T92" s="429" t="s">
        <v>899</v>
      </c>
      <c r="U92" s="22" t="str">
        <f>Definitions!C$20</f>
        <v>A multi-family unit. Designated by a unique billing account under rate GR and location code (LC_CD) = B, C, D (&gt;= 2 units)</v>
      </c>
      <c r="V92" s="24"/>
      <c r="W92" s="21"/>
      <c r="Y92" s="490"/>
    </row>
    <row r="93" spans="1:25" ht="60" hidden="1">
      <c r="A93" s="31">
        <v>90</v>
      </c>
      <c r="B93" s="22" t="s">
        <v>39</v>
      </c>
      <c r="C93" s="22" t="s">
        <v>40</v>
      </c>
      <c r="D93" s="22" t="s">
        <v>170</v>
      </c>
      <c r="E93" s="23" t="s">
        <v>187</v>
      </c>
      <c r="F93" s="22" t="s">
        <v>52</v>
      </c>
      <c r="G93" s="22" t="s">
        <v>53</v>
      </c>
      <c r="H93" s="22" t="s">
        <v>30</v>
      </c>
      <c r="I93" s="22" t="s">
        <v>172</v>
      </c>
      <c r="J93" s="22" t="s">
        <v>188</v>
      </c>
      <c r="K93" s="519" t="s">
        <v>969</v>
      </c>
      <c r="L93" s="521" t="s">
        <v>994</v>
      </c>
      <c r="M93" s="521" t="s">
        <v>995</v>
      </c>
      <c r="N93" s="521" t="s">
        <v>815</v>
      </c>
      <c r="O93" s="22" t="s">
        <v>174</v>
      </c>
      <c r="P93" s="426">
        <v>2020</v>
      </c>
      <c r="Q93" s="414">
        <f t="shared" ca="1" si="3"/>
        <v>473.23329797333901</v>
      </c>
      <c r="R93" s="335" t="str">
        <f t="shared" ca="1" si="4"/>
        <v>N/A</v>
      </c>
      <c r="S93" s="335" t="str">
        <f t="shared" ca="1" si="5"/>
        <v>N/A</v>
      </c>
      <c r="T93" s="429" t="s">
        <v>899</v>
      </c>
      <c r="U93" s="22"/>
      <c r="V93" s="24"/>
      <c r="W93" s="21"/>
      <c r="Y93" s="490"/>
    </row>
    <row r="94" spans="1:25" ht="60" hidden="1">
      <c r="A94" s="31">
        <v>91</v>
      </c>
      <c r="B94" s="22" t="s">
        <v>39</v>
      </c>
      <c r="C94" s="22" t="s">
        <v>40</v>
      </c>
      <c r="D94" s="22" t="s">
        <v>170</v>
      </c>
      <c r="E94" s="23" t="s">
        <v>187</v>
      </c>
      <c r="F94" s="22" t="s">
        <v>55</v>
      </c>
      <c r="G94" s="22" t="s">
        <v>53</v>
      </c>
      <c r="H94" s="22" t="s">
        <v>30</v>
      </c>
      <c r="I94" s="22" t="s">
        <v>172</v>
      </c>
      <c r="J94" s="22" t="s">
        <v>189</v>
      </c>
      <c r="K94" s="519" t="s">
        <v>969</v>
      </c>
      <c r="L94" s="521" t="s">
        <v>996</v>
      </c>
      <c r="M94" s="521" t="s">
        <v>997</v>
      </c>
      <c r="N94" s="521" t="s">
        <v>815</v>
      </c>
      <c r="O94" s="22" t="s">
        <v>174</v>
      </c>
      <c r="P94" s="426">
        <v>2020</v>
      </c>
      <c r="Q94" s="414">
        <f t="shared" ca="1" si="3"/>
        <v>317.6270806321217</v>
      </c>
      <c r="R94" s="335" t="str">
        <f t="shared" ca="1" si="4"/>
        <v>N/A</v>
      </c>
      <c r="S94" s="335" t="str">
        <f t="shared" ca="1" si="5"/>
        <v>N/A</v>
      </c>
      <c r="T94" s="429" t="s">
        <v>899</v>
      </c>
      <c r="U94" s="22"/>
      <c r="V94" s="24"/>
      <c r="W94" s="21"/>
      <c r="Y94" s="490"/>
    </row>
    <row r="95" spans="1:25" ht="60" hidden="1">
      <c r="A95" s="31">
        <v>92</v>
      </c>
      <c r="B95" s="22" t="s">
        <v>39</v>
      </c>
      <c r="C95" s="22" t="s">
        <v>40</v>
      </c>
      <c r="D95" s="22" t="s">
        <v>170</v>
      </c>
      <c r="E95" s="23" t="s">
        <v>187</v>
      </c>
      <c r="F95" s="22" t="s">
        <v>56</v>
      </c>
      <c r="G95" s="22" t="s">
        <v>53</v>
      </c>
      <c r="H95" s="22" t="s">
        <v>30</v>
      </c>
      <c r="I95" s="22" t="s">
        <v>172</v>
      </c>
      <c r="J95" s="22" t="s">
        <v>190</v>
      </c>
      <c r="K95" s="519" t="s">
        <v>969</v>
      </c>
      <c r="L95" s="521" t="s">
        <v>998</v>
      </c>
      <c r="M95" s="521" t="s">
        <v>999</v>
      </c>
      <c r="N95" s="521" t="s">
        <v>815</v>
      </c>
      <c r="O95" s="22" t="s">
        <v>174</v>
      </c>
      <c r="P95" s="426">
        <v>2020</v>
      </c>
      <c r="Q95" s="414">
        <f t="shared" ca="1" si="3"/>
        <v>894302.95553985599</v>
      </c>
      <c r="R95" s="335" t="str">
        <f t="shared" ca="1" si="4"/>
        <v>N/A</v>
      </c>
      <c r="S95" s="335" t="str">
        <f t="shared" ca="1" si="5"/>
        <v>N/A</v>
      </c>
      <c r="T95" s="429" t="s">
        <v>899</v>
      </c>
      <c r="U95" s="22"/>
      <c r="V95" s="24"/>
      <c r="W95" s="21"/>
      <c r="Y95" s="490"/>
    </row>
    <row r="96" spans="1:25" ht="60" hidden="1">
      <c r="A96" s="31">
        <v>93</v>
      </c>
      <c r="B96" s="22" t="s">
        <v>39</v>
      </c>
      <c r="C96" s="22" t="s">
        <v>40</v>
      </c>
      <c r="D96" s="22" t="s">
        <v>170</v>
      </c>
      <c r="E96" s="23" t="s">
        <v>187</v>
      </c>
      <c r="F96" s="22" t="s">
        <v>57</v>
      </c>
      <c r="G96" s="22" t="s">
        <v>53</v>
      </c>
      <c r="H96" s="22" t="s">
        <v>30</v>
      </c>
      <c r="I96" s="22" t="s">
        <v>172</v>
      </c>
      <c r="J96" s="22" t="s">
        <v>191</v>
      </c>
      <c r="K96" s="519" t="s">
        <v>969</v>
      </c>
      <c r="L96" s="521" t="s">
        <v>1000</v>
      </c>
      <c r="M96" s="521" t="s">
        <v>1001</v>
      </c>
      <c r="N96" s="521" t="s">
        <v>815</v>
      </c>
      <c r="O96" s="22" t="s">
        <v>174</v>
      </c>
      <c r="P96" s="426">
        <v>2020</v>
      </c>
      <c r="Q96" s="414">
        <f t="shared" ca="1" si="3"/>
        <v>597915.3801314208</v>
      </c>
      <c r="R96" s="335" t="str">
        <f t="shared" ca="1" si="4"/>
        <v>N/A</v>
      </c>
      <c r="S96" s="335" t="str">
        <f t="shared" ca="1" si="5"/>
        <v>N/A</v>
      </c>
      <c r="T96" s="429" t="s">
        <v>899</v>
      </c>
      <c r="U96" s="22"/>
      <c r="V96" s="24"/>
      <c r="W96" s="21"/>
      <c r="Y96" s="490"/>
    </row>
    <row r="97" spans="1:25" ht="60" hidden="1">
      <c r="A97" s="31">
        <v>94</v>
      </c>
      <c r="B97" s="22" t="s">
        <v>39</v>
      </c>
      <c r="C97" s="22" t="s">
        <v>40</v>
      </c>
      <c r="D97" s="22" t="s">
        <v>170</v>
      </c>
      <c r="E97" s="23" t="s">
        <v>187</v>
      </c>
      <c r="F97" s="22" t="s">
        <v>58</v>
      </c>
      <c r="G97" s="22" t="s">
        <v>53</v>
      </c>
      <c r="H97" s="22" t="s">
        <v>30</v>
      </c>
      <c r="I97" s="22" t="s">
        <v>172</v>
      </c>
      <c r="J97" s="22" t="s">
        <v>192</v>
      </c>
      <c r="K97" s="519" t="s">
        <v>969</v>
      </c>
      <c r="L97" s="521" t="s">
        <v>1002</v>
      </c>
      <c r="M97" s="521" t="s">
        <v>1003</v>
      </c>
      <c r="N97" s="521" t="s">
        <v>815</v>
      </c>
      <c r="O97" s="22" t="s">
        <v>174</v>
      </c>
      <c r="P97" s="426">
        <v>2020</v>
      </c>
      <c r="Q97" s="414">
        <f t="shared" ca="1" si="3"/>
        <v>24000.382445871961</v>
      </c>
      <c r="R97" s="335" t="str">
        <f t="shared" ca="1" si="4"/>
        <v>N/A</v>
      </c>
      <c r="S97" s="335" t="str">
        <f t="shared" ca="1" si="5"/>
        <v>N/A</v>
      </c>
      <c r="T97" s="429" t="s">
        <v>899</v>
      </c>
      <c r="U97" s="22" t="str">
        <f>Definitions!C$22</f>
        <v>AL 3826. Natural gas procurement for MF accomodations supply Baseline uses through one meter. Such as service will be billed under rates designated for GM-E, GM-BE or GM-BEC, as appropriate.</v>
      </c>
      <c r="V97" s="24"/>
      <c r="W97" s="21"/>
      <c r="Y97" s="490"/>
    </row>
    <row r="98" spans="1:25" ht="60" hidden="1">
      <c r="A98" s="31">
        <v>95</v>
      </c>
      <c r="B98" s="22" t="s">
        <v>39</v>
      </c>
      <c r="C98" s="22" t="s">
        <v>40</v>
      </c>
      <c r="D98" s="22" t="s">
        <v>170</v>
      </c>
      <c r="E98" s="23" t="s">
        <v>187</v>
      </c>
      <c r="F98" s="22" t="s">
        <v>60</v>
      </c>
      <c r="G98" s="22" t="s">
        <v>53</v>
      </c>
      <c r="H98" s="22" t="s">
        <v>30</v>
      </c>
      <c r="I98" s="22" t="s">
        <v>172</v>
      </c>
      <c r="J98" s="22" t="s">
        <v>193</v>
      </c>
      <c r="K98" s="519" t="s">
        <v>969</v>
      </c>
      <c r="L98" s="521" t="s">
        <v>1004</v>
      </c>
      <c r="M98" s="521" t="s">
        <v>1005</v>
      </c>
      <c r="N98" s="521" t="s">
        <v>815</v>
      </c>
      <c r="O98" s="22" t="s">
        <v>174</v>
      </c>
      <c r="P98" s="426">
        <v>2020</v>
      </c>
      <c r="Q98" s="414">
        <f t="shared" ca="1" si="3"/>
        <v>16742.97437430673</v>
      </c>
      <c r="R98" s="335" t="str">
        <f t="shared" ca="1" si="4"/>
        <v>N/A</v>
      </c>
      <c r="S98" s="335" t="str">
        <f t="shared" ca="1" si="5"/>
        <v>N/A</v>
      </c>
      <c r="T98" s="429" t="s">
        <v>899</v>
      </c>
      <c r="U98" s="22" t="str">
        <f>Definitions!C$22</f>
        <v>AL 3826. Natural gas procurement for MF accomodations supply Baseline uses through one meter. Such as service will be billed under rates designated for GM-E, GM-BE or GM-BEC, as appropriate.</v>
      </c>
      <c r="V98" s="24"/>
      <c r="W98" s="21"/>
      <c r="Y98" s="490"/>
    </row>
    <row r="99" spans="1:25" ht="60" hidden="1">
      <c r="A99" s="31">
        <v>96</v>
      </c>
      <c r="B99" s="22" t="s">
        <v>39</v>
      </c>
      <c r="C99" s="22" t="s">
        <v>40</v>
      </c>
      <c r="D99" s="22" t="s">
        <v>170</v>
      </c>
      <c r="E99" s="23" t="s">
        <v>187</v>
      </c>
      <c r="F99" s="22" t="s">
        <v>61</v>
      </c>
      <c r="G99" s="22" t="s">
        <v>53</v>
      </c>
      <c r="H99" s="22" t="s">
        <v>30</v>
      </c>
      <c r="I99" s="22" t="s">
        <v>172</v>
      </c>
      <c r="J99" s="22" t="s">
        <v>194</v>
      </c>
      <c r="K99" s="519" t="s">
        <v>969</v>
      </c>
      <c r="L99" s="521" t="s">
        <v>1006</v>
      </c>
      <c r="M99" s="521" t="s">
        <v>1007</v>
      </c>
      <c r="N99" s="521" t="s">
        <v>815</v>
      </c>
      <c r="O99" s="22" t="s">
        <v>174</v>
      </c>
      <c r="P99" s="426">
        <v>2020</v>
      </c>
      <c r="Q99" s="414">
        <f t="shared" ca="1" si="3"/>
        <v>1911.6941065122201</v>
      </c>
      <c r="R99" s="335" t="str">
        <f t="shared" ca="1" si="4"/>
        <v>N/A</v>
      </c>
      <c r="S99" s="335" t="str">
        <f t="shared" ca="1" si="5"/>
        <v>N/A</v>
      </c>
      <c r="T99" s="429" t="s">
        <v>899</v>
      </c>
      <c r="U99" s="22"/>
      <c r="V99" s="24"/>
      <c r="W99" s="21"/>
      <c r="Y99" s="490"/>
    </row>
    <row r="100" spans="1:25" ht="60" hidden="1">
      <c r="A100" s="31">
        <v>97</v>
      </c>
      <c r="B100" s="22" t="s">
        <v>39</v>
      </c>
      <c r="C100" s="22" t="s">
        <v>40</v>
      </c>
      <c r="D100" s="22" t="s">
        <v>170</v>
      </c>
      <c r="E100" s="23" t="s">
        <v>187</v>
      </c>
      <c r="F100" s="22" t="s">
        <v>62</v>
      </c>
      <c r="G100" s="22" t="s">
        <v>53</v>
      </c>
      <c r="H100" s="22" t="s">
        <v>30</v>
      </c>
      <c r="I100" s="22" t="s">
        <v>172</v>
      </c>
      <c r="J100" s="22" t="s">
        <v>195</v>
      </c>
      <c r="K100" s="519" t="s">
        <v>969</v>
      </c>
      <c r="L100" s="521" t="s">
        <v>1008</v>
      </c>
      <c r="M100" s="521" t="s">
        <v>1009</v>
      </c>
      <c r="N100" s="521" t="s">
        <v>815</v>
      </c>
      <c r="O100" s="22" t="s">
        <v>174</v>
      </c>
      <c r="P100" s="426">
        <v>2020</v>
      </c>
      <c r="Q100" s="414">
        <f t="shared" ca="1" si="3"/>
        <v>1273.0910692480127</v>
      </c>
      <c r="R100" s="335" t="str">
        <f t="shared" ca="1" si="4"/>
        <v>N/A</v>
      </c>
      <c r="S100" s="335" t="str">
        <f t="shared" ca="1" si="5"/>
        <v>N/A</v>
      </c>
      <c r="T100" s="429" t="s">
        <v>899</v>
      </c>
      <c r="U100" s="22"/>
      <c r="V100" s="24"/>
      <c r="W100" s="21"/>
      <c r="Y100" s="490"/>
    </row>
    <row r="101" spans="1:25" ht="60" hidden="1">
      <c r="A101" s="31">
        <v>98</v>
      </c>
      <c r="B101" s="22" t="s">
        <v>39</v>
      </c>
      <c r="C101" s="22" t="s">
        <v>40</v>
      </c>
      <c r="D101" s="22" t="s">
        <v>170</v>
      </c>
      <c r="E101" s="23" t="s">
        <v>187</v>
      </c>
      <c r="F101" s="22" t="s">
        <v>63</v>
      </c>
      <c r="G101" s="22" t="s">
        <v>53</v>
      </c>
      <c r="H101" s="22" t="s">
        <v>30</v>
      </c>
      <c r="I101" s="22" t="s">
        <v>172</v>
      </c>
      <c r="J101" s="22" t="s">
        <v>196</v>
      </c>
      <c r="K101" s="519" t="s">
        <v>969</v>
      </c>
      <c r="L101" s="521" t="s">
        <v>1010</v>
      </c>
      <c r="M101" s="521" t="s">
        <v>1011</v>
      </c>
      <c r="N101" s="521" t="s">
        <v>815</v>
      </c>
      <c r="O101" s="22" t="s">
        <v>174</v>
      </c>
      <c r="P101" s="426">
        <v>2020</v>
      </c>
      <c r="Q101" s="414">
        <f t="shared" ca="1" si="3"/>
        <v>4947734.3823678801</v>
      </c>
      <c r="R101" s="335" t="str">
        <f t="shared" ca="1" si="4"/>
        <v>N/A</v>
      </c>
      <c r="S101" s="335" t="str">
        <f t="shared" ca="1" si="5"/>
        <v>N/A</v>
      </c>
      <c r="T101" s="429" t="s">
        <v>899</v>
      </c>
      <c r="U101" s="22"/>
      <c r="V101" s="24"/>
      <c r="W101" s="21"/>
      <c r="Y101" s="490"/>
    </row>
    <row r="102" spans="1:25" ht="60" hidden="1">
      <c r="A102" s="31">
        <v>99</v>
      </c>
      <c r="B102" s="22" t="s">
        <v>39</v>
      </c>
      <c r="C102" s="22" t="s">
        <v>40</v>
      </c>
      <c r="D102" s="22" t="s">
        <v>170</v>
      </c>
      <c r="E102" s="23" t="s">
        <v>187</v>
      </c>
      <c r="F102" s="22" t="s">
        <v>64</v>
      </c>
      <c r="G102" s="22" t="s">
        <v>53</v>
      </c>
      <c r="H102" s="22" t="s">
        <v>30</v>
      </c>
      <c r="I102" s="22" t="s">
        <v>172</v>
      </c>
      <c r="J102" s="22" t="s">
        <v>197</v>
      </c>
      <c r="K102" s="519" t="s">
        <v>969</v>
      </c>
      <c r="L102" s="521" t="s">
        <v>1012</v>
      </c>
      <c r="M102" s="521" t="s">
        <v>1013</v>
      </c>
      <c r="N102" s="521" t="s">
        <v>815</v>
      </c>
      <c r="O102" s="22" t="s">
        <v>174</v>
      </c>
      <c r="P102" s="426">
        <v>2020</v>
      </c>
      <c r="Q102" s="414">
        <f t="shared" ca="1" si="3"/>
        <v>3292261.1533036013</v>
      </c>
      <c r="R102" s="335" t="str">
        <f t="shared" ca="1" si="4"/>
        <v>N/A</v>
      </c>
      <c r="S102" s="335" t="str">
        <f t="shared" ca="1" si="5"/>
        <v>N/A</v>
      </c>
      <c r="T102" s="429" t="s">
        <v>899</v>
      </c>
      <c r="U102" s="22"/>
      <c r="V102" s="24"/>
      <c r="W102" s="21"/>
      <c r="Y102" s="490"/>
    </row>
    <row r="103" spans="1:25" ht="60" hidden="1">
      <c r="A103" s="31">
        <v>100</v>
      </c>
      <c r="B103" s="22" t="s">
        <v>39</v>
      </c>
      <c r="C103" s="22" t="s">
        <v>40</v>
      </c>
      <c r="D103" s="22" t="s">
        <v>170</v>
      </c>
      <c r="E103" s="23" t="s">
        <v>187</v>
      </c>
      <c r="F103" s="22" t="s">
        <v>65</v>
      </c>
      <c r="G103" s="22" t="s">
        <v>53</v>
      </c>
      <c r="H103" s="22" t="s">
        <v>30</v>
      </c>
      <c r="I103" s="22" t="s">
        <v>172</v>
      </c>
      <c r="J103" s="22" t="s">
        <v>198</v>
      </c>
      <c r="K103" s="519" t="s">
        <v>969</v>
      </c>
      <c r="L103" s="521" t="s">
        <v>1014</v>
      </c>
      <c r="M103" s="521" t="s">
        <v>1015</v>
      </c>
      <c r="N103" s="521" t="s">
        <v>815</v>
      </c>
      <c r="O103" s="22" t="s">
        <v>174</v>
      </c>
      <c r="P103" s="426">
        <v>2020</v>
      </c>
      <c r="Q103" s="414">
        <f t="shared" ca="1" si="3"/>
        <v>174837.23265558452</v>
      </c>
      <c r="R103" s="335" t="str">
        <f t="shared" ca="1" si="4"/>
        <v>N/A</v>
      </c>
      <c r="S103" s="335" t="str">
        <f t="shared" ca="1" si="5"/>
        <v>N/A</v>
      </c>
      <c r="T103" s="429" t="s">
        <v>899</v>
      </c>
      <c r="U103" s="22" t="str">
        <f>Definitions!C$22</f>
        <v>AL 3826. Natural gas procurement for MF accomodations supply Baseline uses through one meter. Such as service will be billed under rates designated for GM-E, GM-BE or GM-BEC, as appropriate.</v>
      </c>
      <c r="V103" s="24"/>
      <c r="W103" s="21"/>
      <c r="Y103" s="490"/>
    </row>
    <row r="104" spans="1:25" ht="60" hidden="1">
      <c r="A104" s="31">
        <v>101</v>
      </c>
      <c r="B104" s="22" t="s">
        <v>39</v>
      </c>
      <c r="C104" s="22" t="s">
        <v>40</v>
      </c>
      <c r="D104" s="22" t="s">
        <v>170</v>
      </c>
      <c r="E104" s="23" t="s">
        <v>187</v>
      </c>
      <c r="F104" s="22" t="s">
        <v>66</v>
      </c>
      <c r="G104" s="22" t="s">
        <v>53</v>
      </c>
      <c r="H104" s="22" t="s">
        <v>30</v>
      </c>
      <c r="I104" s="22" t="s">
        <v>172</v>
      </c>
      <c r="J104" s="22" t="s">
        <v>199</v>
      </c>
      <c r="K104" s="519" t="s">
        <v>969</v>
      </c>
      <c r="L104" s="521" t="s">
        <v>1016</v>
      </c>
      <c r="M104" s="521" t="s">
        <v>1017</v>
      </c>
      <c r="N104" s="521" t="s">
        <v>815</v>
      </c>
      <c r="O104" s="22" t="s">
        <v>174</v>
      </c>
      <c r="P104" s="426">
        <v>2020</v>
      </c>
      <c r="Q104" s="414">
        <f t="shared" ca="1" si="3"/>
        <v>117291.16209752079</v>
      </c>
      <c r="R104" s="335" t="str">
        <f t="shared" ca="1" si="4"/>
        <v>N/A</v>
      </c>
      <c r="S104" s="335" t="str">
        <f t="shared" ca="1" si="5"/>
        <v>N/A</v>
      </c>
      <c r="T104" s="429" t="s">
        <v>899</v>
      </c>
      <c r="U104" s="22" t="str">
        <f>Definitions!C$22</f>
        <v>AL 3826. Natural gas procurement for MF accomodations supply Baseline uses through one meter. Such as service will be billed under rates designated for GM-E, GM-BE or GM-BEC, as appropriate.</v>
      </c>
      <c r="V104" s="24"/>
      <c r="W104" s="21"/>
      <c r="Y104" s="490"/>
    </row>
    <row r="105" spans="1:25" ht="60" hidden="1">
      <c r="A105" s="31">
        <v>102</v>
      </c>
      <c r="B105" s="22" t="s">
        <v>39</v>
      </c>
      <c r="C105" s="22" t="s">
        <v>40</v>
      </c>
      <c r="D105" s="22" t="s">
        <v>170</v>
      </c>
      <c r="E105" s="23" t="s">
        <v>200</v>
      </c>
      <c r="F105" s="22" t="s">
        <v>52</v>
      </c>
      <c r="G105" s="22" t="s">
        <v>53</v>
      </c>
      <c r="H105" s="22" t="s">
        <v>30</v>
      </c>
      <c r="I105" s="22" t="s">
        <v>172</v>
      </c>
      <c r="J105" s="22" t="s">
        <v>201</v>
      </c>
      <c r="K105" s="519" t="s">
        <v>969</v>
      </c>
      <c r="L105" s="521" t="s">
        <v>1018</v>
      </c>
      <c r="M105" s="521" t="s">
        <v>1019</v>
      </c>
      <c r="N105" s="521" t="s">
        <v>815</v>
      </c>
      <c r="O105" s="22" t="s">
        <v>174</v>
      </c>
      <c r="P105" s="426">
        <v>2020</v>
      </c>
      <c r="Q105" s="414">
        <f t="shared" ca="1" si="3"/>
        <v>44.203631837464549</v>
      </c>
      <c r="R105" s="335" t="str">
        <f t="shared" ca="1" si="4"/>
        <v>N/A</v>
      </c>
      <c r="S105" s="335" t="str">
        <f t="shared" ca="1" si="5"/>
        <v>N/A</v>
      </c>
      <c r="T105" s="429" t="s">
        <v>899</v>
      </c>
      <c r="U105" s="22"/>
      <c r="V105" s="24"/>
      <c r="W105" s="21"/>
      <c r="Y105" s="490"/>
    </row>
    <row r="106" spans="1:25" ht="60" hidden="1">
      <c r="A106" s="31">
        <v>103</v>
      </c>
      <c r="B106" s="22" t="s">
        <v>39</v>
      </c>
      <c r="C106" s="22" t="s">
        <v>40</v>
      </c>
      <c r="D106" s="22" t="s">
        <v>170</v>
      </c>
      <c r="E106" s="23" t="s">
        <v>200</v>
      </c>
      <c r="F106" s="22" t="s">
        <v>55</v>
      </c>
      <c r="G106" s="22" t="s">
        <v>53</v>
      </c>
      <c r="H106" s="22" t="s">
        <v>30</v>
      </c>
      <c r="I106" s="22" t="s">
        <v>172</v>
      </c>
      <c r="J106" s="22" t="s">
        <v>202</v>
      </c>
      <c r="K106" s="519" t="s">
        <v>969</v>
      </c>
      <c r="L106" s="521" t="s">
        <v>1020</v>
      </c>
      <c r="M106" s="521" t="s">
        <v>1021</v>
      </c>
      <c r="N106" s="521" t="s">
        <v>815</v>
      </c>
      <c r="O106" s="22" t="s">
        <v>174</v>
      </c>
      <c r="P106" s="426">
        <v>2020</v>
      </c>
      <c r="Q106" s="414">
        <f t="shared" ca="1" si="3"/>
        <v>26.522179629427182</v>
      </c>
      <c r="R106" s="335" t="str">
        <f t="shared" ca="1" si="4"/>
        <v>N/A</v>
      </c>
      <c r="S106" s="335" t="str">
        <f t="shared" ca="1" si="5"/>
        <v>N/A</v>
      </c>
      <c r="T106" s="429" t="s">
        <v>899</v>
      </c>
      <c r="U106" s="22"/>
      <c r="V106" s="24"/>
      <c r="W106" s="21"/>
      <c r="Y106" s="490"/>
    </row>
    <row r="107" spans="1:25" ht="60" hidden="1">
      <c r="A107" s="31">
        <v>104</v>
      </c>
      <c r="B107" s="22" t="s">
        <v>39</v>
      </c>
      <c r="C107" s="22" t="s">
        <v>40</v>
      </c>
      <c r="D107" s="22" t="s">
        <v>170</v>
      </c>
      <c r="E107" s="23" t="s">
        <v>200</v>
      </c>
      <c r="F107" s="22" t="s">
        <v>56</v>
      </c>
      <c r="G107" s="22" t="s">
        <v>53</v>
      </c>
      <c r="H107" s="22" t="s">
        <v>30</v>
      </c>
      <c r="I107" s="22" t="s">
        <v>172</v>
      </c>
      <c r="J107" s="22" t="s">
        <v>203</v>
      </c>
      <c r="K107" s="519" t="s">
        <v>969</v>
      </c>
      <c r="L107" s="521" t="s">
        <v>1022</v>
      </c>
      <c r="M107" s="521" t="s">
        <v>1023</v>
      </c>
      <c r="N107" s="521" t="s">
        <v>815</v>
      </c>
      <c r="O107" s="22" t="s">
        <v>174</v>
      </c>
      <c r="P107" s="426">
        <v>2020</v>
      </c>
      <c r="Q107" s="414">
        <f t="shared" ca="1" si="3"/>
        <v>142106.93686552515</v>
      </c>
      <c r="R107" s="335" t="str">
        <f t="shared" ca="1" si="4"/>
        <v>N/A</v>
      </c>
      <c r="S107" s="335" t="str">
        <f t="shared" ca="1" si="5"/>
        <v>N/A</v>
      </c>
      <c r="T107" s="429" t="s">
        <v>899</v>
      </c>
      <c r="U107" s="22"/>
      <c r="V107" s="24"/>
      <c r="W107" s="21"/>
      <c r="Y107" s="490"/>
    </row>
    <row r="108" spans="1:25" ht="60" hidden="1">
      <c r="A108" s="31">
        <v>105</v>
      </c>
      <c r="B108" s="22" t="s">
        <v>39</v>
      </c>
      <c r="C108" s="22" t="s">
        <v>40</v>
      </c>
      <c r="D108" s="22" t="s">
        <v>170</v>
      </c>
      <c r="E108" s="23" t="s">
        <v>200</v>
      </c>
      <c r="F108" s="22" t="s">
        <v>57</v>
      </c>
      <c r="G108" s="22" t="s">
        <v>53</v>
      </c>
      <c r="H108" s="22" t="s">
        <v>30</v>
      </c>
      <c r="I108" s="22" t="s">
        <v>172</v>
      </c>
      <c r="J108" s="22" t="s">
        <v>204</v>
      </c>
      <c r="K108" s="519" t="s">
        <v>969</v>
      </c>
      <c r="L108" s="521" t="s">
        <v>1024</v>
      </c>
      <c r="M108" s="521" t="s">
        <v>1025</v>
      </c>
      <c r="N108" s="521" t="s">
        <v>815</v>
      </c>
      <c r="O108" s="22" t="s">
        <v>174</v>
      </c>
      <c r="P108" s="426">
        <v>2020</v>
      </c>
      <c r="Q108" s="414">
        <f t="shared" ca="1" si="3"/>
        <v>85264.163813361665</v>
      </c>
      <c r="R108" s="335" t="str">
        <f t="shared" ca="1" si="4"/>
        <v>N/A</v>
      </c>
      <c r="S108" s="335" t="str">
        <f t="shared" ca="1" si="5"/>
        <v>N/A</v>
      </c>
      <c r="T108" s="429" t="s">
        <v>899</v>
      </c>
      <c r="U108" s="22"/>
      <c r="V108" s="24"/>
      <c r="W108" s="21"/>
      <c r="Y108" s="490"/>
    </row>
    <row r="109" spans="1:25" ht="60" hidden="1">
      <c r="A109" s="31">
        <v>106</v>
      </c>
      <c r="B109" s="22" t="s">
        <v>39</v>
      </c>
      <c r="C109" s="22" t="s">
        <v>40</v>
      </c>
      <c r="D109" s="22" t="s">
        <v>170</v>
      </c>
      <c r="E109" s="23" t="s">
        <v>200</v>
      </c>
      <c r="F109" s="22" t="s">
        <v>58</v>
      </c>
      <c r="G109" s="22" t="s">
        <v>53</v>
      </c>
      <c r="H109" s="22" t="s">
        <v>30</v>
      </c>
      <c r="I109" s="22" t="s">
        <v>172</v>
      </c>
      <c r="J109" s="22" t="s">
        <v>205</v>
      </c>
      <c r="K109" s="519" t="s">
        <v>969</v>
      </c>
      <c r="L109" s="521" t="s">
        <v>1026</v>
      </c>
      <c r="M109" s="521" t="s">
        <v>1027</v>
      </c>
      <c r="N109" s="521" t="s">
        <v>815</v>
      </c>
      <c r="O109" s="22" t="s">
        <v>174</v>
      </c>
      <c r="P109" s="426">
        <v>2020</v>
      </c>
      <c r="Q109" s="414">
        <f t="shared" ca="1" si="3"/>
        <v>5203.5126562540627</v>
      </c>
      <c r="R109" s="335" t="str">
        <f t="shared" ca="1" si="4"/>
        <v>N/A</v>
      </c>
      <c r="S109" s="335" t="str">
        <f t="shared" ca="1" si="5"/>
        <v>N/A</v>
      </c>
      <c r="T109" s="429" t="s">
        <v>899</v>
      </c>
      <c r="U109" s="22" t="str">
        <f>Definitions!C$21</f>
        <v>AL 3826. Natural gas supplied through a single meter to common facilities only, will be billed under rates GM-C, GM-BC or GM-BCC, as appropriate.</v>
      </c>
      <c r="V109" s="24"/>
      <c r="W109" s="21"/>
      <c r="Y109" s="490"/>
    </row>
    <row r="110" spans="1:25" ht="60" hidden="1">
      <c r="A110" s="31">
        <v>107</v>
      </c>
      <c r="B110" s="22" t="s">
        <v>39</v>
      </c>
      <c r="C110" s="22" t="s">
        <v>40</v>
      </c>
      <c r="D110" s="22" t="s">
        <v>170</v>
      </c>
      <c r="E110" s="23" t="s">
        <v>200</v>
      </c>
      <c r="F110" s="22" t="s">
        <v>60</v>
      </c>
      <c r="G110" s="22" t="s">
        <v>53</v>
      </c>
      <c r="H110" s="22" t="s">
        <v>30</v>
      </c>
      <c r="I110" s="22" t="s">
        <v>172</v>
      </c>
      <c r="J110" s="22" t="s">
        <v>206</v>
      </c>
      <c r="K110" s="519" t="s">
        <v>969</v>
      </c>
      <c r="L110" s="521" t="s">
        <v>1028</v>
      </c>
      <c r="M110" s="521" t="s">
        <v>1029</v>
      </c>
      <c r="N110" s="521" t="s">
        <v>815</v>
      </c>
      <c r="O110" s="22" t="s">
        <v>174</v>
      </c>
      <c r="P110" s="426">
        <v>2020</v>
      </c>
      <c r="Q110" s="414">
        <f t="shared" ca="1" si="3"/>
        <v>3525.9652979913144</v>
      </c>
      <c r="R110" s="335" t="str">
        <f t="shared" ca="1" si="4"/>
        <v>N/A</v>
      </c>
      <c r="S110" s="335" t="str">
        <f t="shared" ca="1" si="5"/>
        <v>N/A</v>
      </c>
      <c r="T110" s="429" t="s">
        <v>899</v>
      </c>
      <c r="U110" s="22" t="str">
        <f>Definitions!C$21</f>
        <v>AL 3826. Natural gas supplied through a single meter to common facilities only, will be billed under rates GM-C, GM-BC or GM-BCC, as appropriate.</v>
      </c>
      <c r="V110" s="24"/>
      <c r="W110" s="21"/>
      <c r="Y110" s="490"/>
    </row>
    <row r="111" spans="1:25" ht="60" hidden="1">
      <c r="A111" s="31">
        <v>108</v>
      </c>
      <c r="B111" s="22" t="s">
        <v>39</v>
      </c>
      <c r="C111" s="22" t="s">
        <v>40</v>
      </c>
      <c r="D111" s="22" t="s">
        <v>170</v>
      </c>
      <c r="E111" s="23" t="s">
        <v>200</v>
      </c>
      <c r="F111" s="22" t="s">
        <v>61</v>
      </c>
      <c r="G111" s="22" t="s">
        <v>53</v>
      </c>
      <c r="H111" s="22" t="s">
        <v>30</v>
      </c>
      <c r="I111" s="22" t="s">
        <v>172</v>
      </c>
      <c r="J111" s="22" t="s">
        <v>207</v>
      </c>
      <c r="K111" s="519" t="s">
        <v>969</v>
      </c>
      <c r="L111" s="521" t="s">
        <v>1030</v>
      </c>
      <c r="M111" s="521" t="s">
        <v>1031</v>
      </c>
      <c r="N111" s="521" t="s">
        <v>815</v>
      </c>
      <c r="O111" s="22" t="s">
        <v>174</v>
      </c>
      <c r="P111" s="426">
        <v>2020</v>
      </c>
      <c r="Q111" s="414">
        <f t="shared" ca="1" si="3"/>
        <v>175.62397211619006</v>
      </c>
      <c r="R111" s="335" t="str">
        <f t="shared" ca="1" si="4"/>
        <v>N/A</v>
      </c>
      <c r="S111" s="335" t="str">
        <f t="shared" ca="1" si="5"/>
        <v>N/A</v>
      </c>
      <c r="T111" s="429" t="s">
        <v>899</v>
      </c>
      <c r="U111" s="22"/>
      <c r="V111" s="24"/>
      <c r="W111" s="21"/>
      <c r="Y111" s="490"/>
    </row>
    <row r="112" spans="1:25" ht="60" hidden="1">
      <c r="A112" s="31">
        <v>109</v>
      </c>
      <c r="B112" s="22" t="s">
        <v>39</v>
      </c>
      <c r="C112" s="22" t="s">
        <v>40</v>
      </c>
      <c r="D112" s="22" t="s">
        <v>170</v>
      </c>
      <c r="E112" s="23" t="s">
        <v>200</v>
      </c>
      <c r="F112" s="22" t="s">
        <v>62</v>
      </c>
      <c r="G112" s="22" t="s">
        <v>53</v>
      </c>
      <c r="H112" s="22" t="s">
        <v>30</v>
      </c>
      <c r="I112" s="22" t="s">
        <v>172</v>
      </c>
      <c r="J112" s="22" t="s">
        <v>208</v>
      </c>
      <c r="K112" s="519" t="s">
        <v>969</v>
      </c>
      <c r="L112" s="521" t="s">
        <v>1032</v>
      </c>
      <c r="M112" s="521" t="s">
        <v>1033</v>
      </c>
      <c r="N112" s="521" t="s">
        <v>815</v>
      </c>
      <c r="O112" s="22" t="s">
        <v>174</v>
      </c>
      <c r="P112" s="426">
        <v>2020</v>
      </c>
      <c r="Q112" s="414">
        <f t="shared" ca="1" si="3"/>
        <v>105.37438536331554</v>
      </c>
      <c r="R112" s="335" t="str">
        <f t="shared" ca="1" si="4"/>
        <v>N/A</v>
      </c>
      <c r="S112" s="335" t="str">
        <f t="shared" ca="1" si="5"/>
        <v>N/A</v>
      </c>
      <c r="T112" s="429" t="s">
        <v>899</v>
      </c>
      <c r="U112" s="22"/>
      <c r="V112" s="24"/>
      <c r="W112" s="21"/>
      <c r="Y112" s="490"/>
    </row>
    <row r="113" spans="1:25" ht="60" hidden="1">
      <c r="A113" s="31">
        <v>110</v>
      </c>
      <c r="B113" s="22" t="s">
        <v>39</v>
      </c>
      <c r="C113" s="22" t="s">
        <v>40</v>
      </c>
      <c r="D113" s="22" t="s">
        <v>170</v>
      </c>
      <c r="E113" s="23" t="s">
        <v>200</v>
      </c>
      <c r="F113" s="22" t="s">
        <v>63</v>
      </c>
      <c r="G113" s="22" t="s">
        <v>53</v>
      </c>
      <c r="H113" s="22" t="s">
        <v>30</v>
      </c>
      <c r="I113" s="22" t="s">
        <v>172</v>
      </c>
      <c r="J113" s="22" t="s">
        <v>209</v>
      </c>
      <c r="K113" s="519" t="s">
        <v>969</v>
      </c>
      <c r="L113" s="521" t="s">
        <v>1034</v>
      </c>
      <c r="M113" s="521" t="s">
        <v>1035</v>
      </c>
      <c r="N113" s="521" t="s">
        <v>815</v>
      </c>
      <c r="O113" s="22" t="s">
        <v>174</v>
      </c>
      <c r="P113" s="426">
        <v>2020</v>
      </c>
      <c r="Q113" s="414">
        <f t="shared" ca="1" si="3"/>
        <v>872214.08680340752</v>
      </c>
      <c r="R113" s="335" t="str">
        <f t="shared" ca="1" si="4"/>
        <v>N/A</v>
      </c>
      <c r="S113" s="335" t="str">
        <f t="shared" ca="1" si="5"/>
        <v>N/A</v>
      </c>
      <c r="T113" s="429" t="s">
        <v>899</v>
      </c>
      <c r="U113" s="22"/>
      <c r="V113" s="24"/>
      <c r="W113" s="21"/>
      <c r="Y113" s="490"/>
    </row>
    <row r="114" spans="1:25" ht="60" hidden="1">
      <c r="A114" s="31">
        <v>111</v>
      </c>
      <c r="B114" s="22" t="s">
        <v>39</v>
      </c>
      <c r="C114" s="22" t="s">
        <v>40</v>
      </c>
      <c r="D114" s="22" t="s">
        <v>170</v>
      </c>
      <c r="E114" s="23" t="s">
        <v>200</v>
      </c>
      <c r="F114" s="22" t="s">
        <v>64</v>
      </c>
      <c r="G114" s="22" t="s">
        <v>53</v>
      </c>
      <c r="H114" s="22" t="s">
        <v>30</v>
      </c>
      <c r="I114" s="22" t="s">
        <v>172</v>
      </c>
      <c r="J114" s="22" t="s">
        <v>210</v>
      </c>
      <c r="K114" s="519" t="s">
        <v>969</v>
      </c>
      <c r="L114" s="521" t="s">
        <v>1036</v>
      </c>
      <c r="M114" s="521" t="s">
        <v>1037</v>
      </c>
      <c r="N114" s="521" t="s">
        <v>815</v>
      </c>
      <c r="O114" s="22" t="s">
        <v>174</v>
      </c>
      <c r="P114" s="426">
        <v>2020</v>
      </c>
      <c r="Q114" s="414">
        <f t="shared" ca="1" si="3"/>
        <v>523328.46247964632</v>
      </c>
      <c r="R114" s="335" t="str">
        <f t="shared" ca="1" si="4"/>
        <v>N/A</v>
      </c>
      <c r="S114" s="335" t="str">
        <f t="shared" ca="1" si="5"/>
        <v>N/A</v>
      </c>
      <c r="T114" s="429" t="s">
        <v>899</v>
      </c>
      <c r="U114" s="22"/>
      <c r="V114" s="24"/>
      <c r="W114" s="21"/>
      <c r="Y114" s="490"/>
    </row>
    <row r="115" spans="1:25" ht="60" hidden="1">
      <c r="A115" s="31">
        <v>112</v>
      </c>
      <c r="B115" s="22" t="s">
        <v>39</v>
      </c>
      <c r="C115" s="22" t="s">
        <v>40</v>
      </c>
      <c r="D115" s="22" t="s">
        <v>170</v>
      </c>
      <c r="E115" s="23" t="s">
        <v>200</v>
      </c>
      <c r="F115" s="22" t="s">
        <v>65</v>
      </c>
      <c r="G115" s="22" t="s">
        <v>53</v>
      </c>
      <c r="H115" s="22" t="s">
        <v>30</v>
      </c>
      <c r="I115" s="22" t="s">
        <v>172</v>
      </c>
      <c r="J115" s="22" t="s">
        <v>211</v>
      </c>
      <c r="K115" s="519" t="s">
        <v>969</v>
      </c>
      <c r="L115" s="521" t="s">
        <v>1038</v>
      </c>
      <c r="M115" s="521" t="s">
        <v>1039</v>
      </c>
      <c r="N115" s="521" t="s">
        <v>815</v>
      </c>
      <c r="O115" s="22" t="s">
        <v>174</v>
      </c>
      <c r="P115" s="426">
        <v>2020</v>
      </c>
      <c r="Q115" s="414">
        <f t="shared" ca="1" si="3"/>
        <v>26231.327729491735</v>
      </c>
      <c r="R115" s="335" t="str">
        <f t="shared" ca="1" si="4"/>
        <v>N/A</v>
      </c>
      <c r="S115" s="335" t="str">
        <f t="shared" ca="1" si="5"/>
        <v>N/A</v>
      </c>
      <c r="T115" s="429" t="s">
        <v>899</v>
      </c>
      <c r="U115" s="22" t="str">
        <f>Definitions!C$21</f>
        <v>AL 3826. Natural gas supplied through a single meter to common facilities only, will be billed under rates GM-C, GM-BC or GM-BCC, as appropriate.</v>
      </c>
      <c r="V115" s="24"/>
      <c r="W115" s="21"/>
      <c r="Y115" s="490"/>
    </row>
    <row r="116" spans="1:25" ht="60" hidden="1">
      <c r="A116" s="31">
        <v>113</v>
      </c>
      <c r="B116" s="22" t="s">
        <v>39</v>
      </c>
      <c r="C116" s="22" t="s">
        <v>40</v>
      </c>
      <c r="D116" s="22" t="s">
        <v>170</v>
      </c>
      <c r="E116" s="23" t="s">
        <v>200</v>
      </c>
      <c r="F116" s="22" t="s">
        <v>66</v>
      </c>
      <c r="G116" s="22" t="s">
        <v>53</v>
      </c>
      <c r="H116" s="22" t="s">
        <v>30</v>
      </c>
      <c r="I116" s="22" t="s">
        <v>172</v>
      </c>
      <c r="J116" s="22" t="s">
        <v>212</v>
      </c>
      <c r="K116" s="519" t="s">
        <v>969</v>
      </c>
      <c r="L116" s="521" t="s">
        <v>1040</v>
      </c>
      <c r="M116" s="521" t="s">
        <v>1041</v>
      </c>
      <c r="N116" s="521" t="s">
        <v>815</v>
      </c>
      <c r="O116" s="22" t="s">
        <v>174</v>
      </c>
      <c r="P116" s="426">
        <v>2020</v>
      </c>
      <c r="Q116" s="414">
        <f t="shared" ca="1" si="3"/>
        <v>17232.474361115539</v>
      </c>
      <c r="R116" s="335" t="str">
        <f t="shared" ca="1" si="4"/>
        <v>N/A</v>
      </c>
      <c r="S116" s="335" t="str">
        <f t="shared" ca="1" si="5"/>
        <v>N/A</v>
      </c>
      <c r="T116" s="429" t="s">
        <v>899</v>
      </c>
      <c r="U116" s="22" t="str">
        <f>Definitions!C$21</f>
        <v>AL 3826. Natural gas supplied through a single meter to common facilities only, will be billed under rates GM-C, GM-BC or GM-BCC, as appropriate.</v>
      </c>
      <c r="V116" s="24"/>
      <c r="W116" s="21"/>
      <c r="Y116" s="490"/>
    </row>
    <row r="117" spans="1:25" ht="30" hidden="1">
      <c r="A117" s="31">
        <v>114</v>
      </c>
      <c r="B117" s="22" t="s">
        <v>39</v>
      </c>
      <c r="C117" s="22" t="s">
        <v>40</v>
      </c>
      <c r="D117" s="22" t="s">
        <v>213</v>
      </c>
      <c r="E117" s="23" t="s">
        <v>42</v>
      </c>
      <c r="F117" s="22" t="s">
        <v>43</v>
      </c>
      <c r="G117" s="22" t="s">
        <v>44</v>
      </c>
      <c r="H117" s="22" t="s">
        <v>30</v>
      </c>
      <c r="I117" s="22" t="s">
        <v>214</v>
      </c>
      <c r="J117" s="19" t="s">
        <v>46</v>
      </c>
      <c r="K117" s="519" t="s">
        <v>969</v>
      </c>
      <c r="L117" s="521" t="s">
        <v>1042</v>
      </c>
      <c r="M117" s="521" t="s">
        <v>1043</v>
      </c>
      <c r="N117" s="521" t="s">
        <v>815</v>
      </c>
      <c r="O117" s="22" t="s">
        <v>174</v>
      </c>
      <c r="P117" s="426">
        <v>2020</v>
      </c>
      <c r="Q117" s="414">
        <f t="shared" ca="1" si="3"/>
        <v>13879.125282212352</v>
      </c>
      <c r="R117" s="335" t="str">
        <f t="shared" ca="1" si="4"/>
        <v>N/A</v>
      </c>
      <c r="S117" s="335" t="str">
        <f t="shared" ca="1" si="5"/>
        <v>N/A</v>
      </c>
      <c r="T117" s="429" t="s">
        <v>48</v>
      </c>
      <c r="U117" s="22" t="s">
        <v>215</v>
      </c>
      <c r="V117" s="24"/>
      <c r="W117" s="21"/>
      <c r="Y117" s="490"/>
    </row>
    <row r="118" spans="1:25" ht="45">
      <c r="A118" s="31">
        <v>115</v>
      </c>
      <c r="B118" s="22" t="s">
        <v>39</v>
      </c>
      <c r="C118" s="22" t="s">
        <v>216</v>
      </c>
      <c r="D118" s="22" t="s">
        <v>217</v>
      </c>
      <c r="E118" s="23" t="s">
        <v>218</v>
      </c>
      <c r="F118" s="22" t="s">
        <v>108</v>
      </c>
      <c r="G118" s="22" t="s">
        <v>219</v>
      </c>
      <c r="H118" s="22" t="s">
        <v>30</v>
      </c>
      <c r="I118" s="22" t="s">
        <v>220</v>
      </c>
      <c r="J118" s="22" t="s">
        <v>221</v>
      </c>
      <c r="K118" s="519" t="s">
        <v>969</v>
      </c>
      <c r="L118" s="521" t="s">
        <v>1044</v>
      </c>
      <c r="M118" s="521" t="s">
        <v>1045</v>
      </c>
      <c r="N118" s="521" t="s">
        <v>885</v>
      </c>
      <c r="O118" s="22" t="s">
        <v>174</v>
      </c>
      <c r="P118" s="426">
        <v>2020</v>
      </c>
      <c r="Q118" s="719">
        <f t="shared" ca="1" si="3"/>
        <v>0.26225631959406365</v>
      </c>
      <c r="R118" s="335">
        <f t="shared" ca="1" si="4"/>
        <v>0</v>
      </c>
      <c r="S118" s="335">
        <f t="shared" ca="1" si="5"/>
        <v>0</v>
      </c>
      <c r="T118" s="429"/>
      <c r="U118" s="22"/>
      <c r="V118" s="24"/>
      <c r="W118" s="21"/>
      <c r="Y118" s="490"/>
    </row>
    <row r="119" spans="1:25" ht="45">
      <c r="A119" s="31">
        <v>116</v>
      </c>
      <c r="B119" s="22" t="s">
        <v>39</v>
      </c>
      <c r="C119" s="22" t="s">
        <v>216</v>
      </c>
      <c r="D119" s="22" t="s">
        <v>217</v>
      </c>
      <c r="E119" s="23" t="s">
        <v>218</v>
      </c>
      <c r="F119" s="22" t="s">
        <v>112</v>
      </c>
      <c r="G119" s="22" t="s">
        <v>219</v>
      </c>
      <c r="H119" s="22" t="s">
        <v>30</v>
      </c>
      <c r="I119" s="22" t="s">
        <v>220</v>
      </c>
      <c r="J119" s="22" t="s">
        <v>222</v>
      </c>
      <c r="K119" s="519" t="s">
        <v>969</v>
      </c>
      <c r="L119" s="521" t="s">
        <v>1046</v>
      </c>
      <c r="M119" s="521" t="s">
        <v>1047</v>
      </c>
      <c r="N119" s="521" t="s">
        <v>885</v>
      </c>
      <c r="O119" s="22" t="s">
        <v>174</v>
      </c>
      <c r="P119" s="426">
        <v>2020</v>
      </c>
      <c r="Q119" s="414">
        <f t="shared" ca="1" si="3"/>
        <v>1185.0003295766467</v>
      </c>
      <c r="R119" s="335">
        <f t="shared" ca="1" si="4"/>
        <v>0</v>
      </c>
      <c r="S119" s="335">
        <f t="shared" ca="1" si="5"/>
        <v>0</v>
      </c>
      <c r="T119" s="429"/>
      <c r="U119" s="22"/>
      <c r="V119" s="24"/>
      <c r="W119" s="21"/>
      <c r="Y119" s="490"/>
    </row>
    <row r="120" spans="1:25" ht="90">
      <c r="A120" s="31">
        <v>117</v>
      </c>
      <c r="B120" s="22" t="s">
        <v>39</v>
      </c>
      <c r="C120" s="22" t="s">
        <v>216</v>
      </c>
      <c r="D120" s="22" t="s">
        <v>217</v>
      </c>
      <c r="E120" s="23" t="s">
        <v>218</v>
      </c>
      <c r="F120" s="22" t="s">
        <v>114</v>
      </c>
      <c r="G120" s="22" t="s">
        <v>219</v>
      </c>
      <c r="H120" s="22" t="s">
        <v>30</v>
      </c>
      <c r="I120" s="22" t="s">
        <v>220</v>
      </c>
      <c r="J120" s="22" t="s">
        <v>223</v>
      </c>
      <c r="K120" s="519" t="s">
        <v>969</v>
      </c>
      <c r="L120" s="521" t="s">
        <v>1048</v>
      </c>
      <c r="M120" s="521" t="s">
        <v>1049</v>
      </c>
      <c r="N120" s="521" t="s">
        <v>885</v>
      </c>
      <c r="O120" s="22" t="s">
        <v>174</v>
      </c>
      <c r="P120" s="426">
        <v>2020</v>
      </c>
      <c r="Q120" s="414">
        <f t="shared" ca="1" si="3"/>
        <v>30.415937146294521</v>
      </c>
      <c r="R120" s="335">
        <f t="shared" ca="1" si="4"/>
        <v>0</v>
      </c>
      <c r="S120" s="335">
        <f t="shared" ca="1" si="5"/>
        <v>0</v>
      </c>
      <c r="T120" s="429" t="s">
        <v>224</v>
      </c>
      <c r="U120" s="22" t="s">
        <v>225</v>
      </c>
      <c r="V120" s="24"/>
      <c r="W120" s="21"/>
      <c r="Y120" s="490"/>
    </row>
    <row r="121" spans="1:25" ht="45">
      <c r="A121" s="31">
        <v>118</v>
      </c>
      <c r="B121" s="22" t="s">
        <v>39</v>
      </c>
      <c r="C121" s="22" t="s">
        <v>216</v>
      </c>
      <c r="D121" s="22" t="s">
        <v>217</v>
      </c>
      <c r="E121" s="23" t="s">
        <v>226</v>
      </c>
      <c r="F121" s="22" t="s">
        <v>108</v>
      </c>
      <c r="G121" s="22" t="s">
        <v>227</v>
      </c>
      <c r="H121" s="22" t="s">
        <v>30</v>
      </c>
      <c r="I121" s="22" t="s">
        <v>228</v>
      </c>
      <c r="J121" s="101" t="s">
        <v>229</v>
      </c>
      <c r="K121" s="519" t="s">
        <v>969</v>
      </c>
      <c r="L121" s="521" t="s">
        <v>1050</v>
      </c>
      <c r="M121" s="521" t="s">
        <v>1051</v>
      </c>
      <c r="N121" s="521" t="s">
        <v>885</v>
      </c>
      <c r="O121" s="22" t="s">
        <v>174</v>
      </c>
      <c r="P121" s="426">
        <v>2020</v>
      </c>
      <c r="Q121" s="414">
        <f t="shared" ca="1" si="3"/>
        <v>2.3603068763465731</v>
      </c>
      <c r="R121" s="335">
        <f t="shared" ca="1" si="4"/>
        <v>0</v>
      </c>
      <c r="S121" s="335">
        <f t="shared" ca="1" si="5"/>
        <v>0</v>
      </c>
      <c r="T121" s="429"/>
      <c r="U121" s="22"/>
      <c r="V121" s="24"/>
      <c r="W121" s="21"/>
      <c r="Y121" s="490"/>
    </row>
    <row r="122" spans="1:25" ht="45">
      <c r="A122" s="31">
        <v>119</v>
      </c>
      <c r="B122" s="22" t="s">
        <v>39</v>
      </c>
      <c r="C122" s="22" t="s">
        <v>216</v>
      </c>
      <c r="D122" s="22" t="s">
        <v>217</v>
      </c>
      <c r="E122" s="23" t="s">
        <v>226</v>
      </c>
      <c r="F122" s="22" t="s">
        <v>112</v>
      </c>
      <c r="G122" s="22" t="s">
        <v>227</v>
      </c>
      <c r="H122" s="22" t="s">
        <v>30</v>
      </c>
      <c r="I122" s="22" t="s">
        <v>228</v>
      </c>
      <c r="J122" s="101" t="s">
        <v>230</v>
      </c>
      <c r="K122" s="519" t="s">
        <v>969</v>
      </c>
      <c r="L122" s="521" t="s">
        <v>1052</v>
      </c>
      <c r="M122" s="521" t="s">
        <v>1053</v>
      </c>
      <c r="N122" s="521" t="s">
        <v>885</v>
      </c>
      <c r="O122" s="22" t="s">
        <v>174</v>
      </c>
      <c r="P122" s="426">
        <v>2020</v>
      </c>
      <c r="Q122" s="414">
        <f t="shared" ca="1" si="3"/>
        <v>10665.002966189819</v>
      </c>
      <c r="R122" s="335">
        <f t="shared" ca="1" si="4"/>
        <v>0</v>
      </c>
      <c r="S122" s="335">
        <f t="shared" ca="1" si="5"/>
        <v>0</v>
      </c>
      <c r="T122" s="429"/>
      <c r="U122" s="22"/>
      <c r="V122" s="24"/>
      <c r="W122" s="21"/>
      <c r="Y122" s="490"/>
    </row>
    <row r="123" spans="1:25" ht="45">
      <c r="A123" s="31">
        <v>120</v>
      </c>
      <c r="B123" s="22" t="s">
        <v>39</v>
      </c>
      <c r="C123" s="22" t="s">
        <v>216</v>
      </c>
      <c r="D123" s="22" t="s">
        <v>217</v>
      </c>
      <c r="E123" s="23" t="s">
        <v>226</v>
      </c>
      <c r="F123" s="22" t="s">
        <v>114</v>
      </c>
      <c r="G123" s="22" t="s">
        <v>227</v>
      </c>
      <c r="H123" s="22" t="s">
        <v>30</v>
      </c>
      <c r="I123" s="22" t="s">
        <v>228</v>
      </c>
      <c r="J123" s="101" t="s">
        <v>231</v>
      </c>
      <c r="K123" s="519" t="s">
        <v>969</v>
      </c>
      <c r="L123" s="521" t="s">
        <v>1054</v>
      </c>
      <c r="M123" s="521" t="s">
        <v>1055</v>
      </c>
      <c r="N123" s="521" t="s">
        <v>885</v>
      </c>
      <c r="O123" s="22" t="s">
        <v>174</v>
      </c>
      <c r="P123" s="426">
        <v>2020</v>
      </c>
      <c r="Q123" s="414">
        <f t="shared" ca="1" si="3"/>
        <v>273.74343431665068</v>
      </c>
      <c r="R123" s="335">
        <f t="shared" ca="1" si="4"/>
        <v>0</v>
      </c>
      <c r="S123" s="335">
        <f t="shared" ca="1" si="5"/>
        <v>0</v>
      </c>
      <c r="T123" s="429" t="s">
        <v>232</v>
      </c>
      <c r="U123" s="22" t="s">
        <v>233</v>
      </c>
      <c r="V123" s="24"/>
      <c r="W123" s="21"/>
      <c r="Y123" s="490"/>
    </row>
    <row r="124" spans="1:25" ht="45">
      <c r="A124" s="31">
        <v>121</v>
      </c>
      <c r="B124" s="22" t="s">
        <v>39</v>
      </c>
      <c r="C124" s="22" t="s">
        <v>216</v>
      </c>
      <c r="D124" s="22" t="s">
        <v>217</v>
      </c>
      <c r="E124" s="23" t="s">
        <v>234</v>
      </c>
      <c r="F124" s="22" t="s">
        <v>108</v>
      </c>
      <c r="G124" s="22" t="s">
        <v>235</v>
      </c>
      <c r="H124" s="22" t="s">
        <v>30</v>
      </c>
      <c r="I124" s="22" t="s">
        <v>236</v>
      </c>
      <c r="J124" s="101" t="s">
        <v>237</v>
      </c>
      <c r="K124" s="519" t="s">
        <v>969</v>
      </c>
      <c r="L124" s="521" t="s">
        <v>1056</v>
      </c>
      <c r="M124" s="521" t="s">
        <v>1057</v>
      </c>
      <c r="N124" s="521" t="s">
        <v>885</v>
      </c>
      <c r="O124" s="22" t="s">
        <v>174</v>
      </c>
      <c r="P124" s="426">
        <v>2020</v>
      </c>
      <c r="Q124" s="414">
        <f t="shared" ca="1" si="3"/>
        <v>2.8540591007818294E-3</v>
      </c>
      <c r="R124" s="335">
        <f t="shared" ca="1" si="4"/>
        <v>0</v>
      </c>
      <c r="S124" s="335">
        <f t="shared" ca="1" si="5"/>
        <v>0</v>
      </c>
      <c r="T124" s="429"/>
      <c r="U124" s="22"/>
      <c r="V124" s="24"/>
      <c r="W124" s="21"/>
      <c r="Y124" s="490"/>
    </row>
    <row r="125" spans="1:25" ht="45">
      <c r="A125" s="31">
        <v>122</v>
      </c>
      <c r="B125" s="22" t="s">
        <v>39</v>
      </c>
      <c r="C125" s="22" t="s">
        <v>216</v>
      </c>
      <c r="D125" s="22" t="s">
        <v>217</v>
      </c>
      <c r="E125" s="23" t="s">
        <v>234</v>
      </c>
      <c r="F125" s="22" t="s">
        <v>112</v>
      </c>
      <c r="G125" s="22" t="s">
        <v>235</v>
      </c>
      <c r="H125" s="22" t="s">
        <v>30</v>
      </c>
      <c r="I125" s="22" t="s">
        <v>236</v>
      </c>
      <c r="J125" s="101" t="s">
        <v>238</v>
      </c>
      <c r="K125" s="519" t="s">
        <v>969</v>
      </c>
      <c r="L125" s="521" t="s">
        <v>1058</v>
      </c>
      <c r="M125" s="521" t="s">
        <v>1059</v>
      </c>
      <c r="N125" s="521" t="s">
        <v>885</v>
      </c>
      <c r="O125" s="22" t="s">
        <v>174</v>
      </c>
      <c r="P125" s="426">
        <v>2020</v>
      </c>
      <c r="Q125" s="414">
        <f t="shared" ca="1" si="3"/>
        <v>12.896013260205343</v>
      </c>
      <c r="R125" s="335">
        <f t="shared" ca="1" si="4"/>
        <v>0</v>
      </c>
      <c r="S125" s="335">
        <f t="shared" ca="1" si="5"/>
        <v>0</v>
      </c>
      <c r="T125" s="429"/>
      <c r="U125" s="22"/>
      <c r="V125" s="24"/>
      <c r="W125" s="21"/>
      <c r="Y125" s="490"/>
    </row>
    <row r="126" spans="1:25" ht="45">
      <c r="A126" s="31">
        <v>123</v>
      </c>
      <c r="B126" s="22" t="s">
        <v>39</v>
      </c>
      <c r="C126" s="22" t="s">
        <v>216</v>
      </c>
      <c r="D126" s="22" t="s">
        <v>217</v>
      </c>
      <c r="E126" s="23" t="s">
        <v>234</v>
      </c>
      <c r="F126" s="22" t="s">
        <v>114</v>
      </c>
      <c r="G126" s="22" t="s">
        <v>235</v>
      </c>
      <c r="H126" s="22" t="s">
        <v>30</v>
      </c>
      <c r="I126" s="22" t="s">
        <v>236</v>
      </c>
      <c r="J126" s="101" t="s">
        <v>239</v>
      </c>
      <c r="K126" s="519" t="s">
        <v>969</v>
      </c>
      <c r="L126" s="521" t="s">
        <v>1060</v>
      </c>
      <c r="M126" s="521" t="s">
        <v>1061</v>
      </c>
      <c r="N126" s="521" t="s">
        <v>885</v>
      </c>
      <c r="O126" s="22" t="s">
        <v>174</v>
      </c>
      <c r="P126" s="426">
        <v>2020</v>
      </c>
      <c r="Q126" s="719">
        <f t="shared" ca="1" si="3"/>
        <v>0.33100778031033939</v>
      </c>
      <c r="R126" s="335">
        <f t="shared" ca="1" si="4"/>
        <v>0</v>
      </c>
      <c r="S126" s="335">
        <f t="shared" ca="1" si="5"/>
        <v>0</v>
      </c>
      <c r="T126" s="429" t="s">
        <v>240</v>
      </c>
      <c r="U126" s="22" t="s">
        <v>117</v>
      </c>
      <c r="V126" s="24"/>
      <c r="W126" s="21"/>
      <c r="Y126" s="490"/>
    </row>
    <row r="127" spans="1:25" ht="75">
      <c r="A127" s="31">
        <v>124</v>
      </c>
      <c r="B127" s="22" t="s">
        <v>39</v>
      </c>
      <c r="C127" s="22" t="s">
        <v>216</v>
      </c>
      <c r="D127" s="22" t="s">
        <v>241</v>
      </c>
      <c r="E127" s="23" t="s">
        <v>242</v>
      </c>
      <c r="F127" s="22" t="s">
        <v>142</v>
      </c>
      <c r="G127" s="22" t="s">
        <v>143</v>
      </c>
      <c r="H127" s="22" t="s">
        <v>30</v>
      </c>
      <c r="I127" s="22" t="s">
        <v>243</v>
      </c>
      <c r="J127" s="22" t="s">
        <v>244</v>
      </c>
      <c r="K127" s="519" t="s">
        <v>969</v>
      </c>
      <c r="L127" s="521" t="s">
        <v>1062</v>
      </c>
      <c r="M127" s="521" t="s">
        <v>1063</v>
      </c>
      <c r="N127" s="521" t="s">
        <v>885</v>
      </c>
      <c r="O127" s="22" t="s">
        <v>174</v>
      </c>
      <c r="P127" s="426">
        <v>2020</v>
      </c>
      <c r="Q127" s="533">
        <f t="shared" ca="1" si="3"/>
        <v>4.2100299754134251E-3</v>
      </c>
      <c r="R127" s="335">
        <f t="shared" ca="1" si="4"/>
        <v>0</v>
      </c>
      <c r="S127" s="335">
        <f t="shared" ca="1" si="5"/>
        <v>0</v>
      </c>
      <c r="T127" s="429" t="s">
        <v>245</v>
      </c>
      <c r="U127" s="22" t="s">
        <v>246</v>
      </c>
      <c r="V127" s="24"/>
      <c r="W127" s="21"/>
      <c r="Y127" s="490"/>
    </row>
    <row r="128" spans="1:25" ht="75">
      <c r="A128" s="31">
        <v>125</v>
      </c>
      <c r="B128" s="22" t="s">
        <v>39</v>
      </c>
      <c r="C128" s="22" t="s">
        <v>216</v>
      </c>
      <c r="D128" s="22" t="s">
        <v>241</v>
      </c>
      <c r="E128" s="23" t="s">
        <v>247</v>
      </c>
      <c r="F128" s="22" t="s">
        <v>142</v>
      </c>
      <c r="G128" s="22" t="s">
        <v>143</v>
      </c>
      <c r="H128" s="22" t="s">
        <v>30</v>
      </c>
      <c r="I128" s="22" t="s">
        <v>248</v>
      </c>
      <c r="J128" s="22" t="s">
        <v>249</v>
      </c>
      <c r="K128" s="519" t="s">
        <v>969</v>
      </c>
      <c r="L128" s="521" t="s">
        <v>1064</v>
      </c>
      <c r="M128" s="521" t="s">
        <v>1065</v>
      </c>
      <c r="N128" s="521" t="s">
        <v>885</v>
      </c>
      <c r="O128" s="22" t="s">
        <v>174</v>
      </c>
      <c r="P128" s="426">
        <v>2020</v>
      </c>
      <c r="Q128" s="533">
        <f t="shared" ca="1" si="3"/>
        <v>3.9306821041036402E-3</v>
      </c>
      <c r="R128" s="335">
        <f t="shared" ca="1" si="4"/>
        <v>0</v>
      </c>
      <c r="S128" s="335">
        <f t="shared" ca="1" si="5"/>
        <v>0</v>
      </c>
      <c r="T128" s="429" t="s">
        <v>250</v>
      </c>
      <c r="U128" s="22" t="s">
        <v>251</v>
      </c>
      <c r="V128" s="24"/>
      <c r="W128" s="21"/>
      <c r="Y128" s="490"/>
    </row>
    <row r="129" spans="1:25" ht="75">
      <c r="A129" s="31">
        <v>126</v>
      </c>
      <c r="B129" s="22" t="s">
        <v>39</v>
      </c>
      <c r="C129" s="22" t="s">
        <v>216</v>
      </c>
      <c r="D129" s="22" t="s">
        <v>241</v>
      </c>
      <c r="E129" s="23" t="s">
        <v>252</v>
      </c>
      <c r="F129" s="22" t="s">
        <v>142</v>
      </c>
      <c r="G129" s="22" t="s">
        <v>253</v>
      </c>
      <c r="H129" s="22" t="s">
        <v>30</v>
      </c>
      <c r="I129" s="22" t="s">
        <v>254</v>
      </c>
      <c r="J129" s="22" t="s">
        <v>255</v>
      </c>
      <c r="K129" s="519" t="s">
        <v>969</v>
      </c>
      <c r="L129" s="521" t="s">
        <v>1066</v>
      </c>
      <c r="M129" s="521" t="s">
        <v>1067</v>
      </c>
      <c r="N129" s="521" t="s">
        <v>885</v>
      </c>
      <c r="O129" s="22" t="s">
        <v>174</v>
      </c>
      <c r="P129" s="426">
        <v>2020</v>
      </c>
      <c r="Q129" s="533">
        <f t="shared" ca="1" si="3"/>
        <v>3.9306821041036402E-3</v>
      </c>
      <c r="R129" s="335">
        <f t="shared" ca="1" si="4"/>
        <v>0</v>
      </c>
      <c r="S129" s="335">
        <f t="shared" ca="1" si="5"/>
        <v>0</v>
      </c>
      <c r="T129" s="429" t="s">
        <v>256</v>
      </c>
      <c r="U129" s="22"/>
      <c r="V129" s="24"/>
      <c r="W129" s="21"/>
      <c r="Y129" s="490"/>
    </row>
    <row r="130" spans="1:25" ht="60">
      <c r="A130" s="31">
        <v>127</v>
      </c>
      <c r="B130" s="22" t="s">
        <v>39</v>
      </c>
      <c r="C130" s="22" t="s">
        <v>216</v>
      </c>
      <c r="D130" s="22" t="s">
        <v>241</v>
      </c>
      <c r="E130" s="23" t="s">
        <v>257</v>
      </c>
      <c r="F130" s="22" t="s">
        <v>142</v>
      </c>
      <c r="G130" s="22" t="s">
        <v>149</v>
      </c>
      <c r="H130" s="22" t="s">
        <v>30</v>
      </c>
      <c r="I130" s="22" t="s">
        <v>258</v>
      </c>
      <c r="J130" s="22" t="s">
        <v>151</v>
      </c>
      <c r="K130" s="519" t="s">
        <v>969</v>
      </c>
      <c r="L130" s="521" t="s">
        <v>1068</v>
      </c>
      <c r="M130" s="521" t="s">
        <v>1069</v>
      </c>
      <c r="N130" s="521" t="s">
        <v>885</v>
      </c>
      <c r="O130" s="22" t="s">
        <v>174</v>
      </c>
      <c r="P130" s="426">
        <v>2020</v>
      </c>
      <c r="Q130" s="533">
        <f t="shared" ca="1" si="3"/>
        <v>3.2559502490801943E-5</v>
      </c>
      <c r="R130" s="335">
        <f t="shared" ca="1" si="4"/>
        <v>0</v>
      </c>
      <c r="S130" s="335">
        <f t="shared" ca="1" si="5"/>
        <v>0</v>
      </c>
      <c r="T130" s="429" t="s">
        <v>259</v>
      </c>
      <c r="U130" s="22" t="s">
        <v>260</v>
      </c>
      <c r="V130" s="24"/>
      <c r="W130" s="21"/>
      <c r="Y130" s="490"/>
    </row>
    <row r="131" spans="1:25" ht="90">
      <c r="A131" s="31">
        <v>128</v>
      </c>
      <c r="B131" s="22" t="s">
        <v>39</v>
      </c>
      <c r="C131" s="22" t="s">
        <v>216</v>
      </c>
      <c r="D131" s="22" t="s">
        <v>241</v>
      </c>
      <c r="E131" s="23" t="s">
        <v>261</v>
      </c>
      <c r="F131" s="22" t="s">
        <v>142</v>
      </c>
      <c r="G131" s="22" t="s">
        <v>154</v>
      </c>
      <c r="H131" s="22" t="s">
        <v>30</v>
      </c>
      <c r="I131" s="22" t="s">
        <v>262</v>
      </c>
      <c r="J131" s="22" t="s">
        <v>263</v>
      </c>
      <c r="K131" s="519" t="s">
        <v>969</v>
      </c>
      <c r="L131" s="521" t="s">
        <v>1070</v>
      </c>
      <c r="M131" s="521" t="s">
        <v>1071</v>
      </c>
      <c r="N131" s="521" t="s">
        <v>885</v>
      </c>
      <c r="O131" s="22" t="s">
        <v>174</v>
      </c>
      <c r="P131" s="426">
        <v>2020</v>
      </c>
      <c r="Q131" s="533">
        <f t="shared" ref="Q131:Q194" ca="1" si="6">SUMIF(INDIRECT("'"&amp;K131&amp;"'!c:c"),A131,INDIRECT("'"&amp;K131&amp;"'!h:h"))</f>
        <v>5.8146036005814602E-3</v>
      </c>
      <c r="R131" s="335">
        <f t="shared" ref="R131:R194" ca="1" si="7">IF($N131 = "N","N/A",SUMIF(INDIRECT("'"&amp;K131&amp;"'!i:i"),L131,INDIRECT("'"&amp;K131&amp;"'!o:o")))</f>
        <v>0</v>
      </c>
      <c r="S131" s="335">
        <f t="shared" ref="S131:S194" ca="1" si="8">IF($N131 = "N","N/A",SUMIF(INDIRECT("'"&amp;K131&amp;"'!i:i"),M131,INDIRECT("'"&amp;K131&amp;"'!o:o")))</f>
        <v>0</v>
      </c>
      <c r="T131" s="429" t="s">
        <v>157</v>
      </c>
      <c r="U131"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31" s="24"/>
      <c r="W131" s="21"/>
      <c r="Y131" s="490"/>
    </row>
    <row r="132" spans="1:25" ht="60">
      <c r="A132" s="31">
        <v>129</v>
      </c>
      <c r="B132" s="22" t="s">
        <v>39</v>
      </c>
      <c r="C132" s="22" t="s">
        <v>216</v>
      </c>
      <c r="D132" s="22" t="s">
        <v>264</v>
      </c>
      <c r="E132" s="23" t="s">
        <v>265</v>
      </c>
      <c r="F132" s="22" t="s">
        <v>142</v>
      </c>
      <c r="G132" s="22" t="s">
        <v>266</v>
      </c>
      <c r="H132" s="22" t="s">
        <v>30</v>
      </c>
      <c r="I132" s="22" t="s">
        <v>267</v>
      </c>
      <c r="J132" s="22" t="s">
        <v>268</v>
      </c>
      <c r="K132" s="519" t="s">
        <v>969</v>
      </c>
      <c r="L132" s="521" t="s">
        <v>1072</v>
      </c>
      <c r="M132" s="521" t="s">
        <v>1073</v>
      </c>
      <c r="N132" s="521" t="s">
        <v>885</v>
      </c>
      <c r="O132" s="22" t="s">
        <v>174</v>
      </c>
      <c r="P132" s="426">
        <v>2020</v>
      </c>
      <c r="Q132" s="533">
        <f t="shared" ca="1" si="6"/>
        <v>1.1589706150757438E-2</v>
      </c>
      <c r="R132" s="335">
        <f t="shared" ca="1" si="7"/>
        <v>0</v>
      </c>
      <c r="S132" s="335">
        <f t="shared" ca="1" si="8"/>
        <v>0</v>
      </c>
      <c r="T132" s="429" t="s">
        <v>269</v>
      </c>
      <c r="U132" s="22"/>
      <c r="V132" s="24"/>
      <c r="W132" s="21"/>
      <c r="Y132" s="490"/>
    </row>
    <row r="133" spans="1:25" ht="30">
      <c r="A133" s="31">
        <v>130</v>
      </c>
      <c r="B133" s="22" t="s">
        <v>39</v>
      </c>
      <c r="C133" s="22" t="s">
        <v>216</v>
      </c>
      <c r="D133" s="22" t="s">
        <v>264</v>
      </c>
      <c r="E133" s="23" t="s">
        <v>270</v>
      </c>
      <c r="F133" s="22" t="s">
        <v>142</v>
      </c>
      <c r="G133" s="22" t="s">
        <v>271</v>
      </c>
      <c r="H133" s="22" t="s">
        <v>30</v>
      </c>
      <c r="I133" s="22" t="s">
        <v>272</v>
      </c>
      <c r="J133" s="22" t="s">
        <v>273</v>
      </c>
      <c r="K133" s="519" t="s">
        <v>969</v>
      </c>
      <c r="L133" s="521" t="s">
        <v>1074</v>
      </c>
      <c r="M133" s="521" t="s">
        <v>1075</v>
      </c>
      <c r="N133" s="521" t="s">
        <v>885</v>
      </c>
      <c r="O133" s="22" t="s">
        <v>174</v>
      </c>
      <c r="P133" s="426">
        <v>2020</v>
      </c>
      <c r="Q133" s="533">
        <f t="shared" ca="1" si="6"/>
        <v>1.2875536480686695E-2</v>
      </c>
      <c r="R133" s="335">
        <f t="shared" ca="1" si="7"/>
        <v>0</v>
      </c>
      <c r="S133" s="335">
        <f t="shared" ca="1" si="8"/>
        <v>0</v>
      </c>
      <c r="T133" s="429" t="s">
        <v>274</v>
      </c>
      <c r="U133" s="22"/>
      <c r="V133" s="24"/>
      <c r="W133" s="21"/>
      <c r="Y133" s="490"/>
    </row>
    <row r="134" spans="1:25" ht="30">
      <c r="A134" s="31">
        <v>131</v>
      </c>
      <c r="B134" s="22" t="s">
        <v>39</v>
      </c>
      <c r="C134" s="22" t="s">
        <v>216</v>
      </c>
      <c r="D134" s="22" t="s">
        <v>275</v>
      </c>
      <c r="E134" s="23" t="s">
        <v>91</v>
      </c>
      <c r="F134" s="22" t="s">
        <v>92</v>
      </c>
      <c r="G134" s="22" t="s">
        <v>93</v>
      </c>
      <c r="H134" s="22" t="s">
        <v>30</v>
      </c>
      <c r="I134" s="22" t="s">
        <v>276</v>
      </c>
      <c r="J134" s="22" t="s">
        <v>92</v>
      </c>
      <c r="K134" s="519" t="s">
        <v>969</v>
      </c>
      <c r="L134" s="521" t="s">
        <v>1076</v>
      </c>
      <c r="M134" s="521" t="s">
        <v>1077</v>
      </c>
      <c r="N134" s="521" t="s">
        <v>885</v>
      </c>
      <c r="O134" s="22" t="s">
        <v>174</v>
      </c>
      <c r="P134" s="426">
        <v>2020</v>
      </c>
      <c r="Q134" s="414">
        <f t="shared" ca="1" si="6"/>
        <v>568.14453336652525</v>
      </c>
      <c r="R134" s="335">
        <f t="shared" ca="1" si="7"/>
        <v>0</v>
      </c>
      <c r="S134" s="335">
        <f t="shared" ca="1" si="8"/>
        <v>0</v>
      </c>
      <c r="T134" s="429"/>
      <c r="U134" s="22"/>
      <c r="V134" s="24"/>
      <c r="W134" s="21"/>
      <c r="Y134" s="490"/>
    </row>
    <row r="135" spans="1:25" ht="30">
      <c r="A135" s="31">
        <v>132</v>
      </c>
      <c r="B135" s="22" t="s">
        <v>39</v>
      </c>
      <c r="C135" s="22" t="s">
        <v>216</v>
      </c>
      <c r="D135" s="22" t="s">
        <v>275</v>
      </c>
      <c r="E135" s="23" t="s">
        <v>91</v>
      </c>
      <c r="F135" s="22" t="s">
        <v>95</v>
      </c>
      <c r="G135" s="22" t="s">
        <v>93</v>
      </c>
      <c r="H135" s="22" t="s">
        <v>30</v>
      </c>
      <c r="I135" s="22" t="s">
        <v>276</v>
      </c>
      <c r="J135" s="22" t="s">
        <v>95</v>
      </c>
      <c r="K135" s="519" t="s">
        <v>969</v>
      </c>
      <c r="L135" s="521" t="s">
        <v>1078</v>
      </c>
      <c r="M135" s="521" t="s">
        <v>1079</v>
      </c>
      <c r="N135" s="521" t="s">
        <v>885</v>
      </c>
      <c r="O135" s="22" t="s">
        <v>174</v>
      </c>
      <c r="P135" s="426">
        <v>2020</v>
      </c>
      <c r="Q135" s="719">
        <f t="shared" ca="1" si="6"/>
        <v>0.12574665615470207</v>
      </c>
      <c r="R135" s="335">
        <f t="shared" ca="1" si="7"/>
        <v>0</v>
      </c>
      <c r="S135" s="335">
        <f t="shared" ca="1" si="8"/>
        <v>0</v>
      </c>
      <c r="T135" s="429"/>
      <c r="U135" s="22"/>
      <c r="V135" s="24"/>
      <c r="W135" s="21"/>
      <c r="Y135" s="490"/>
    </row>
    <row r="136" spans="1:25" ht="30">
      <c r="A136" s="31">
        <v>133</v>
      </c>
      <c r="B136" s="22" t="s">
        <v>39</v>
      </c>
      <c r="C136" s="22" t="s">
        <v>216</v>
      </c>
      <c r="D136" s="22" t="s">
        <v>275</v>
      </c>
      <c r="E136" s="23" t="s">
        <v>91</v>
      </c>
      <c r="F136" s="22" t="s">
        <v>96</v>
      </c>
      <c r="G136" s="22" t="s">
        <v>93</v>
      </c>
      <c r="H136" s="22" t="s">
        <v>30</v>
      </c>
      <c r="I136" s="22" t="s">
        <v>276</v>
      </c>
      <c r="J136" s="22" t="s">
        <v>96</v>
      </c>
      <c r="K136" s="519" t="s">
        <v>969</v>
      </c>
      <c r="L136" s="521" t="s">
        <v>1080</v>
      </c>
      <c r="M136" s="521" t="s">
        <v>1081</v>
      </c>
      <c r="N136" s="521" t="s">
        <v>885</v>
      </c>
      <c r="O136" s="22" t="s">
        <v>174</v>
      </c>
      <c r="P136" s="426">
        <v>2020</v>
      </c>
      <c r="Q136" s="719">
        <f t="shared" ca="1" si="6"/>
        <v>1.0939585071675992</v>
      </c>
      <c r="R136" s="335">
        <f t="shared" ca="1" si="7"/>
        <v>0</v>
      </c>
      <c r="S136" s="335">
        <f t="shared" ca="1" si="8"/>
        <v>0</v>
      </c>
      <c r="T136" s="429" t="s">
        <v>48</v>
      </c>
      <c r="U136" s="22" t="s">
        <v>49</v>
      </c>
      <c r="V136" s="24"/>
      <c r="W136" s="21"/>
      <c r="Y136" s="490"/>
    </row>
    <row r="137" spans="1:25" ht="30">
      <c r="A137" s="31">
        <v>134</v>
      </c>
      <c r="B137" s="22" t="s">
        <v>39</v>
      </c>
      <c r="C137" s="22" t="s">
        <v>216</v>
      </c>
      <c r="D137" s="22" t="s">
        <v>275</v>
      </c>
      <c r="E137" s="23" t="s">
        <v>91</v>
      </c>
      <c r="F137" s="22" t="s">
        <v>97</v>
      </c>
      <c r="G137" s="22" t="s">
        <v>93</v>
      </c>
      <c r="H137" s="22" t="s">
        <v>30</v>
      </c>
      <c r="I137" s="22" t="s">
        <v>276</v>
      </c>
      <c r="J137" s="22" t="s">
        <v>97</v>
      </c>
      <c r="K137" s="519" t="s">
        <v>969</v>
      </c>
      <c r="L137" s="521" t="s">
        <v>1082</v>
      </c>
      <c r="M137" s="521" t="s">
        <v>1083</v>
      </c>
      <c r="N137" s="521" t="s">
        <v>885</v>
      </c>
      <c r="O137" s="22" t="s">
        <v>174</v>
      </c>
      <c r="P137" s="426">
        <v>2020</v>
      </c>
      <c r="Q137" s="414">
        <f t="shared" ca="1" si="6"/>
        <v>584.35540495313512</v>
      </c>
      <c r="R137" s="335">
        <f t="shared" ca="1" si="7"/>
        <v>0</v>
      </c>
      <c r="S137" s="335">
        <f t="shared" ca="1" si="8"/>
        <v>0</v>
      </c>
      <c r="T137" s="429"/>
      <c r="U137" s="22"/>
      <c r="V137" s="24"/>
      <c r="W137" s="21"/>
      <c r="Y137" s="490"/>
    </row>
    <row r="138" spans="1:25" ht="30">
      <c r="A138" s="31">
        <v>135</v>
      </c>
      <c r="B138" s="22" t="s">
        <v>39</v>
      </c>
      <c r="C138" s="22" t="s">
        <v>216</v>
      </c>
      <c r="D138" s="22" t="s">
        <v>275</v>
      </c>
      <c r="E138" s="23" t="s">
        <v>91</v>
      </c>
      <c r="F138" s="22" t="s">
        <v>98</v>
      </c>
      <c r="G138" s="22" t="s">
        <v>93</v>
      </c>
      <c r="H138" s="22" t="s">
        <v>30</v>
      </c>
      <c r="I138" s="22" t="s">
        <v>276</v>
      </c>
      <c r="J138" s="22" t="s">
        <v>98</v>
      </c>
      <c r="K138" s="519" t="s">
        <v>969</v>
      </c>
      <c r="L138" s="521" t="s">
        <v>1084</v>
      </c>
      <c r="M138" s="521" t="s">
        <v>1085</v>
      </c>
      <c r="N138" s="521" t="s">
        <v>885</v>
      </c>
      <c r="O138" s="22" t="s">
        <v>174</v>
      </c>
      <c r="P138" s="426">
        <v>2020</v>
      </c>
      <c r="Q138" s="719">
        <f t="shared" ca="1" si="6"/>
        <v>0.12932561621536287</v>
      </c>
      <c r="R138" s="335">
        <f t="shared" ca="1" si="7"/>
        <v>0</v>
      </c>
      <c r="S138" s="335">
        <f t="shared" ca="1" si="8"/>
        <v>0</v>
      </c>
      <c r="T138" s="429"/>
      <c r="U138" s="22"/>
      <c r="V138" s="24"/>
      <c r="W138" s="21"/>
      <c r="Y138" s="490"/>
    </row>
    <row r="139" spans="1:25" ht="30">
      <c r="A139" s="31">
        <v>136</v>
      </c>
      <c r="B139" s="22" t="s">
        <v>39</v>
      </c>
      <c r="C139" s="22" t="s">
        <v>216</v>
      </c>
      <c r="D139" s="22" t="s">
        <v>275</v>
      </c>
      <c r="E139" s="23" t="s">
        <v>91</v>
      </c>
      <c r="F139" s="22" t="s">
        <v>99</v>
      </c>
      <c r="G139" s="22" t="s">
        <v>93</v>
      </c>
      <c r="H139" s="22" t="s">
        <v>30</v>
      </c>
      <c r="I139" s="22" t="s">
        <v>276</v>
      </c>
      <c r="J139" s="22" t="s">
        <v>99</v>
      </c>
      <c r="K139" s="519" t="s">
        <v>969</v>
      </c>
      <c r="L139" s="521" t="s">
        <v>1086</v>
      </c>
      <c r="M139" s="521" t="s">
        <v>1087</v>
      </c>
      <c r="N139" s="521" t="s">
        <v>885</v>
      </c>
      <c r="O139" s="22" t="s">
        <v>174</v>
      </c>
      <c r="P139" s="426">
        <v>2020</v>
      </c>
      <c r="Q139" s="719">
        <f t="shared" ca="1" si="6"/>
        <v>1.1250943951895929</v>
      </c>
      <c r="R139" s="335">
        <f t="shared" ca="1" si="7"/>
        <v>0</v>
      </c>
      <c r="S139" s="335">
        <f t="shared" ca="1" si="8"/>
        <v>0</v>
      </c>
      <c r="T139" s="429" t="s">
        <v>48</v>
      </c>
      <c r="U139" s="22" t="s">
        <v>49</v>
      </c>
      <c r="V139" s="24"/>
      <c r="W139" s="21"/>
      <c r="Y139" s="490"/>
    </row>
    <row r="140" spans="1:25" ht="30">
      <c r="A140" s="31">
        <v>137</v>
      </c>
      <c r="B140" s="22" t="s">
        <v>39</v>
      </c>
      <c r="C140" s="22" t="s">
        <v>216</v>
      </c>
      <c r="D140" s="22" t="s">
        <v>277</v>
      </c>
      <c r="E140" s="23" t="s">
        <v>278</v>
      </c>
      <c r="F140" s="22" t="s">
        <v>279</v>
      </c>
      <c r="G140" s="22" t="s">
        <v>280</v>
      </c>
      <c r="H140" s="22" t="s">
        <v>164</v>
      </c>
      <c r="I140" s="22" t="s">
        <v>281</v>
      </c>
      <c r="J140" s="22" t="s">
        <v>282</v>
      </c>
      <c r="K140" s="519" t="s">
        <v>969</v>
      </c>
      <c r="L140" s="521" t="s">
        <v>1088</v>
      </c>
      <c r="M140" s="521" t="s">
        <v>1089</v>
      </c>
      <c r="N140" s="521" t="s">
        <v>885</v>
      </c>
      <c r="O140" s="22" t="s">
        <v>174</v>
      </c>
      <c r="P140" s="426">
        <v>2020</v>
      </c>
      <c r="Q140" s="719">
        <f t="shared" ca="1" si="6"/>
        <v>20105.600659819589</v>
      </c>
      <c r="R140" s="335">
        <f t="shared" ca="1" si="7"/>
        <v>0</v>
      </c>
      <c r="S140" s="335">
        <f t="shared" ca="1" si="8"/>
        <v>0</v>
      </c>
      <c r="T140" s="429" t="s">
        <v>283</v>
      </c>
      <c r="U140" s="22"/>
      <c r="V140" s="24"/>
      <c r="W140" s="21"/>
      <c r="Y140" s="490"/>
    </row>
    <row r="141" spans="1:25" ht="45">
      <c r="A141" s="31">
        <v>138</v>
      </c>
      <c r="B141" s="22" t="s">
        <v>39</v>
      </c>
      <c r="C141" s="22" t="s">
        <v>216</v>
      </c>
      <c r="D141" s="22" t="s">
        <v>277</v>
      </c>
      <c r="E141" s="23" t="s">
        <v>284</v>
      </c>
      <c r="F141" s="22" t="s">
        <v>285</v>
      </c>
      <c r="G141" s="22" t="s">
        <v>286</v>
      </c>
      <c r="H141" s="22" t="s">
        <v>164</v>
      </c>
      <c r="I141" s="22" t="s">
        <v>287</v>
      </c>
      <c r="J141" s="22" t="s">
        <v>288</v>
      </c>
      <c r="K141" s="519" t="s">
        <v>969</v>
      </c>
      <c r="L141" s="521" t="s">
        <v>1090</v>
      </c>
      <c r="M141" s="521" t="s">
        <v>1091</v>
      </c>
      <c r="N141" s="521" t="s">
        <v>885</v>
      </c>
      <c r="O141" s="22" t="s">
        <v>174</v>
      </c>
      <c r="P141" s="426">
        <v>2020</v>
      </c>
      <c r="Q141" s="719">
        <f t="shared" ca="1" si="6"/>
        <v>24.311488101353799</v>
      </c>
      <c r="R141" s="335">
        <f t="shared" ca="1" si="7"/>
        <v>0</v>
      </c>
      <c r="S141" s="335">
        <f t="shared" ca="1" si="8"/>
        <v>0</v>
      </c>
      <c r="T141" s="429" t="s">
        <v>289</v>
      </c>
      <c r="U141" s="22"/>
      <c r="V141" s="24"/>
      <c r="W141" s="21"/>
      <c r="Y141" s="490"/>
    </row>
    <row r="142" spans="1:25" ht="45" hidden="1">
      <c r="A142" s="31">
        <v>139</v>
      </c>
      <c r="B142" s="22" t="s">
        <v>39</v>
      </c>
      <c r="C142" s="22" t="s">
        <v>290</v>
      </c>
      <c r="D142" s="22" t="s">
        <v>291</v>
      </c>
      <c r="E142" s="23" t="s">
        <v>51</v>
      </c>
      <c r="F142" s="22" t="s">
        <v>52</v>
      </c>
      <c r="G142" s="22" t="s">
        <v>53</v>
      </c>
      <c r="H142" s="22" t="s">
        <v>30</v>
      </c>
      <c r="I142" s="22" t="s">
        <v>292</v>
      </c>
      <c r="J142" s="22" t="s">
        <v>52</v>
      </c>
      <c r="K142" s="519" t="s">
        <v>1092</v>
      </c>
      <c r="L142" s="521" t="s">
        <v>1093</v>
      </c>
      <c r="M142" s="521" t="s">
        <v>1094</v>
      </c>
      <c r="N142" s="521" t="s">
        <v>815</v>
      </c>
      <c r="O142" s="22" t="s">
        <v>293</v>
      </c>
      <c r="P142" s="426">
        <v>2020</v>
      </c>
      <c r="Q142" s="414">
        <f t="shared" ca="1" si="6"/>
        <v>45438.025563202362</v>
      </c>
      <c r="R142" s="335" t="str">
        <f t="shared" ca="1" si="7"/>
        <v>N/A</v>
      </c>
      <c r="S142" s="335" t="str">
        <f t="shared" ca="1" si="8"/>
        <v>N/A</v>
      </c>
      <c r="T142" s="429" t="s">
        <v>899</v>
      </c>
      <c r="U142" s="22"/>
      <c r="V142" s="24"/>
      <c r="W142" s="21"/>
      <c r="Y142" s="490"/>
    </row>
    <row r="143" spans="1:25" ht="45" hidden="1">
      <c r="A143" s="31">
        <v>140</v>
      </c>
      <c r="B143" s="22" t="s">
        <v>39</v>
      </c>
      <c r="C143" s="22" t="s">
        <v>290</v>
      </c>
      <c r="D143" s="22" t="s">
        <v>291</v>
      </c>
      <c r="E143" s="23" t="s">
        <v>51</v>
      </c>
      <c r="F143" s="22" t="s">
        <v>55</v>
      </c>
      <c r="G143" s="22" t="s">
        <v>53</v>
      </c>
      <c r="H143" s="22" t="s">
        <v>30</v>
      </c>
      <c r="I143" s="22" t="s">
        <v>292</v>
      </c>
      <c r="J143" s="22" t="s">
        <v>55</v>
      </c>
      <c r="K143" s="519" t="s">
        <v>1092</v>
      </c>
      <c r="L143" s="521" t="s">
        <v>1095</v>
      </c>
      <c r="M143" s="521" t="s">
        <v>1096</v>
      </c>
      <c r="N143" s="521" t="s">
        <v>815</v>
      </c>
      <c r="O143" s="22" t="s">
        <v>293</v>
      </c>
      <c r="P143" s="426">
        <v>2020</v>
      </c>
      <c r="Q143" s="414">
        <f t="shared" ca="1" si="6"/>
        <v>44723.25293662685</v>
      </c>
      <c r="R143" s="335" t="str">
        <f t="shared" ca="1" si="7"/>
        <v>N/A</v>
      </c>
      <c r="S143" s="335" t="str">
        <f t="shared" ca="1" si="8"/>
        <v>N/A</v>
      </c>
      <c r="T143" s="429" t="s">
        <v>899</v>
      </c>
      <c r="U143" s="22"/>
      <c r="V143" s="24"/>
      <c r="W143" s="21"/>
      <c r="Y143" s="490"/>
    </row>
    <row r="144" spans="1:25" ht="45" hidden="1">
      <c r="A144" s="31">
        <v>141</v>
      </c>
      <c r="B144" s="22" t="s">
        <v>39</v>
      </c>
      <c r="C144" s="22" t="s">
        <v>290</v>
      </c>
      <c r="D144" s="22" t="s">
        <v>291</v>
      </c>
      <c r="E144" s="23" t="s">
        <v>51</v>
      </c>
      <c r="F144" s="22" t="s">
        <v>56</v>
      </c>
      <c r="G144" s="22" t="s">
        <v>53</v>
      </c>
      <c r="H144" s="22" t="s">
        <v>30</v>
      </c>
      <c r="I144" s="22" t="s">
        <v>292</v>
      </c>
      <c r="J144" s="22" t="s">
        <v>56</v>
      </c>
      <c r="K144" s="519" t="s">
        <v>1092</v>
      </c>
      <c r="L144" s="521" t="s">
        <v>1097</v>
      </c>
      <c r="M144" s="521" t="s">
        <v>1098</v>
      </c>
      <c r="N144" s="521" t="s">
        <v>815</v>
      </c>
      <c r="O144" s="22" t="s">
        <v>293</v>
      </c>
      <c r="P144" s="426">
        <v>2020</v>
      </c>
      <c r="Q144" s="414">
        <f t="shared" ca="1" si="6"/>
        <v>218445474.01682308</v>
      </c>
      <c r="R144" s="335" t="str">
        <f t="shared" ca="1" si="7"/>
        <v>N/A</v>
      </c>
      <c r="S144" s="335" t="str">
        <f t="shared" ca="1" si="8"/>
        <v>N/A</v>
      </c>
      <c r="T144" s="429" t="s">
        <v>899</v>
      </c>
      <c r="U144" s="22"/>
      <c r="V144" s="24"/>
      <c r="W144" s="21"/>
      <c r="Y144" s="490"/>
    </row>
    <row r="145" spans="1:25" ht="45" hidden="1">
      <c r="A145" s="31">
        <v>142</v>
      </c>
      <c r="B145" s="22" t="s">
        <v>39</v>
      </c>
      <c r="C145" s="22" t="s">
        <v>290</v>
      </c>
      <c r="D145" s="22" t="s">
        <v>291</v>
      </c>
      <c r="E145" s="23" t="s">
        <v>51</v>
      </c>
      <c r="F145" s="22" t="s">
        <v>57</v>
      </c>
      <c r="G145" s="22" t="s">
        <v>53</v>
      </c>
      <c r="H145" s="22" t="s">
        <v>30</v>
      </c>
      <c r="I145" s="22" t="s">
        <v>292</v>
      </c>
      <c r="J145" s="22" t="s">
        <v>57</v>
      </c>
      <c r="K145" s="519" t="s">
        <v>1092</v>
      </c>
      <c r="L145" s="521" t="s">
        <v>1099</v>
      </c>
      <c r="M145" s="521" t="s">
        <v>1100</v>
      </c>
      <c r="N145" s="521" t="s">
        <v>815</v>
      </c>
      <c r="O145" s="22" t="s">
        <v>293</v>
      </c>
      <c r="P145" s="426">
        <v>2020</v>
      </c>
      <c r="Q145" s="414">
        <f t="shared" ca="1" si="6"/>
        <v>214485632.11924869</v>
      </c>
      <c r="R145" s="335" t="str">
        <f t="shared" ca="1" si="7"/>
        <v>N/A</v>
      </c>
      <c r="S145" s="335" t="str">
        <f t="shared" ca="1" si="8"/>
        <v>N/A</v>
      </c>
      <c r="T145" s="429" t="s">
        <v>899</v>
      </c>
      <c r="U145" s="22"/>
      <c r="V145" s="24"/>
      <c r="W145" s="21"/>
      <c r="Y145" s="490"/>
    </row>
    <row r="146" spans="1:25" ht="45" hidden="1">
      <c r="A146" s="31">
        <v>143</v>
      </c>
      <c r="B146" s="22" t="s">
        <v>39</v>
      </c>
      <c r="C146" s="22" t="s">
        <v>290</v>
      </c>
      <c r="D146" s="22" t="s">
        <v>291</v>
      </c>
      <c r="E146" s="23" t="s">
        <v>51</v>
      </c>
      <c r="F146" s="22" t="s">
        <v>58</v>
      </c>
      <c r="G146" s="22" t="s">
        <v>53</v>
      </c>
      <c r="H146" s="22" t="s">
        <v>30</v>
      </c>
      <c r="I146" s="22" t="s">
        <v>292</v>
      </c>
      <c r="J146" s="22" t="s">
        <v>58</v>
      </c>
      <c r="K146" s="519" t="s">
        <v>1092</v>
      </c>
      <c r="L146" s="521" t="s">
        <v>1101</v>
      </c>
      <c r="M146" s="521" t="s">
        <v>1102</v>
      </c>
      <c r="N146" s="521" t="s">
        <v>815</v>
      </c>
      <c r="O146" s="22" t="s">
        <v>293</v>
      </c>
      <c r="P146" s="426">
        <v>2020</v>
      </c>
      <c r="Q146" s="414">
        <f t="shared" ca="1" si="6"/>
        <v>864068.43125482777</v>
      </c>
      <c r="R146" s="335" t="str">
        <f t="shared" ca="1" si="7"/>
        <v>N/A</v>
      </c>
      <c r="S146" s="335" t="str">
        <f t="shared" ca="1" si="8"/>
        <v>N/A</v>
      </c>
      <c r="T146" s="429" t="s">
        <v>899</v>
      </c>
      <c r="U146" s="22" t="s">
        <v>295</v>
      </c>
      <c r="V146" s="24"/>
      <c r="W146" s="21"/>
      <c r="Y146" s="490"/>
    </row>
    <row r="147" spans="1:25" ht="45" hidden="1">
      <c r="A147" s="31">
        <v>144</v>
      </c>
      <c r="B147" s="22" t="s">
        <v>39</v>
      </c>
      <c r="C147" s="22" t="s">
        <v>290</v>
      </c>
      <c r="D147" s="22" t="s">
        <v>291</v>
      </c>
      <c r="E147" s="23" t="s">
        <v>51</v>
      </c>
      <c r="F147" s="22" t="s">
        <v>60</v>
      </c>
      <c r="G147" s="22" t="s">
        <v>53</v>
      </c>
      <c r="H147" s="22" t="s">
        <v>30</v>
      </c>
      <c r="I147" s="22" t="s">
        <v>292</v>
      </c>
      <c r="J147" s="22" t="s">
        <v>60</v>
      </c>
      <c r="K147" s="519" t="s">
        <v>1092</v>
      </c>
      <c r="L147" s="521" t="s">
        <v>1103</v>
      </c>
      <c r="M147" s="521" t="s">
        <v>1104</v>
      </c>
      <c r="N147" s="521" t="s">
        <v>815</v>
      </c>
      <c r="O147" s="22" t="s">
        <v>293</v>
      </c>
      <c r="P147" s="426">
        <v>2020</v>
      </c>
      <c r="Q147" s="414">
        <f t="shared" ca="1" si="6"/>
        <v>837746.72519605723</v>
      </c>
      <c r="R147" s="335" t="str">
        <f t="shared" ca="1" si="7"/>
        <v>N/A</v>
      </c>
      <c r="S147" s="335" t="str">
        <f t="shared" ca="1" si="8"/>
        <v>N/A</v>
      </c>
      <c r="T147" s="429" t="s">
        <v>899</v>
      </c>
      <c r="U147" s="22" t="s">
        <v>49</v>
      </c>
      <c r="V147" s="24"/>
      <c r="W147" s="21"/>
      <c r="Y147" s="490"/>
    </row>
    <row r="148" spans="1:25" ht="45" hidden="1">
      <c r="A148" s="31">
        <v>145</v>
      </c>
      <c r="B148" s="22" t="s">
        <v>39</v>
      </c>
      <c r="C148" s="22" t="s">
        <v>290</v>
      </c>
      <c r="D148" s="22" t="s">
        <v>291</v>
      </c>
      <c r="E148" s="23" t="s">
        <v>51</v>
      </c>
      <c r="F148" s="22" t="s">
        <v>61</v>
      </c>
      <c r="G148" s="22" t="s">
        <v>53</v>
      </c>
      <c r="H148" s="22" t="s">
        <v>30</v>
      </c>
      <c r="I148" s="22" t="s">
        <v>292</v>
      </c>
      <c r="J148" s="22" t="s">
        <v>61</v>
      </c>
      <c r="K148" s="519" t="s">
        <v>1092</v>
      </c>
      <c r="L148" s="521" t="s">
        <v>1105</v>
      </c>
      <c r="M148" s="521" t="s">
        <v>1106</v>
      </c>
      <c r="N148" s="521" t="s">
        <v>815</v>
      </c>
      <c r="O148" s="22" t="s">
        <v>293</v>
      </c>
      <c r="P148" s="426">
        <v>2020</v>
      </c>
      <c r="Q148" s="414">
        <f t="shared" ca="1" si="6"/>
        <v>615972.39399536699</v>
      </c>
      <c r="R148" s="335" t="str">
        <f t="shared" ca="1" si="7"/>
        <v>N/A</v>
      </c>
      <c r="S148" s="335" t="str">
        <f t="shared" ca="1" si="8"/>
        <v>N/A</v>
      </c>
      <c r="T148" s="429" t="s">
        <v>899</v>
      </c>
      <c r="U148" s="22"/>
      <c r="V148" s="24"/>
      <c r="W148" s="21"/>
      <c r="Y148" s="490"/>
    </row>
    <row r="149" spans="1:25" ht="45" hidden="1">
      <c r="A149" s="31">
        <v>146</v>
      </c>
      <c r="B149" s="22" t="s">
        <v>39</v>
      </c>
      <c r="C149" s="22" t="s">
        <v>290</v>
      </c>
      <c r="D149" s="22" t="s">
        <v>291</v>
      </c>
      <c r="E149" s="23" t="s">
        <v>51</v>
      </c>
      <c r="F149" s="22" t="s">
        <v>62</v>
      </c>
      <c r="G149" s="22" t="s">
        <v>53</v>
      </c>
      <c r="H149" s="22" t="s">
        <v>30</v>
      </c>
      <c r="I149" s="22" t="s">
        <v>292</v>
      </c>
      <c r="J149" s="22" t="s">
        <v>62</v>
      </c>
      <c r="K149" s="519" t="s">
        <v>1092</v>
      </c>
      <c r="L149" s="521" t="s">
        <v>1107</v>
      </c>
      <c r="M149" s="521" t="s">
        <v>1108</v>
      </c>
      <c r="N149" s="521" t="s">
        <v>815</v>
      </c>
      <c r="O149" s="22" t="s">
        <v>293</v>
      </c>
      <c r="P149" s="426">
        <v>2020</v>
      </c>
      <c r="Q149" s="414">
        <f t="shared" ca="1" si="6"/>
        <v>610341.06724811811</v>
      </c>
      <c r="R149" s="335" t="str">
        <f t="shared" ca="1" si="7"/>
        <v>N/A</v>
      </c>
      <c r="S149" s="335" t="str">
        <f t="shared" ca="1" si="8"/>
        <v>N/A</v>
      </c>
      <c r="T149" s="429" t="s">
        <v>899</v>
      </c>
      <c r="U149" s="22"/>
      <c r="V149" s="24"/>
      <c r="W149" s="21"/>
      <c r="Y149" s="490"/>
    </row>
    <row r="150" spans="1:25" ht="45" hidden="1">
      <c r="A150" s="31">
        <v>147</v>
      </c>
      <c r="B150" s="22" t="s">
        <v>39</v>
      </c>
      <c r="C150" s="22" t="s">
        <v>290</v>
      </c>
      <c r="D150" s="22" t="s">
        <v>291</v>
      </c>
      <c r="E150" s="23" t="s">
        <v>51</v>
      </c>
      <c r="F150" s="22" t="s">
        <v>63</v>
      </c>
      <c r="G150" s="22" t="s">
        <v>53</v>
      </c>
      <c r="H150" s="22" t="s">
        <v>30</v>
      </c>
      <c r="I150" s="22" t="s">
        <v>292</v>
      </c>
      <c r="J150" s="22" t="s">
        <v>63</v>
      </c>
      <c r="K150" s="519" t="s">
        <v>1092</v>
      </c>
      <c r="L150" s="521" t="s">
        <v>1109</v>
      </c>
      <c r="M150" s="521" t="s">
        <v>1110</v>
      </c>
      <c r="N150" s="521" t="s">
        <v>815</v>
      </c>
      <c r="O150" s="22" t="s">
        <v>293</v>
      </c>
      <c r="P150" s="426">
        <v>2020</v>
      </c>
      <c r="Q150" s="414">
        <f t="shared" ca="1" si="6"/>
        <v>2986538274.5260029</v>
      </c>
      <c r="R150" s="335" t="str">
        <f t="shared" ca="1" si="7"/>
        <v>N/A</v>
      </c>
      <c r="S150" s="335" t="str">
        <f t="shared" ca="1" si="8"/>
        <v>N/A</v>
      </c>
      <c r="T150" s="429" t="s">
        <v>899</v>
      </c>
      <c r="U150" s="22"/>
      <c r="V150" s="24"/>
      <c r="W150" s="21"/>
      <c r="Y150" s="490"/>
    </row>
    <row r="151" spans="1:25" ht="45" hidden="1">
      <c r="A151" s="31">
        <v>148</v>
      </c>
      <c r="B151" s="22" t="s">
        <v>39</v>
      </c>
      <c r="C151" s="22" t="s">
        <v>290</v>
      </c>
      <c r="D151" s="22" t="s">
        <v>291</v>
      </c>
      <c r="E151" s="23" t="s">
        <v>51</v>
      </c>
      <c r="F151" s="22" t="s">
        <v>64</v>
      </c>
      <c r="G151" s="22" t="s">
        <v>53</v>
      </c>
      <c r="H151" s="22" t="s">
        <v>30</v>
      </c>
      <c r="I151" s="22" t="s">
        <v>292</v>
      </c>
      <c r="J151" s="22" t="s">
        <v>64</v>
      </c>
      <c r="K151" s="519" t="s">
        <v>1092</v>
      </c>
      <c r="L151" s="521" t="s">
        <v>1111</v>
      </c>
      <c r="M151" s="521" t="s">
        <v>1112</v>
      </c>
      <c r="N151" s="521" t="s">
        <v>815</v>
      </c>
      <c r="O151" s="22" t="s">
        <v>293</v>
      </c>
      <c r="P151" s="426">
        <v>2020</v>
      </c>
      <c r="Q151" s="414">
        <f t="shared" ca="1" si="6"/>
        <v>2958404550.9717913</v>
      </c>
      <c r="R151" s="335" t="str">
        <f t="shared" ca="1" si="7"/>
        <v>N/A</v>
      </c>
      <c r="S151" s="335" t="str">
        <f t="shared" ca="1" si="8"/>
        <v>N/A</v>
      </c>
      <c r="T151" s="429" t="s">
        <v>899</v>
      </c>
      <c r="U151" s="22"/>
      <c r="V151" s="24"/>
      <c r="W151" s="21"/>
      <c r="Y151" s="490"/>
    </row>
    <row r="152" spans="1:25" ht="45" hidden="1">
      <c r="A152" s="31">
        <v>149</v>
      </c>
      <c r="B152" s="22" t="s">
        <v>39</v>
      </c>
      <c r="C152" s="22" t="s">
        <v>290</v>
      </c>
      <c r="D152" s="22" t="s">
        <v>291</v>
      </c>
      <c r="E152" s="23" t="s">
        <v>51</v>
      </c>
      <c r="F152" s="22" t="s">
        <v>65</v>
      </c>
      <c r="G152" s="22" t="s">
        <v>53</v>
      </c>
      <c r="H152" s="22" t="s">
        <v>30</v>
      </c>
      <c r="I152" s="22" t="s">
        <v>292</v>
      </c>
      <c r="J152" s="22" t="s">
        <v>65</v>
      </c>
      <c r="K152" s="519" t="s">
        <v>1092</v>
      </c>
      <c r="L152" s="521" t="s">
        <v>1113</v>
      </c>
      <c r="M152" s="521" t="s">
        <v>1114</v>
      </c>
      <c r="N152" s="521" t="s">
        <v>815</v>
      </c>
      <c r="O152" s="22" t="s">
        <v>293</v>
      </c>
      <c r="P152" s="426">
        <v>2020</v>
      </c>
      <c r="Q152" s="414">
        <f t="shared" ca="1" si="6"/>
        <v>12536115.539130589</v>
      </c>
      <c r="R152" s="335" t="str">
        <f t="shared" ca="1" si="7"/>
        <v>N/A</v>
      </c>
      <c r="S152" s="335" t="str">
        <f t="shared" ca="1" si="8"/>
        <v>N/A</v>
      </c>
      <c r="T152" s="429" t="s">
        <v>899</v>
      </c>
      <c r="U152" s="22" t="s">
        <v>49</v>
      </c>
      <c r="V152" s="24"/>
      <c r="W152" s="21"/>
      <c r="Y152" s="490"/>
    </row>
    <row r="153" spans="1:25" ht="45" hidden="1">
      <c r="A153" s="31">
        <v>150</v>
      </c>
      <c r="B153" s="22" t="s">
        <v>39</v>
      </c>
      <c r="C153" s="22" t="s">
        <v>290</v>
      </c>
      <c r="D153" s="22" t="s">
        <v>291</v>
      </c>
      <c r="E153" s="23" t="s">
        <v>51</v>
      </c>
      <c r="F153" s="22" t="s">
        <v>66</v>
      </c>
      <c r="G153" s="22" t="s">
        <v>53</v>
      </c>
      <c r="H153" s="22" t="s">
        <v>30</v>
      </c>
      <c r="I153" s="22" t="s">
        <v>292</v>
      </c>
      <c r="J153" s="22" t="s">
        <v>66</v>
      </c>
      <c r="K153" s="519" t="s">
        <v>1092</v>
      </c>
      <c r="L153" s="521" t="s">
        <v>1115</v>
      </c>
      <c r="M153" s="521" t="s">
        <v>1116</v>
      </c>
      <c r="N153" s="521" t="s">
        <v>815</v>
      </c>
      <c r="O153" s="22" t="s">
        <v>293</v>
      </c>
      <c r="P153" s="426">
        <v>2020</v>
      </c>
      <c r="Q153" s="414">
        <f t="shared" ca="1" si="6"/>
        <v>12209712.680286963</v>
      </c>
      <c r="R153" s="335" t="str">
        <f t="shared" ca="1" si="7"/>
        <v>N/A</v>
      </c>
      <c r="S153" s="335" t="str">
        <f t="shared" ca="1" si="8"/>
        <v>N/A</v>
      </c>
      <c r="T153" s="429" t="s">
        <v>899</v>
      </c>
      <c r="U153" s="22" t="s">
        <v>49</v>
      </c>
      <c r="V153" s="24"/>
      <c r="W153" s="21"/>
      <c r="Y153" s="490"/>
    </row>
    <row r="154" spans="1:25" ht="45">
      <c r="A154" s="31">
        <v>151</v>
      </c>
      <c r="B154" s="22" t="s">
        <v>39</v>
      </c>
      <c r="C154" s="22" t="s">
        <v>290</v>
      </c>
      <c r="D154" s="22" t="s">
        <v>291</v>
      </c>
      <c r="E154" s="23" t="s">
        <v>296</v>
      </c>
      <c r="F154" s="22" t="s">
        <v>297</v>
      </c>
      <c r="G154" s="22" t="s">
        <v>298</v>
      </c>
      <c r="H154" s="22" t="s">
        <v>30</v>
      </c>
      <c r="I154" s="22" t="s">
        <v>299</v>
      </c>
      <c r="J154" s="22" t="s">
        <v>297</v>
      </c>
      <c r="K154" s="519" t="s">
        <v>1092</v>
      </c>
      <c r="L154" s="521" t="s">
        <v>1117</v>
      </c>
      <c r="M154" s="521" t="s">
        <v>1118</v>
      </c>
      <c r="N154" s="521" t="s">
        <v>885</v>
      </c>
      <c r="O154" s="22" t="s">
        <v>293</v>
      </c>
      <c r="P154" s="426">
        <v>2020</v>
      </c>
      <c r="Q154" s="533">
        <f t="shared" ca="1" si="6"/>
        <v>4.1220283694966046E-2</v>
      </c>
      <c r="R154" s="335">
        <f t="shared" ca="1" si="7"/>
        <v>0</v>
      </c>
      <c r="S154" s="335">
        <f t="shared" ca="1" si="8"/>
        <v>0</v>
      </c>
      <c r="T154" s="429"/>
      <c r="U154" s="22"/>
      <c r="V154" s="24"/>
      <c r="W154" s="21"/>
      <c r="Y154" s="490"/>
    </row>
    <row r="155" spans="1:25" ht="45">
      <c r="A155" s="31">
        <v>152</v>
      </c>
      <c r="B155" s="22" t="s">
        <v>39</v>
      </c>
      <c r="C155" s="22" t="s">
        <v>290</v>
      </c>
      <c r="D155" s="22" t="s">
        <v>291</v>
      </c>
      <c r="E155" s="23" t="s">
        <v>296</v>
      </c>
      <c r="F155" s="22" t="s">
        <v>300</v>
      </c>
      <c r="G155" s="22" t="s">
        <v>298</v>
      </c>
      <c r="H155" s="22" t="s">
        <v>30</v>
      </c>
      <c r="I155" s="22" t="s">
        <v>299</v>
      </c>
      <c r="J155" s="22" t="s">
        <v>300</v>
      </c>
      <c r="K155" s="519" t="s">
        <v>1092</v>
      </c>
      <c r="L155" s="521" t="s">
        <v>1119</v>
      </c>
      <c r="M155" s="521" t="s">
        <v>1120</v>
      </c>
      <c r="N155" s="521" t="s">
        <v>885</v>
      </c>
      <c r="O155" s="22" t="s">
        <v>293</v>
      </c>
      <c r="P155" s="426">
        <v>2020</v>
      </c>
      <c r="Q155" s="533">
        <f t="shared" ca="1" si="6"/>
        <v>4.057185916331784E-2</v>
      </c>
      <c r="R155" s="335">
        <f t="shared" ca="1" si="7"/>
        <v>0</v>
      </c>
      <c r="S155" s="335">
        <f t="shared" ca="1" si="8"/>
        <v>0</v>
      </c>
      <c r="T155" s="429"/>
      <c r="U155" s="22"/>
      <c r="V155" s="24"/>
      <c r="W155" s="21"/>
      <c r="Y155" s="490"/>
    </row>
    <row r="156" spans="1:25" ht="45">
      <c r="A156" s="31">
        <v>153</v>
      </c>
      <c r="B156" s="22" t="s">
        <v>39</v>
      </c>
      <c r="C156" s="22" t="s">
        <v>290</v>
      </c>
      <c r="D156" s="22" t="s">
        <v>291</v>
      </c>
      <c r="E156" s="23" t="s">
        <v>296</v>
      </c>
      <c r="F156" s="22" t="s">
        <v>301</v>
      </c>
      <c r="G156" s="22" t="s">
        <v>298</v>
      </c>
      <c r="H156" s="22" t="s">
        <v>30</v>
      </c>
      <c r="I156" s="22" t="s">
        <v>299</v>
      </c>
      <c r="J156" s="22" t="s">
        <v>301</v>
      </c>
      <c r="K156" s="519" t="s">
        <v>1092</v>
      </c>
      <c r="L156" s="521" t="s">
        <v>1121</v>
      </c>
      <c r="M156" s="521" t="s">
        <v>1122</v>
      </c>
      <c r="N156" s="521" t="s">
        <v>885</v>
      </c>
      <c r="O156" s="22" t="s">
        <v>293</v>
      </c>
      <c r="P156" s="426">
        <v>2020</v>
      </c>
      <c r="Q156" s="533">
        <f t="shared" ca="1" si="6"/>
        <v>3.6402213219502724E-2</v>
      </c>
      <c r="R156" s="335">
        <f t="shared" ca="1" si="7"/>
        <v>0</v>
      </c>
      <c r="S156" s="335">
        <f t="shared" ca="1" si="8"/>
        <v>0</v>
      </c>
      <c r="T156" s="429"/>
      <c r="U156" s="22"/>
      <c r="V156" s="24"/>
      <c r="W156" s="21"/>
      <c r="Y156" s="490"/>
    </row>
    <row r="157" spans="1:25" ht="45">
      <c r="A157" s="31">
        <v>154</v>
      </c>
      <c r="B157" s="22" t="s">
        <v>39</v>
      </c>
      <c r="C157" s="22" t="s">
        <v>290</v>
      </c>
      <c r="D157" s="22" t="s">
        <v>291</v>
      </c>
      <c r="E157" s="23" t="s">
        <v>296</v>
      </c>
      <c r="F157" s="22" t="s">
        <v>302</v>
      </c>
      <c r="G157" s="22" t="s">
        <v>298</v>
      </c>
      <c r="H157" s="22" t="s">
        <v>30</v>
      </c>
      <c r="I157" s="22" t="s">
        <v>299</v>
      </c>
      <c r="J157" s="22" t="s">
        <v>302</v>
      </c>
      <c r="K157" s="519" t="s">
        <v>1092</v>
      </c>
      <c r="L157" s="521" t="s">
        <v>1123</v>
      </c>
      <c r="M157" s="521" t="s">
        <v>1124</v>
      </c>
      <c r="N157" s="521" t="s">
        <v>885</v>
      </c>
      <c r="O157" s="22" t="s">
        <v>293</v>
      </c>
      <c r="P157" s="426">
        <v>2020</v>
      </c>
      <c r="Q157" s="533">
        <f t="shared" ca="1" si="6"/>
        <v>3.5742336837445376E-2</v>
      </c>
      <c r="R157" s="335">
        <f t="shared" ca="1" si="7"/>
        <v>0</v>
      </c>
      <c r="S157" s="335">
        <f t="shared" ca="1" si="8"/>
        <v>0</v>
      </c>
      <c r="T157" s="429"/>
      <c r="U157" s="22"/>
      <c r="V157" s="24"/>
      <c r="W157" s="21"/>
      <c r="Y157" s="490"/>
    </row>
    <row r="158" spans="1:25" ht="45">
      <c r="A158" s="31">
        <v>155</v>
      </c>
      <c r="B158" s="22" t="s">
        <v>39</v>
      </c>
      <c r="C158" s="22" t="s">
        <v>290</v>
      </c>
      <c r="D158" s="22" t="s">
        <v>291</v>
      </c>
      <c r="E158" s="23" t="s">
        <v>296</v>
      </c>
      <c r="F158" s="22" t="s">
        <v>303</v>
      </c>
      <c r="G158" s="22" t="s">
        <v>298</v>
      </c>
      <c r="H158" s="22" t="s">
        <v>30</v>
      </c>
      <c r="I158" s="22" t="s">
        <v>299</v>
      </c>
      <c r="J158" s="22" t="s">
        <v>303</v>
      </c>
      <c r="K158" s="519" t="s">
        <v>1092</v>
      </c>
      <c r="L158" s="521" t="s">
        <v>1125</v>
      </c>
      <c r="M158" s="521" t="s">
        <v>1126</v>
      </c>
      <c r="N158" s="521" t="s">
        <v>885</v>
      </c>
      <c r="O158" s="22" t="s">
        <v>293</v>
      </c>
      <c r="P158" s="426">
        <v>2020</v>
      </c>
      <c r="Q158" s="533">
        <f t="shared" ca="1" si="6"/>
        <v>4.6692231732876214E-3</v>
      </c>
      <c r="R158" s="335">
        <f t="shared" ca="1" si="7"/>
        <v>0</v>
      </c>
      <c r="S158" s="335">
        <f t="shared" ca="1" si="8"/>
        <v>0</v>
      </c>
      <c r="T158" s="429" t="s">
        <v>304</v>
      </c>
      <c r="U158" s="22" t="s">
        <v>49</v>
      </c>
      <c r="V158" s="24"/>
      <c r="W158" s="21"/>
      <c r="Y158" s="490"/>
    </row>
    <row r="159" spans="1:25" ht="45">
      <c r="A159" s="31">
        <v>156</v>
      </c>
      <c r="B159" s="22" t="s">
        <v>39</v>
      </c>
      <c r="C159" s="22" t="s">
        <v>290</v>
      </c>
      <c r="D159" s="22" t="s">
        <v>291</v>
      </c>
      <c r="E159" s="23" t="s">
        <v>296</v>
      </c>
      <c r="F159" s="22" t="s">
        <v>305</v>
      </c>
      <c r="G159" s="22" t="s">
        <v>298</v>
      </c>
      <c r="H159" s="22" t="s">
        <v>30</v>
      </c>
      <c r="I159" s="22" t="s">
        <v>299</v>
      </c>
      <c r="J159" s="22" t="s">
        <v>305</v>
      </c>
      <c r="K159" s="519" t="s">
        <v>1092</v>
      </c>
      <c r="L159" s="521" t="s">
        <v>1127</v>
      </c>
      <c r="M159" s="521" t="s">
        <v>1128</v>
      </c>
      <c r="N159" s="521" t="s">
        <v>885</v>
      </c>
      <c r="O159" s="22" t="s">
        <v>293</v>
      </c>
      <c r="P159" s="426">
        <v>2020</v>
      </c>
      <c r="Q159" s="533">
        <f t="shared" ca="1" si="6"/>
        <v>4.5269868463434755E-3</v>
      </c>
      <c r="R159" s="335">
        <f t="shared" ca="1" si="7"/>
        <v>0</v>
      </c>
      <c r="S159" s="335">
        <f t="shared" ca="1" si="8"/>
        <v>0</v>
      </c>
      <c r="T159" s="429" t="s">
        <v>304</v>
      </c>
      <c r="U159" s="22" t="s">
        <v>49</v>
      </c>
      <c r="V159" s="24"/>
      <c r="W159" s="21"/>
      <c r="Y159" s="490"/>
    </row>
    <row r="160" spans="1:25" ht="45">
      <c r="A160" s="31">
        <v>157</v>
      </c>
      <c r="B160" s="22" t="s">
        <v>39</v>
      </c>
      <c r="C160" s="22" t="s">
        <v>290</v>
      </c>
      <c r="D160" s="22" t="s">
        <v>291</v>
      </c>
      <c r="E160" s="23" t="s">
        <v>296</v>
      </c>
      <c r="F160" s="22" t="s">
        <v>306</v>
      </c>
      <c r="G160" s="22" t="s">
        <v>298</v>
      </c>
      <c r="H160" s="22" t="s">
        <v>30</v>
      </c>
      <c r="I160" s="22" t="s">
        <v>299</v>
      </c>
      <c r="J160" s="22" t="s">
        <v>306</v>
      </c>
      <c r="K160" s="519" t="s">
        <v>1092</v>
      </c>
      <c r="L160" s="521" t="s">
        <v>1129</v>
      </c>
      <c r="M160" s="521" t="s">
        <v>1130</v>
      </c>
      <c r="N160" s="521" t="s">
        <v>885</v>
      </c>
      <c r="O160" s="22" t="s">
        <v>293</v>
      </c>
      <c r="P160" s="426">
        <v>2020</v>
      </c>
      <c r="Q160" s="533">
        <f t="shared" ca="1" si="6"/>
        <v>0.55879533747431964</v>
      </c>
      <c r="R160" s="335">
        <f t="shared" ca="1" si="7"/>
        <v>0</v>
      </c>
      <c r="S160" s="335">
        <f t="shared" ca="1" si="8"/>
        <v>0</v>
      </c>
      <c r="T160" s="429"/>
      <c r="U160" s="22"/>
      <c r="V160" s="24"/>
      <c r="W160" s="21"/>
      <c r="Y160" s="490"/>
    </row>
    <row r="161" spans="1:25" ht="45">
      <c r="A161" s="31">
        <v>158</v>
      </c>
      <c r="B161" s="22" t="s">
        <v>39</v>
      </c>
      <c r="C161" s="22" t="s">
        <v>290</v>
      </c>
      <c r="D161" s="22" t="s">
        <v>291</v>
      </c>
      <c r="E161" s="23" t="s">
        <v>296</v>
      </c>
      <c r="F161" s="22" t="s">
        <v>307</v>
      </c>
      <c r="G161" s="22" t="s">
        <v>298</v>
      </c>
      <c r="H161" s="22" t="s">
        <v>30</v>
      </c>
      <c r="I161" s="22" t="s">
        <v>299</v>
      </c>
      <c r="J161" s="22" t="s">
        <v>307</v>
      </c>
      <c r="K161" s="519" t="s">
        <v>1092</v>
      </c>
      <c r="L161" s="521" t="s">
        <v>1131</v>
      </c>
      <c r="M161" s="521" t="s">
        <v>1132</v>
      </c>
      <c r="N161" s="521" t="s">
        <v>885</v>
      </c>
      <c r="O161" s="22" t="s">
        <v>293</v>
      </c>
      <c r="P161" s="426">
        <v>2020</v>
      </c>
      <c r="Q161" s="533">
        <f t="shared" ca="1" si="6"/>
        <v>0.55368673332122387</v>
      </c>
      <c r="R161" s="335">
        <f t="shared" ca="1" si="7"/>
        <v>0</v>
      </c>
      <c r="S161" s="335">
        <f t="shared" ca="1" si="8"/>
        <v>0</v>
      </c>
      <c r="T161" s="429"/>
      <c r="U161" s="22"/>
      <c r="V161" s="24"/>
      <c r="W161" s="21"/>
      <c r="Y161" s="490"/>
    </row>
    <row r="162" spans="1:25" ht="45">
      <c r="A162" s="31">
        <v>159</v>
      </c>
      <c r="B162" s="22" t="s">
        <v>39</v>
      </c>
      <c r="C162" s="22" t="s">
        <v>290</v>
      </c>
      <c r="D162" s="22" t="s">
        <v>291</v>
      </c>
      <c r="E162" s="23" t="s">
        <v>296</v>
      </c>
      <c r="F162" s="22" t="s">
        <v>308</v>
      </c>
      <c r="G162" s="22" t="s">
        <v>298</v>
      </c>
      <c r="H162" s="22" t="s">
        <v>30</v>
      </c>
      <c r="I162" s="22" t="s">
        <v>299</v>
      </c>
      <c r="J162" s="22" t="s">
        <v>308</v>
      </c>
      <c r="K162" s="519" t="s">
        <v>1092</v>
      </c>
      <c r="L162" s="521" t="s">
        <v>1133</v>
      </c>
      <c r="M162" s="521" t="s">
        <v>1134</v>
      </c>
      <c r="N162" s="521" t="s">
        <v>885</v>
      </c>
      <c r="O162" s="22" t="s">
        <v>293</v>
      </c>
      <c r="P162" s="426">
        <v>2020</v>
      </c>
      <c r="Q162" s="533">
        <f t="shared" ca="1" si="6"/>
        <v>0.49768301928347003</v>
      </c>
      <c r="R162" s="335">
        <f t="shared" ca="1" si="7"/>
        <v>0</v>
      </c>
      <c r="S162" s="335">
        <f t="shared" ca="1" si="8"/>
        <v>0</v>
      </c>
      <c r="T162" s="429"/>
      <c r="U162" s="22"/>
      <c r="V162" s="24"/>
      <c r="W162" s="21"/>
      <c r="Y162" s="490"/>
    </row>
    <row r="163" spans="1:25" ht="45">
      <c r="A163" s="31">
        <v>160</v>
      </c>
      <c r="B163" s="22" t="s">
        <v>39</v>
      </c>
      <c r="C163" s="22" t="s">
        <v>290</v>
      </c>
      <c r="D163" s="22" t="s">
        <v>291</v>
      </c>
      <c r="E163" s="23" t="s">
        <v>296</v>
      </c>
      <c r="F163" s="22" t="s">
        <v>309</v>
      </c>
      <c r="G163" s="22" t="s">
        <v>298</v>
      </c>
      <c r="H163" s="22" t="s">
        <v>30</v>
      </c>
      <c r="I163" s="22" t="s">
        <v>299</v>
      </c>
      <c r="J163" s="22" t="s">
        <v>309</v>
      </c>
      <c r="K163" s="519" t="s">
        <v>1092</v>
      </c>
      <c r="L163" s="521" t="s">
        <v>1135</v>
      </c>
      <c r="M163" s="521" t="s">
        <v>1136</v>
      </c>
      <c r="N163" s="521" t="s">
        <v>885</v>
      </c>
      <c r="O163" s="22" t="s">
        <v>293</v>
      </c>
      <c r="P163" s="426">
        <v>2020</v>
      </c>
      <c r="Q163" s="533">
        <f t="shared" ca="1" si="6"/>
        <v>0.49299475642021617</v>
      </c>
      <c r="R163" s="335">
        <f t="shared" ca="1" si="7"/>
        <v>0</v>
      </c>
      <c r="S163" s="335">
        <f t="shared" ca="1" si="8"/>
        <v>0</v>
      </c>
      <c r="T163" s="429"/>
      <c r="U163" s="22"/>
      <c r="V163" s="24"/>
      <c r="W163" s="21"/>
      <c r="Y163" s="490"/>
    </row>
    <row r="164" spans="1:25" ht="45">
      <c r="A164" s="31">
        <v>161</v>
      </c>
      <c r="B164" s="22" t="s">
        <v>39</v>
      </c>
      <c r="C164" s="22" t="s">
        <v>290</v>
      </c>
      <c r="D164" s="22" t="s">
        <v>291</v>
      </c>
      <c r="E164" s="23" t="s">
        <v>296</v>
      </c>
      <c r="F164" s="22" t="s">
        <v>310</v>
      </c>
      <c r="G164" s="22" t="s">
        <v>298</v>
      </c>
      <c r="H164" s="22" t="s">
        <v>30</v>
      </c>
      <c r="I164" s="22" t="s">
        <v>299</v>
      </c>
      <c r="J164" s="22" t="s">
        <v>310</v>
      </c>
      <c r="K164" s="519" t="s">
        <v>1092</v>
      </c>
      <c r="L164" s="521" t="s">
        <v>1137</v>
      </c>
      <c r="M164" s="521" t="s">
        <v>1138</v>
      </c>
      <c r="N164" s="521" t="s">
        <v>885</v>
      </c>
      <c r="O164" s="22" t="s">
        <v>293</v>
      </c>
      <c r="P164" s="426">
        <v>2020</v>
      </c>
      <c r="Q164" s="533">
        <f t="shared" ca="1" si="6"/>
        <v>6.7742228579413269E-2</v>
      </c>
      <c r="R164" s="335">
        <f t="shared" ca="1" si="7"/>
        <v>0</v>
      </c>
      <c r="S164" s="335">
        <f t="shared" ca="1" si="8"/>
        <v>0</v>
      </c>
      <c r="T164" s="429" t="s">
        <v>304</v>
      </c>
      <c r="U164" s="22" t="s">
        <v>49</v>
      </c>
      <c r="V164" s="24"/>
      <c r="W164" s="21"/>
      <c r="Y164" s="490"/>
    </row>
    <row r="165" spans="1:25" ht="45">
      <c r="A165" s="31">
        <v>162</v>
      </c>
      <c r="B165" s="22" t="s">
        <v>39</v>
      </c>
      <c r="C165" s="22" t="s">
        <v>290</v>
      </c>
      <c r="D165" s="22" t="s">
        <v>291</v>
      </c>
      <c r="E165" s="23" t="s">
        <v>296</v>
      </c>
      <c r="F165" s="22" t="s">
        <v>311</v>
      </c>
      <c r="G165" s="22" t="s">
        <v>298</v>
      </c>
      <c r="H165" s="22" t="s">
        <v>30</v>
      </c>
      <c r="I165" s="22" t="s">
        <v>299</v>
      </c>
      <c r="J165" s="22" t="s">
        <v>311</v>
      </c>
      <c r="K165" s="519" t="s">
        <v>1092</v>
      </c>
      <c r="L165" s="521" t="s">
        <v>1139</v>
      </c>
      <c r="M165" s="521" t="s">
        <v>1140</v>
      </c>
      <c r="N165" s="521" t="s">
        <v>885</v>
      </c>
      <c r="O165" s="22" t="s">
        <v>293</v>
      </c>
      <c r="P165" s="426">
        <v>2020</v>
      </c>
      <c r="Q165" s="533">
        <f t="shared" ca="1" si="6"/>
        <v>6.5978424073644307E-2</v>
      </c>
      <c r="R165" s="335">
        <f t="shared" ca="1" si="7"/>
        <v>0</v>
      </c>
      <c r="S165" s="335">
        <f t="shared" ca="1" si="8"/>
        <v>0</v>
      </c>
      <c r="T165" s="429" t="s">
        <v>304</v>
      </c>
      <c r="U165" s="22" t="s">
        <v>49</v>
      </c>
      <c r="V165" s="24"/>
      <c r="W165" s="21"/>
      <c r="Y165" s="490"/>
    </row>
    <row r="166" spans="1:25" ht="30" hidden="1">
      <c r="A166" s="31">
        <v>163</v>
      </c>
      <c r="B166" s="22" t="s">
        <v>39</v>
      </c>
      <c r="C166" s="22" t="s">
        <v>290</v>
      </c>
      <c r="D166" s="22" t="s">
        <v>312</v>
      </c>
      <c r="E166" s="23" t="s">
        <v>42</v>
      </c>
      <c r="F166" s="22" t="s">
        <v>43</v>
      </c>
      <c r="G166" s="22" t="s">
        <v>44</v>
      </c>
      <c r="H166" s="22" t="s">
        <v>30</v>
      </c>
      <c r="I166" s="22" t="s">
        <v>313</v>
      </c>
      <c r="J166" s="22" t="s">
        <v>314</v>
      </c>
      <c r="K166" s="519" t="s">
        <v>1092</v>
      </c>
      <c r="L166" s="521" t="s">
        <v>1141</v>
      </c>
      <c r="M166" s="521" t="s">
        <v>1142</v>
      </c>
      <c r="N166" s="521" t="s">
        <v>815</v>
      </c>
      <c r="O166" s="22" t="s">
        <v>293</v>
      </c>
      <c r="P166" s="426">
        <v>2020</v>
      </c>
      <c r="Q166" s="414">
        <f t="shared" ca="1" si="6"/>
        <v>156081.39955184792</v>
      </c>
      <c r="R166" s="335" t="str">
        <f t="shared" ca="1" si="7"/>
        <v>N/A</v>
      </c>
      <c r="S166" s="335" t="str">
        <f t="shared" ca="1" si="8"/>
        <v>N/A</v>
      </c>
      <c r="T166" s="429" t="s">
        <v>48</v>
      </c>
      <c r="U166" s="22"/>
      <c r="V166" s="24"/>
      <c r="W166" s="21"/>
      <c r="Y166" s="490"/>
    </row>
    <row r="167" spans="1:25" ht="45">
      <c r="A167" s="31">
        <v>164</v>
      </c>
      <c r="B167" s="22" t="s">
        <v>39</v>
      </c>
      <c r="C167" s="22" t="s">
        <v>290</v>
      </c>
      <c r="D167" s="22" t="s">
        <v>315</v>
      </c>
      <c r="E167" s="23" t="s">
        <v>316</v>
      </c>
      <c r="F167" s="22" t="s">
        <v>317</v>
      </c>
      <c r="G167" s="22" t="s">
        <v>318</v>
      </c>
      <c r="H167" s="22" t="s">
        <v>30</v>
      </c>
      <c r="I167" s="22" t="s">
        <v>319</v>
      </c>
      <c r="J167" s="22" t="s">
        <v>317</v>
      </c>
      <c r="K167" s="519" t="s">
        <v>1092</v>
      </c>
      <c r="L167" s="521" t="s">
        <v>1143</v>
      </c>
      <c r="M167" s="521" t="s">
        <v>1144</v>
      </c>
      <c r="N167" s="521" t="s">
        <v>885</v>
      </c>
      <c r="O167" s="22" t="s">
        <v>293</v>
      </c>
      <c r="P167" s="426">
        <v>2020</v>
      </c>
      <c r="Q167" s="533">
        <f t="shared" ca="1" si="6"/>
        <v>0</v>
      </c>
      <c r="R167" s="335">
        <f t="shared" ca="1" si="7"/>
        <v>0</v>
      </c>
      <c r="S167" s="335">
        <f t="shared" ca="1" si="8"/>
        <v>0</v>
      </c>
      <c r="T167" s="429"/>
      <c r="U167" s="22"/>
      <c r="V167" s="24"/>
      <c r="W167" s="21"/>
      <c r="Y167" s="490"/>
    </row>
    <row r="168" spans="1:25" ht="45">
      <c r="A168" s="31">
        <v>165</v>
      </c>
      <c r="B168" s="22" t="s">
        <v>39</v>
      </c>
      <c r="C168" s="22" t="s">
        <v>290</v>
      </c>
      <c r="D168" s="22" t="s">
        <v>315</v>
      </c>
      <c r="E168" s="23" t="s">
        <v>316</v>
      </c>
      <c r="F168" s="22" t="s">
        <v>320</v>
      </c>
      <c r="G168" s="22" t="s">
        <v>318</v>
      </c>
      <c r="H168" s="22" t="s">
        <v>30</v>
      </c>
      <c r="I168" s="22" t="s">
        <v>319</v>
      </c>
      <c r="J168" s="22" t="s">
        <v>320</v>
      </c>
      <c r="K168" s="519" t="s">
        <v>1092</v>
      </c>
      <c r="L168" s="521" t="s">
        <v>1145</v>
      </c>
      <c r="M168" s="521" t="s">
        <v>1146</v>
      </c>
      <c r="N168" s="521" t="s">
        <v>885</v>
      </c>
      <c r="O168" s="22" t="s">
        <v>293</v>
      </c>
      <c r="P168" s="426">
        <v>2020</v>
      </c>
      <c r="Q168" s="533">
        <f t="shared" ca="1" si="6"/>
        <v>0.11273222307972422</v>
      </c>
      <c r="R168" s="335">
        <f t="shared" ca="1" si="7"/>
        <v>0</v>
      </c>
      <c r="S168" s="335">
        <f t="shared" ca="1" si="8"/>
        <v>0</v>
      </c>
      <c r="T168" s="429"/>
      <c r="U168" s="22"/>
      <c r="V168" s="24"/>
      <c r="W168" s="21"/>
      <c r="Y168" s="490"/>
    </row>
    <row r="169" spans="1:25" ht="105">
      <c r="A169" s="31">
        <v>166</v>
      </c>
      <c r="B169" s="22" t="s">
        <v>39</v>
      </c>
      <c r="C169" s="22" t="s">
        <v>290</v>
      </c>
      <c r="D169" s="22" t="s">
        <v>315</v>
      </c>
      <c r="E169" s="23" t="s">
        <v>316</v>
      </c>
      <c r="F169" s="22" t="s">
        <v>321</v>
      </c>
      <c r="G169" s="22" t="s">
        <v>318</v>
      </c>
      <c r="H169" s="22" t="s">
        <v>30</v>
      </c>
      <c r="I169" s="22" t="s">
        <v>319</v>
      </c>
      <c r="J169" s="22" t="s">
        <v>321</v>
      </c>
      <c r="K169" s="519" t="s">
        <v>1092</v>
      </c>
      <c r="L169" s="521" t="s">
        <v>1147</v>
      </c>
      <c r="M169" s="521" t="s">
        <v>1148</v>
      </c>
      <c r="N169" s="521" t="s">
        <v>885</v>
      </c>
      <c r="O169" s="22" t="s">
        <v>293</v>
      </c>
      <c r="P169" s="426">
        <v>2020</v>
      </c>
      <c r="Q169" s="533">
        <f t="shared" ca="1" si="6"/>
        <v>0.39422273611562025</v>
      </c>
      <c r="R169" s="335">
        <f t="shared" ca="1" si="7"/>
        <v>0</v>
      </c>
      <c r="S169" s="335">
        <f t="shared" ca="1" si="8"/>
        <v>0</v>
      </c>
      <c r="T169" s="429" t="s">
        <v>322</v>
      </c>
      <c r="U169" s="22"/>
      <c r="V169" s="24" t="s">
        <v>323</v>
      </c>
      <c r="W169" s="21"/>
      <c r="Y169" s="490"/>
    </row>
    <row r="170" spans="1:25" ht="75">
      <c r="A170" s="31">
        <v>167</v>
      </c>
      <c r="B170" s="22" t="s">
        <v>39</v>
      </c>
      <c r="C170" s="22" t="s">
        <v>290</v>
      </c>
      <c r="D170" s="22" t="s">
        <v>324</v>
      </c>
      <c r="E170" s="23" t="s">
        <v>325</v>
      </c>
      <c r="F170" s="22" t="s">
        <v>142</v>
      </c>
      <c r="G170" s="22" t="s">
        <v>143</v>
      </c>
      <c r="H170" s="22" t="s">
        <v>30</v>
      </c>
      <c r="I170" s="22" t="s">
        <v>326</v>
      </c>
      <c r="J170" s="22" t="s">
        <v>327</v>
      </c>
      <c r="K170" s="519" t="s">
        <v>1092</v>
      </c>
      <c r="L170" s="521" t="s">
        <v>1149</v>
      </c>
      <c r="M170" s="521" t="s">
        <v>1150</v>
      </c>
      <c r="N170" s="521" t="s">
        <v>885</v>
      </c>
      <c r="O170" s="22" t="s">
        <v>293</v>
      </c>
      <c r="P170" s="426">
        <v>2020</v>
      </c>
      <c r="Q170" s="533">
        <f t="shared" ca="1" si="6"/>
        <v>3.4883720930232558E-2</v>
      </c>
      <c r="R170" s="335">
        <f t="shared" ca="1" si="7"/>
        <v>0</v>
      </c>
      <c r="S170" s="335">
        <f t="shared" ca="1" si="8"/>
        <v>0</v>
      </c>
      <c r="T170" s="429" t="s">
        <v>328</v>
      </c>
      <c r="U170" s="22" t="s">
        <v>246</v>
      </c>
      <c r="V170" s="24"/>
      <c r="W170" s="21"/>
      <c r="Y170" s="490"/>
    </row>
    <row r="171" spans="1:25" ht="75">
      <c r="A171" s="31">
        <v>168</v>
      </c>
      <c r="B171" s="22" t="s">
        <v>39</v>
      </c>
      <c r="C171" s="22" t="s">
        <v>290</v>
      </c>
      <c r="D171" s="22" t="s">
        <v>324</v>
      </c>
      <c r="E171" s="23" t="s">
        <v>329</v>
      </c>
      <c r="F171" s="22" t="s">
        <v>142</v>
      </c>
      <c r="G171" s="22" t="s">
        <v>143</v>
      </c>
      <c r="H171" s="22" t="s">
        <v>30</v>
      </c>
      <c r="I171" s="22" t="s">
        <v>326</v>
      </c>
      <c r="J171" s="22" t="s">
        <v>330</v>
      </c>
      <c r="K171" s="519" t="s">
        <v>1092</v>
      </c>
      <c r="L171" s="521" t="s">
        <v>1151</v>
      </c>
      <c r="M171" s="521" t="s">
        <v>1152</v>
      </c>
      <c r="N171" s="521" t="s">
        <v>885</v>
      </c>
      <c r="O171" s="22" t="s">
        <v>293</v>
      </c>
      <c r="P171" s="426">
        <v>2020</v>
      </c>
      <c r="Q171" s="533">
        <f t="shared" ca="1" si="6"/>
        <v>2.8803296610882181E-2</v>
      </c>
      <c r="R171" s="335">
        <f t="shared" ca="1" si="7"/>
        <v>0</v>
      </c>
      <c r="S171" s="335">
        <f t="shared" ca="1" si="8"/>
        <v>0</v>
      </c>
      <c r="T171" s="429" t="s">
        <v>328</v>
      </c>
      <c r="U171" s="22" t="s">
        <v>246</v>
      </c>
      <c r="V171" s="24"/>
      <c r="W171" s="21"/>
      <c r="Y171" s="490"/>
    </row>
    <row r="172" spans="1:25" ht="75">
      <c r="A172" s="31">
        <v>169</v>
      </c>
      <c r="B172" s="22" t="s">
        <v>39</v>
      </c>
      <c r="C172" s="22" t="s">
        <v>290</v>
      </c>
      <c r="D172" s="22" t="s">
        <v>324</v>
      </c>
      <c r="E172" s="23" t="s">
        <v>331</v>
      </c>
      <c r="F172" s="22" t="s">
        <v>142</v>
      </c>
      <c r="G172" s="22" t="s">
        <v>143</v>
      </c>
      <c r="H172" s="22" t="s">
        <v>30</v>
      </c>
      <c r="I172" s="22" t="s">
        <v>332</v>
      </c>
      <c r="J172" s="22" t="s">
        <v>333</v>
      </c>
      <c r="K172" s="519" t="s">
        <v>1092</v>
      </c>
      <c r="L172" s="521" t="s">
        <v>1153</v>
      </c>
      <c r="M172" s="521" t="s">
        <v>1154</v>
      </c>
      <c r="N172" s="521" t="s">
        <v>885</v>
      </c>
      <c r="O172" s="22" t="s">
        <v>293</v>
      </c>
      <c r="P172" s="426">
        <v>2020</v>
      </c>
      <c r="Q172" s="533">
        <f t="shared" ca="1" si="6"/>
        <v>1.609106860101853E-2</v>
      </c>
      <c r="R172" s="335">
        <f t="shared" ca="1" si="7"/>
        <v>0</v>
      </c>
      <c r="S172" s="335">
        <f t="shared" ca="1" si="8"/>
        <v>0</v>
      </c>
      <c r="T172" s="429" t="s">
        <v>328</v>
      </c>
      <c r="U172" s="22" t="s">
        <v>246</v>
      </c>
      <c r="V172" s="24"/>
      <c r="W172" s="21"/>
      <c r="Y172" s="490"/>
    </row>
    <row r="173" spans="1:25" ht="120">
      <c r="A173" s="31">
        <v>170</v>
      </c>
      <c r="B173" s="22" t="s">
        <v>39</v>
      </c>
      <c r="C173" s="22" t="s">
        <v>290</v>
      </c>
      <c r="D173" s="22" t="s">
        <v>324</v>
      </c>
      <c r="E173" s="23" t="s">
        <v>252</v>
      </c>
      <c r="F173" s="22" t="s">
        <v>142</v>
      </c>
      <c r="G173" s="22" t="s">
        <v>253</v>
      </c>
      <c r="H173" s="22" t="s">
        <v>30</v>
      </c>
      <c r="I173" s="22" t="s">
        <v>334</v>
      </c>
      <c r="J173" s="22" t="s">
        <v>335</v>
      </c>
      <c r="K173" s="519" t="s">
        <v>1092</v>
      </c>
      <c r="L173" s="521" t="s">
        <v>1155</v>
      </c>
      <c r="M173" s="521" t="s">
        <v>1156</v>
      </c>
      <c r="N173" s="521" t="s">
        <v>885</v>
      </c>
      <c r="O173" s="22" t="s">
        <v>293</v>
      </c>
      <c r="P173" s="426">
        <v>2020</v>
      </c>
      <c r="Q173" s="533">
        <f t="shared" ca="1" si="6"/>
        <v>1.5207557255126862E-2</v>
      </c>
      <c r="R173" s="335">
        <f t="shared" ca="1" si="7"/>
        <v>0</v>
      </c>
      <c r="S173" s="335">
        <f t="shared" ca="1" si="8"/>
        <v>0</v>
      </c>
      <c r="T173" s="429" t="s">
        <v>336</v>
      </c>
      <c r="U173" s="96" t="s">
        <v>337</v>
      </c>
      <c r="V173" s="24" t="s">
        <v>338</v>
      </c>
      <c r="W173" s="21"/>
      <c r="Y173" s="490"/>
    </row>
    <row r="174" spans="1:25" ht="90">
      <c r="A174" s="31">
        <v>171</v>
      </c>
      <c r="B174" s="22" t="s">
        <v>39</v>
      </c>
      <c r="C174" s="22" t="s">
        <v>290</v>
      </c>
      <c r="D174" s="22" t="s">
        <v>324</v>
      </c>
      <c r="E174" s="23" t="s">
        <v>153</v>
      </c>
      <c r="F174" s="22" t="s">
        <v>142</v>
      </c>
      <c r="G174" s="22" t="s">
        <v>154</v>
      </c>
      <c r="H174" s="22" t="s">
        <v>30</v>
      </c>
      <c r="I174" s="22" t="s">
        <v>339</v>
      </c>
      <c r="J174" s="22" t="s">
        <v>156</v>
      </c>
      <c r="K174" s="519" t="s">
        <v>1092</v>
      </c>
      <c r="L174" s="521" t="s">
        <v>1157</v>
      </c>
      <c r="M174" s="521" t="s">
        <v>1158</v>
      </c>
      <c r="N174" s="521" t="s">
        <v>885</v>
      </c>
      <c r="O174" s="22" t="s">
        <v>293</v>
      </c>
      <c r="P174" s="426">
        <v>2020</v>
      </c>
      <c r="Q174" s="533">
        <f t="shared" ca="1" si="6"/>
        <v>2.5751633986928105E-2</v>
      </c>
      <c r="R174" s="335">
        <f t="shared" ca="1" si="7"/>
        <v>0</v>
      </c>
      <c r="S174" s="335">
        <f t="shared" ca="1" si="8"/>
        <v>0</v>
      </c>
      <c r="T174" s="429" t="s">
        <v>340</v>
      </c>
      <c r="U174"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74" s="24"/>
      <c r="W174" s="21"/>
      <c r="Y174" s="490"/>
    </row>
    <row r="175" spans="1:25" ht="120">
      <c r="A175" s="31">
        <v>172</v>
      </c>
      <c r="B175" s="22" t="s">
        <v>39</v>
      </c>
      <c r="C175" s="22" t="s">
        <v>290</v>
      </c>
      <c r="D175" s="22" t="s">
        <v>341</v>
      </c>
      <c r="E175" s="23" t="s">
        <v>342</v>
      </c>
      <c r="F175" s="22" t="s">
        <v>142</v>
      </c>
      <c r="G175" s="22" t="s">
        <v>343</v>
      </c>
      <c r="H175" s="22" t="s">
        <v>30</v>
      </c>
      <c r="I175" s="22" t="s">
        <v>344</v>
      </c>
      <c r="J175" s="22" t="s">
        <v>345</v>
      </c>
      <c r="K175" s="519" t="s">
        <v>1092</v>
      </c>
      <c r="L175" s="521" t="s">
        <v>1159</v>
      </c>
      <c r="M175" s="521" t="s">
        <v>1160</v>
      </c>
      <c r="N175" s="521" t="s">
        <v>885</v>
      </c>
      <c r="O175" s="22" t="s">
        <v>293</v>
      </c>
      <c r="P175" s="426">
        <v>2020</v>
      </c>
      <c r="Q175" s="533">
        <f t="shared" ca="1" si="6"/>
        <v>2.0361879752568055E-3</v>
      </c>
      <c r="R175" s="335">
        <f t="shared" ca="1" si="7"/>
        <v>0</v>
      </c>
      <c r="S175" s="335">
        <f t="shared" ca="1" si="8"/>
        <v>0</v>
      </c>
      <c r="T175" s="429" t="s">
        <v>336</v>
      </c>
      <c r="U175" s="96" t="s">
        <v>337</v>
      </c>
      <c r="V175" s="24" t="s">
        <v>338</v>
      </c>
      <c r="W175" s="21"/>
      <c r="Y175" s="490"/>
    </row>
    <row r="176" spans="1:25" ht="60">
      <c r="A176" s="31">
        <v>173</v>
      </c>
      <c r="B176" s="22" t="s">
        <v>39</v>
      </c>
      <c r="C176" s="22" t="s">
        <v>290</v>
      </c>
      <c r="D176" s="22" t="s">
        <v>341</v>
      </c>
      <c r="E176" s="23" t="s">
        <v>346</v>
      </c>
      <c r="F176" s="22" t="s">
        <v>142</v>
      </c>
      <c r="G176" s="22" t="s">
        <v>347</v>
      </c>
      <c r="H176" s="22" t="s">
        <v>30</v>
      </c>
      <c r="I176" s="22" t="s">
        <v>348</v>
      </c>
      <c r="J176" s="22" t="s">
        <v>349</v>
      </c>
      <c r="K176" s="519" t="s">
        <v>1092</v>
      </c>
      <c r="L176" s="521" t="s">
        <v>1161</v>
      </c>
      <c r="M176" s="521" t="s">
        <v>1162</v>
      </c>
      <c r="N176" s="521" t="s">
        <v>885</v>
      </c>
      <c r="O176" s="22" t="s">
        <v>293</v>
      </c>
      <c r="P176" s="426">
        <v>2020</v>
      </c>
      <c r="Q176" s="533">
        <f t="shared" ca="1" si="6"/>
        <v>2.2148394241417496E-3</v>
      </c>
      <c r="R176" s="335">
        <f t="shared" ca="1" si="7"/>
        <v>0</v>
      </c>
      <c r="S176" s="335">
        <f t="shared" ca="1" si="8"/>
        <v>0</v>
      </c>
      <c r="T176" s="429" t="s">
        <v>350</v>
      </c>
      <c r="U176" s="96" t="s">
        <v>351</v>
      </c>
      <c r="V176" s="24"/>
      <c r="W176" s="21"/>
      <c r="Y176" s="490"/>
    </row>
    <row r="177" spans="1:25" ht="60">
      <c r="A177" s="31">
        <v>174</v>
      </c>
      <c r="B177" s="22" t="s">
        <v>39</v>
      </c>
      <c r="C177" s="22" t="s">
        <v>290</v>
      </c>
      <c r="D177" s="22" t="s">
        <v>341</v>
      </c>
      <c r="E177" s="23" t="s">
        <v>352</v>
      </c>
      <c r="F177" s="22" t="s">
        <v>142</v>
      </c>
      <c r="G177" s="22" t="s">
        <v>347</v>
      </c>
      <c r="H177" s="22" t="s">
        <v>30</v>
      </c>
      <c r="I177" s="22" t="s">
        <v>353</v>
      </c>
      <c r="J177" s="22" t="s">
        <v>354</v>
      </c>
      <c r="K177" s="519" t="s">
        <v>1092</v>
      </c>
      <c r="L177" s="521" t="s">
        <v>1163</v>
      </c>
      <c r="M177" s="521" t="s">
        <v>1164</v>
      </c>
      <c r="N177" s="521" t="s">
        <v>885</v>
      </c>
      <c r="O177" s="22" t="s">
        <v>293</v>
      </c>
      <c r="P177" s="426">
        <v>2020</v>
      </c>
      <c r="Q177" s="533">
        <f t="shared" ca="1" si="6"/>
        <v>2.5229164914641325E-3</v>
      </c>
      <c r="R177" s="335">
        <f t="shared" ca="1" si="7"/>
        <v>0</v>
      </c>
      <c r="S177" s="335">
        <f t="shared" ca="1" si="8"/>
        <v>0</v>
      </c>
      <c r="T177" s="429" t="s">
        <v>355</v>
      </c>
      <c r="U177" s="96" t="s">
        <v>351</v>
      </c>
      <c r="V177" s="24"/>
      <c r="W177" s="21"/>
      <c r="Y177" s="490"/>
    </row>
    <row r="178" spans="1:25" ht="60">
      <c r="A178" s="31">
        <v>175</v>
      </c>
      <c r="B178" s="22" t="s">
        <v>39</v>
      </c>
      <c r="C178" s="22" t="s">
        <v>290</v>
      </c>
      <c r="D178" s="22" t="s">
        <v>341</v>
      </c>
      <c r="E178" s="23" t="s">
        <v>356</v>
      </c>
      <c r="F178" s="22" t="s">
        <v>142</v>
      </c>
      <c r="G178" s="22" t="s">
        <v>347</v>
      </c>
      <c r="H178" s="22" t="s">
        <v>30</v>
      </c>
      <c r="I178" s="22" t="s">
        <v>357</v>
      </c>
      <c r="J178" s="22" t="s">
        <v>358</v>
      </c>
      <c r="K178" s="519" t="s">
        <v>1092</v>
      </c>
      <c r="L178" s="521" t="s">
        <v>1165</v>
      </c>
      <c r="M178" s="521" t="s">
        <v>1166</v>
      </c>
      <c r="N178" s="521" t="s">
        <v>885</v>
      </c>
      <c r="O178" s="22" t="s">
        <v>293</v>
      </c>
      <c r="P178" s="426">
        <v>2020</v>
      </c>
      <c r="Q178" s="533">
        <f t="shared" ca="1" si="6"/>
        <v>1.9343518637394616E-3</v>
      </c>
      <c r="R178" s="335">
        <f t="shared" ca="1" si="7"/>
        <v>0</v>
      </c>
      <c r="S178" s="335">
        <f t="shared" ca="1" si="8"/>
        <v>0</v>
      </c>
      <c r="T178" s="429" t="s">
        <v>359</v>
      </c>
      <c r="U178" s="96" t="s">
        <v>351</v>
      </c>
      <c r="V178" s="24"/>
      <c r="W178" s="21"/>
      <c r="Y178" s="490"/>
    </row>
    <row r="179" spans="1:25" ht="75">
      <c r="A179" s="31">
        <v>176</v>
      </c>
      <c r="B179" s="22" t="s">
        <v>39</v>
      </c>
      <c r="C179" s="22" t="s">
        <v>290</v>
      </c>
      <c r="D179" s="22" t="s">
        <v>341</v>
      </c>
      <c r="E179" s="23" t="s">
        <v>270</v>
      </c>
      <c r="F179" s="22" t="s">
        <v>142</v>
      </c>
      <c r="G179" s="22" t="s">
        <v>360</v>
      </c>
      <c r="H179" s="22" t="s">
        <v>30</v>
      </c>
      <c r="I179" s="22" t="s">
        <v>361</v>
      </c>
      <c r="J179" s="22" t="s">
        <v>362</v>
      </c>
      <c r="K179" s="519" t="s">
        <v>1092</v>
      </c>
      <c r="L179" s="521" t="s">
        <v>1167</v>
      </c>
      <c r="M179" s="521" t="s">
        <v>1168</v>
      </c>
      <c r="N179" s="521" t="s">
        <v>885</v>
      </c>
      <c r="O179" s="22" t="s">
        <v>293</v>
      </c>
      <c r="P179" s="426">
        <v>2020</v>
      </c>
      <c r="Q179" s="533">
        <f t="shared" ca="1" si="6"/>
        <v>2.6143790849673205E-4</v>
      </c>
      <c r="R179" s="335">
        <f t="shared" ca="1" si="7"/>
        <v>0</v>
      </c>
      <c r="S179" s="335">
        <f t="shared" ca="1" si="8"/>
        <v>0</v>
      </c>
      <c r="T179" s="429" t="s">
        <v>363</v>
      </c>
      <c r="U179" s="22"/>
      <c r="V179" s="24"/>
      <c r="W179" s="21"/>
      <c r="Y179" s="490"/>
    </row>
    <row r="180" spans="1:25" ht="30">
      <c r="A180" s="31">
        <v>177</v>
      </c>
      <c r="B180" s="22" t="s">
        <v>39</v>
      </c>
      <c r="C180" s="22" t="s">
        <v>290</v>
      </c>
      <c r="D180" s="22" t="s">
        <v>364</v>
      </c>
      <c r="E180" s="23" t="s">
        <v>91</v>
      </c>
      <c r="F180" s="22" t="s">
        <v>92</v>
      </c>
      <c r="G180" s="22" t="s">
        <v>93</v>
      </c>
      <c r="H180" s="22" t="s">
        <v>30</v>
      </c>
      <c r="I180" s="22" t="s">
        <v>365</v>
      </c>
      <c r="J180" s="22" t="s">
        <v>92</v>
      </c>
      <c r="K180" s="519" t="s">
        <v>1092</v>
      </c>
      <c r="L180" s="521" t="s">
        <v>1169</v>
      </c>
      <c r="M180" s="521" t="s">
        <v>1170</v>
      </c>
      <c r="N180" s="521" t="s">
        <v>885</v>
      </c>
      <c r="O180" s="22" t="s">
        <v>293</v>
      </c>
      <c r="P180" s="426">
        <v>2020</v>
      </c>
      <c r="Q180" s="414">
        <f t="shared" ca="1" si="6"/>
        <v>12.655258112763464</v>
      </c>
      <c r="R180" s="335">
        <f t="shared" ca="1" si="7"/>
        <v>0</v>
      </c>
      <c r="S180" s="335">
        <f t="shared" ca="1" si="8"/>
        <v>0</v>
      </c>
      <c r="T180" s="429"/>
      <c r="U180" s="22"/>
      <c r="V180" s="24"/>
      <c r="W180" s="21"/>
      <c r="Y180" s="490"/>
    </row>
    <row r="181" spans="1:25" ht="30">
      <c r="A181" s="31">
        <v>178</v>
      </c>
      <c r="B181" s="22" t="s">
        <v>39</v>
      </c>
      <c r="C181" s="22" t="s">
        <v>290</v>
      </c>
      <c r="D181" s="22" t="s">
        <v>364</v>
      </c>
      <c r="E181" s="23" t="s">
        <v>91</v>
      </c>
      <c r="F181" s="22" t="s">
        <v>95</v>
      </c>
      <c r="G181" s="22" t="s">
        <v>93</v>
      </c>
      <c r="H181" s="22" t="s">
        <v>30</v>
      </c>
      <c r="I181" s="22" t="s">
        <v>365</v>
      </c>
      <c r="J181" s="22" t="s">
        <v>95</v>
      </c>
      <c r="K181" s="519" t="s">
        <v>1092</v>
      </c>
      <c r="L181" s="521" t="s">
        <v>1171</v>
      </c>
      <c r="M181" s="521" t="s">
        <v>1172</v>
      </c>
      <c r="N181" s="521" t="s">
        <v>885</v>
      </c>
      <c r="O181" s="22" t="s">
        <v>293</v>
      </c>
      <c r="P181" s="426">
        <v>2020</v>
      </c>
      <c r="Q181" s="720">
        <f t="shared" ca="1" si="6"/>
        <v>2.610874750144375E-3</v>
      </c>
      <c r="R181" s="335">
        <f t="shared" ca="1" si="7"/>
        <v>0</v>
      </c>
      <c r="S181" s="335">
        <f t="shared" ca="1" si="8"/>
        <v>0</v>
      </c>
      <c r="T181" s="429"/>
      <c r="U181" s="22"/>
      <c r="V181" s="24"/>
      <c r="W181" s="21"/>
      <c r="Y181" s="490"/>
    </row>
    <row r="182" spans="1:25" ht="30">
      <c r="A182" s="31">
        <v>179</v>
      </c>
      <c r="B182" s="22" t="s">
        <v>39</v>
      </c>
      <c r="C182" s="22" t="s">
        <v>290</v>
      </c>
      <c r="D182" s="22" t="s">
        <v>364</v>
      </c>
      <c r="E182" s="23" t="s">
        <v>91</v>
      </c>
      <c r="F182" s="22" t="s">
        <v>96</v>
      </c>
      <c r="G182" s="22" t="s">
        <v>93</v>
      </c>
      <c r="H182" s="22" t="s">
        <v>30</v>
      </c>
      <c r="I182" s="22" t="s">
        <v>365</v>
      </c>
      <c r="J182" s="22" t="s">
        <v>96</v>
      </c>
      <c r="K182" s="519" t="s">
        <v>1092</v>
      </c>
      <c r="L182" s="521" t="s">
        <v>1173</v>
      </c>
      <c r="M182" s="521" t="s">
        <v>1174</v>
      </c>
      <c r="N182" s="521" t="s">
        <v>885</v>
      </c>
      <c r="O182" s="22" t="s">
        <v>293</v>
      </c>
      <c r="P182" s="426">
        <v>2020</v>
      </c>
      <c r="Q182" s="719">
        <f t="shared" ca="1" si="6"/>
        <v>3.0418270850716668E-2</v>
      </c>
      <c r="R182" s="335">
        <f t="shared" ca="1" si="7"/>
        <v>0</v>
      </c>
      <c r="S182" s="335">
        <f t="shared" ca="1" si="8"/>
        <v>0</v>
      </c>
      <c r="T182" s="429" t="s">
        <v>48</v>
      </c>
      <c r="U182" s="22" t="s">
        <v>49</v>
      </c>
      <c r="V182" s="24"/>
      <c r="W182" s="21"/>
      <c r="Y182" s="490"/>
    </row>
    <row r="183" spans="1:25" ht="30">
      <c r="A183" s="31">
        <v>180</v>
      </c>
      <c r="B183" s="22" t="s">
        <v>39</v>
      </c>
      <c r="C183" s="22" t="s">
        <v>290</v>
      </c>
      <c r="D183" s="22" t="s">
        <v>364</v>
      </c>
      <c r="E183" s="23" t="s">
        <v>91</v>
      </c>
      <c r="F183" s="22" t="s">
        <v>97</v>
      </c>
      <c r="G183" s="22" t="s">
        <v>93</v>
      </c>
      <c r="H183" s="22" t="s">
        <v>30</v>
      </c>
      <c r="I183" s="22" t="s">
        <v>365</v>
      </c>
      <c r="J183" s="22" t="s">
        <v>97</v>
      </c>
      <c r="K183" s="519" t="s">
        <v>1092</v>
      </c>
      <c r="L183" s="521" t="s">
        <v>1175</v>
      </c>
      <c r="M183" s="521" t="s">
        <v>1176</v>
      </c>
      <c r="N183" s="521" t="s">
        <v>885</v>
      </c>
      <c r="O183" s="22" t="s">
        <v>293</v>
      </c>
      <c r="P183" s="426">
        <v>2020</v>
      </c>
      <c r="Q183" s="414">
        <f t="shared" ca="1" si="6"/>
        <v>143.83056313145227</v>
      </c>
      <c r="R183" s="335">
        <f t="shared" ca="1" si="7"/>
        <v>0</v>
      </c>
      <c r="S183" s="335">
        <f t="shared" ca="1" si="8"/>
        <v>0</v>
      </c>
      <c r="T183" s="429"/>
      <c r="U183" s="22"/>
      <c r="V183" s="24"/>
      <c r="W183" s="21"/>
      <c r="Y183" s="490"/>
    </row>
    <row r="184" spans="1:25" ht="30">
      <c r="A184" s="31">
        <v>181</v>
      </c>
      <c r="B184" s="22" t="s">
        <v>39</v>
      </c>
      <c r="C184" s="22" t="s">
        <v>290</v>
      </c>
      <c r="D184" s="22" t="s">
        <v>364</v>
      </c>
      <c r="E184" s="23" t="s">
        <v>91</v>
      </c>
      <c r="F184" s="22" t="s">
        <v>98</v>
      </c>
      <c r="G184" s="22" t="s">
        <v>93</v>
      </c>
      <c r="H184" s="22" t="s">
        <v>30</v>
      </c>
      <c r="I184" s="22" t="s">
        <v>365</v>
      </c>
      <c r="J184" s="22" t="s">
        <v>98</v>
      </c>
      <c r="K184" s="519" t="s">
        <v>1092</v>
      </c>
      <c r="L184" s="521" t="s">
        <v>1177</v>
      </c>
      <c r="M184" s="521" t="s">
        <v>1178</v>
      </c>
      <c r="N184" s="521" t="s">
        <v>885</v>
      </c>
      <c r="O184" s="22" t="s">
        <v>293</v>
      </c>
      <c r="P184" s="426">
        <v>2020</v>
      </c>
      <c r="Q184" s="414">
        <f t="shared" ca="1" si="6"/>
        <v>2.9673324892537812E-2</v>
      </c>
      <c r="R184" s="335">
        <f t="shared" ca="1" si="7"/>
        <v>0</v>
      </c>
      <c r="S184" s="335">
        <f t="shared" ca="1" si="8"/>
        <v>0</v>
      </c>
      <c r="T184" s="429"/>
      <c r="U184" s="22"/>
      <c r="V184" s="24"/>
      <c r="W184" s="21"/>
      <c r="Y184" s="490"/>
    </row>
    <row r="185" spans="1:25" ht="30">
      <c r="A185" s="31">
        <v>182</v>
      </c>
      <c r="B185" s="22" t="s">
        <v>39</v>
      </c>
      <c r="C185" s="22" t="s">
        <v>290</v>
      </c>
      <c r="D185" s="22" t="s">
        <v>364</v>
      </c>
      <c r="E185" s="23" t="s">
        <v>91</v>
      </c>
      <c r="F185" s="22" t="s">
        <v>99</v>
      </c>
      <c r="G185" s="22" t="s">
        <v>93</v>
      </c>
      <c r="H185" s="22" t="s">
        <v>30</v>
      </c>
      <c r="I185" s="22" t="s">
        <v>365</v>
      </c>
      <c r="J185" s="22" t="s">
        <v>99</v>
      </c>
      <c r="K185" s="519" t="s">
        <v>1092</v>
      </c>
      <c r="L185" s="521" t="s">
        <v>1179</v>
      </c>
      <c r="M185" s="521" t="s">
        <v>1180</v>
      </c>
      <c r="N185" s="521" t="s">
        <v>885</v>
      </c>
      <c r="O185" s="22" t="s">
        <v>293</v>
      </c>
      <c r="P185" s="426">
        <v>2020</v>
      </c>
      <c r="Q185" s="414">
        <f t="shared" ca="1" si="6"/>
        <v>0.34571219227295985</v>
      </c>
      <c r="R185" s="335">
        <f t="shared" ca="1" si="7"/>
        <v>0</v>
      </c>
      <c r="S185" s="335">
        <f t="shared" ca="1" si="8"/>
        <v>0</v>
      </c>
      <c r="T185" s="429" t="s">
        <v>48</v>
      </c>
      <c r="U185" s="22" t="s">
        <v>49</v>
      </c>
      <c r="V185" s="24"/>
      <c r="W185" s="21"/>
      <c r="Y185" s="490"/>
    </row>
    <row r="186" spans="1:25" ht="60">
      <c r="A186" s="31">
        <v>183</v>
      </c>
      <c r="B186" s="22" t="s">
        <v>39</v>
      </c>
      <c r="C186" s="22" t="s">
        <v>366</v>
      </c>
      <c r="D186" s="22" t="s">
        <v>367</v>
      </c>
      <c r="E186" s="23" t="s">
        <v>368</v>
      </c>
      <c r="F186" s="22" t="s">
        <v>142</v>
      </c>
      <c r="G186" s="22" t="s">
        <v>369</v>
      </c>
      <c r="H186" s="22" t="s">
        <v>164</v>
      </c>
      <c r="I186" s="22" t="s">
        <v>370</v>
      </c>
      <c r="J186" s="22" t="s">
        <v>371</v>
      </c>
      <c r="K186" s="519" t="s">
        <v>1092</v>
      </c>
      <c r="L186" s="521" t="s">
        <v>1181</v>
      </c>
      <c r="M186" s="521" t="s">
        <v>1182</v>
      </c>
      <c r="N186" s="521" t="s">
        <v>885</v>
      </c>
      <c r="O186" s="22" t="s">
        <v>293</v>
      </c>
      <c r="P186" s="426">
        <v>2020</v>
      </c>
      <c r="Q186" s="533">
        <f t="shared" ca="1" si="6"/>
        <v>0</v>
      </c>
      <c r="R186" s="335">
        <f t="shared" ca="1" si="7"/>
        <v>0</v>
      </c>
      <c r="S186" s="335">
        <f t="shared" ca="1" si="8"/>
        <v>0</v>
      </c>
      <c r="T186" s="429" t="s">
        <v>372</v>
      </c>
      <c r="U186" s="22"/>
      <c r="V186" s="24"/>
      <c r="W186" s="21"/>
      <c r="Y186" s="490"/>
    </row>
    <row r="187" spans="1:25" ht="30">
      <c r="A187" s="31">
        <v>184</v>
      </c>
      <c r="B187" s="22" t="s">
        <v>39</v>
      </c>
      <c r="C187" s="22" t="s">
        <v>366</v>
      </c>
      <c r="D187" s="22" t="s">
        <v>367</v>
      </c>
      <c r="E187" s="23" t="s">
        <v>373</v>
      </c>
      <c r="F187" s="22" t="s">
        <v>142</v>
      </c>
      <c r="G187" s="22" t="s">
        <v>369</v>
      </c>
      <c r="H187" s="22" t="s">
        <v>164</v>
      </c>
      <c r="I187" s="22" t="s">
        <v>374</v>
      </c>
      <c r="J187" s="22" t="s">
        <v>375</v>
      </c>
      <c r="K187" s="519" t="s">
        <v>1092</v>
      </c>
      <c r="L187" s="521" t="s">
        <v>1183</v>
      </c>
      <c r="M187" s="521" t="s">
        <v>1184</v>
      </c>
      <c r="N187" s="521" t="s">
        <v>885</v>
      </c>
      <c r="O187" s="22" t="s">
        <v>293</v>
      </c>
      <c r="P187" s="426">
        <v>2020</v>
      </c>
      <c r="Q187" s="533">
        <f t="shared" ca="1" si="6"/>
        <v>0</v>
      </c>
      <c r="R187" s="335">
        <f t="shared" ca="1" si="7"/>
        <v>0</v>
      </c>
      <c r="S187" s="335">
        <f t="shared" ca="1" si="8"/>
        <v>0</v>
      </c>
      <c r="T187" s="429" t="s">
        <v>376</v>
      </c>
      <c r="U187" s="22"/>
      <c r="V187" s="24"/>
      <c r="W187" s="21"/>
      <c r="Y187" s="490"/>
    </row>
    <row r="188" spans="1:25" ht="30">
      <c r="A188" s="31">
        <v>185</v>
      </c>
      <c r="B188" s="22" t="s">
        <v>39</v>
      </c>
      <c r="C188" s="22" t="s">
        <v>366</v>
      </c>
      <c r="D188" s="22" t="s">
        <v>377</v>
      </c>
      <c r="E188" s="23" t="s">
        <v>378</v>
      </c>
      <c r="F188" s="22" t="s">
        <v>142</v>
      </c>
      <c r="G188" s="22" t="s">
        <v>379</v>
      </c>
      <c r="H188" s="22" t="s">
        <v>164</v>
      </c>
      <c r="I188" s="22" t="s">
        <v>380</v>
      </c>
      <c r="J188" s="22" t="s">
        <v>381</v>
      </c>
      <c r="K188" s="519" t="s">
        <v>1092</v>
      </c>
      <c r="L188" s="521" t="s">
        <v>1185</v>
      </c>
      <c r="M188" s="521" t="s">
        <v>1186</v>
      </c>
      <c r="N188" s="521" t="s">
        <v>885</v>
      </c>
      <c r="O188" s="22" t="s">
        <v>293</v>
      </c>
      <c r="P188" s="426">
        <v>2020</v>
      </c>
      <c r="Q188" s="533">
        <f t="shared" ca="1" si="6"/>
        <v>0</v>
      </c>
      <c r="R188" s="335">
        <f t="shared" ca="1" si="7"/>
        <v>0</v>
      </c>
      <c r="S188" s="335">
        <f t="shared" ca="1" si="8"/>
        <v>0</v>
      </c>
      <c r="T188" s="429" t="s">
        <v>383</v>
      </c>
      <c r="U188" s="22"/>
      <c r="V188" s="24"/>
      <c r="W188" s="21"/>
      <c r="Y188" s="490"/>
    </row>
    <row r="189" spans="1:25" ht="30">
      <c r="A189" s="31">
        <v>186</v>
      </c>
      <c r="B189" s="22" t="s">
        <v>39</v>
      </c>
      <c r="C189" s="22" t="s">
        <v>366</v>
      </c>
      <c r="D189" s="22" t="s">
        <v>377</v>
      </c>
      <c r="E189" s="23" t="s">
        <v>384</v>
      </c>
      <c r="F189" s="22" t="s">
        <v>142</v>
      </c>
      <c r="G189" s="22" t="s">
        <v>379</v>
      </c>
      <c r="H189" s="22" t="s">
        <v>164</v>
      </c>
      <c r="I189" s="22" t="s">
        <v>385</v>
      </c>
      <c r="J189" s="22" t="s">
        <v>386</v>
      </c>
      <c r="K189" s="519" t="s">
        <v>1092</v>
      </c>
      <c r="L189" s="521" t="s">
        <v>1187</v>
      </c>
      <c r="M189" s="521" t="s">
        <v>1188</v>
      </c>
      <c r="N189" s="521" t="s">
        <v>885</v>
      </c>
      <c r="O189" s="22" t="s">
        <v>293</v>
      </c>
      <c r="P189" s="426">
        <v>2020</v>
      </c>
      <c r="Q189" s="533">
        <f t="shared" ca="1" si="6"/>
        <v>0</v>
      </c>
      <c r="R189" s="335">
        <f t="shared" ca="1" si="7"/>
        <v>0</v>
      </c>
      <c r="S189" s="335">
        <f t="shared" ca="1" si="8"/>
        <v>0</v>
      </c>
      <c r="T189" s="429" t="s">
        <v>383</v>
      </c>
      <c r="U189" s="22"/>
      <c r="V189" s="24"/>
      <c r="W189" s="21"/>
      <c r="Y189" s="490"/>
    </row>
    <row r="190" spans="1:25" ht="30">
      <c r="A190" s="31">
        <v>187</v>
      </c>
      <c r="B190" s="22" t="s">
        <v>39</v>
      </c>
      <c r="C190" s="22" t="s">
        <v>366</v>
      </c>
      <c r="D190" s="22" t="s">
        <v>387</v>
      </c>
      <c r="E190" s="23" t="s">
        <v>388</v>
      </c>
      <c r="F190" s="22" t="s">
        <v>142</v>
      </c>
      <c r="G190" s="22" t="s">
        <v>389</v>
      </c>
      <c r="H190" s="22" t="s">
        <v>164</v>
      </c>
      <c r="I190" s="22" t="s">
        <v>390</v>
      </c>
      <c r="J190" s="22" t="s">
        <v>391</v>
      </c>
      <c r="K190" s="519" t="s">
        <v>1092</v>
      </c>
      <c r="L190" s="521" t="s">
        <v>1189</v>
      </c>
      <c r="M190" s="521" t="s">
        <v>1190</v>
      </c>
      <c r="N190" s="521" t="s">
        <v>885</v>
      </c>
      <c r="O190" s="22" t="s">
        <v>293</v>
      </c>
      <c r="P190" s="426">
        <v>2020</v>
      </c>
      <c r="Q190" s="533">
        <f t="shared" ca="1" si="6"/>
        <v>0</v>
      </c>
      <c r="R190" s="335">
        <f t="shared" ca="1" si="7"/>
        <v>0</v>
      </c>
      <c r="S190" s="335">
        <f t="shared" ca="1" si="8"/>
        <v>0</v>
      </c>
      <c r="T190" s="429" t="s">
        <v>392</v>
      </c>
      <c r="U190" s="22"/>
      <c r="V190" s="24"/>
      <c r="W190" s="21"/>
      <c r="Y190" s="490"/>
    </row>
    <row r="191" spans="1:25" ht="45" hidden="1">
      <c r="A191" s="31">
        <v>188</v>
      </c>
      <c r="B191" s="22" t="s">
        <v>39</v>
      </c>
      <c r="C191" s="22" t="s">
        <v>366</v>
      </c>
      <c r="D191" s="22" t="s">
        <v>141</v>
      </c>
      <c r="E191" s="23" t="s">
        <v>51</v>
      </c>
      <c r="F191" s="22" t="s">
        <v>52</v>
      </c>
      <c r="G191" s="22" t="s">
        <v>53</v>
      </c>
      <c r="H191" s="22" t="s">
        <v>30</v>
      </c>
      <c r="I191" s="22" t="s">
        <v>393</v>
      </c>
      <c r="J191" s="22" t="s">
        <v>52</v>
      </c>
      <c r="K191" s="519" t="s">
        <v>1191</v>
      </c>
      <c r="L191" s="521" t="s">
        <v>1192</v>
      </c>
      <c r="M191" s="521" t="s">
        <v>1193</v>
      </c>
      <c r="N191" s="521" t="s">
        <v>815</v>
      </c>
      <c r="O191" s="22" t="s">
        <v>394</v>
      </c>
      <c r="P191" s="426">
        <v>2020</v>
      </c>
      <c r="Q191" s="414">
        <f t="shared" ca="1" si="6"/>
        <v>1897.323159941147</v>
      </c>
      <c r="R191" s="335" t="str">
        <f t="shared" ca="1" si="7"/>
        <v>N/A</v>
      </c>
      <c r="S191" s="335" t="str">
        <f t="shared" ca="1" si="8"/>
        <v>N/A</v>
      </c>
      <c r="T191" s="429" t="s">
        <v>899</v>
      </c>
      <c r="U191" s="22"/>
      <c r="V191" s="24"/>
      <c r="W191" s="21"/>
      <c r="Y191" s="490"/>
    </row>
    <row r="192" spans="1:25" ht="45" hidden="1">
      <c r="A192" s="31">
        <v>189</v>
      </c>
      <c r="B192" s="22" t="s">
        <v>39</v>
      </c>
      <c r="C192" s="22" t="s">
        <v>366</v>
      </c>
      <c r="D192" s="22" t="s">
        <v>141</v>
      </c>
      <c r="E192" s="23" t="s">
        <v>51</v>
      </c>
      <c r="F192" s="22" t="s">
        <v>55</v>
      </c>
      <c r="G192" s="22" t="s">
        <v>53</v>
      </c>
      <c r="H192" s="22" t="s">
        <v>30</v>
      </c>
      <c r="I192" s="22" t="s">
        <v>393</v>
      </c>
      <c r="J192" s="22" t="s">
        <v>55</v>
      </c>
      <c r="K192" s="519" t="s">
        <v>1191</v>
      </c>
      <c r="L192" s="521" t="s">
        <v>1194</v>
      </c>
      <c r="M192" s="521" t="s">
        <v>1195</v>
      </c>
      <c r="N192" s="521" t="s">
        <v>815</v>
      </c>
      <c r="O192" s="22" t="s">
        <v>394</v>
      </c>
      <c r="P192" s="426">
        <v>2020</v>
      </c>
      <c r="Q192" s="414">
        <f t="shared" ca="1" si="6"/>
        <v>1409.4834003058486</v>
      </c>
      <c r="R192" s="335" t="str">
        <f t="shared" ca="1" si="7"/>
        <v>N/A</v>
      </c>
      <c r="S192" s="335" t="str">
        <f t="shared" ca="1" si="8"/>
        <v>N/A</v>
      </c>
      <c r="T192" s="429" t="s">
        <v>899</v>
      </c>
      <c r="U192" s="22"/>
      <c r="V192" s="24"/>
      <c r="W192" s="21"/>
      <c r="Y192" s="490"/>
    </row>
    <row r="193" spans="1:25" ht="45" hidden="1">
      <c r="A193" s="31">
        <v>190</v>
      </c>
      <c r="B193" s="22" t="s">
        <v>39</v>
      </c>
      <c r="C193" s="22" t="s">
        <v>366</v>
      </c>
      <c r="D193" s="22" t="s">
        <v>141</v>
      </c>
      <c r="E193" s="23" t="s">
        <v>51</v>
      </c>
      <c r="F193" s="22" t="s">
        <v>56</v>
      </c>
      <c r="G193" s="22" t="s">
        <v>53</v>
      </c>
      <c r="H193" s="22" t="s">
        <v>30</v>
      </c>
      <c r="I193" s="22" t="s">
        <v>393</v>
      </c>
      <c r="J193" s="22" t="s">
        <v>56</v>
      </c>
      <c r="K193" s="519" t="s">
        <v>1191</v>
      </c>
      <c r="L193" s="521" t="s">
        <v>1196</v>
      </c>
      <c r="M193" s="521" t="s">
        <v>1197</v>
      </c>
      <c r="N193" s="521" t="s">
        <v>815</v>
      </c>
      <c r="O193" s="22" t="s">
        <v>394</v>
      </c>
      <c r="P193" s="426">
        <v>2020</v>
      </c>
      <c r="Q193" s="414">
        <f t="shared" ca="1" si="6"/>
        <v>14438508.915031388</v>
      </c>
      <c r="R193" s="335" t="str">
        <f t="shared" ca="1" si="7"/>
        <v>N/A</v>
      </c>
      <c r="S193" s="335" t="str">
        <f t="shared" ca="1" si="8"/>
        <v>N/A</v>
      </c>
      <c r="T193" s="429" t="s">
        <v>899</v>
      </c>
      <c r="U193" s="22"/>
      <c r="V193" s="24"/>
      <c r="W193" s="21"/>
      <c r="Y193" s="490"/>
    </row>
    <row r="194" spans="1:25" ht="45" hidden="1">
      <c r="A194" s="31">
        <v>191</v>
      </c>
      <c r="B194" s="22" t="s">
        <v>39</v>
      </c>
      <c r="C194" s="22" t="s">
        <v>366</v>
      </c>
      <c r="D194" s="22" t="s">
        <v>141</v>
      </c>
      <c r="E194" s="23" t="s">
        <v>51</v>
      </c>
      <c r="F194" s="22" t="s">
        <v>57</v>
      </c>
      <c r="G194" s="22" t="s">
        <v>53</v>
      </c>
      <c r="H194" s="22" t="s">
        <v>30</v>
      </c>
      <c r="I194" s="22" t="s">
        <v>393</v>
      </c>
      <c r="J194" s="22" t="s">
        <v>57</v>
      </c>
      <c r="K194" s="519" t="s">
        <v>1191</v>
      </c>
      <c r="L194" s="521" t="s">
        <v>1198</v>
      </c>
      <c r="M194" s="521" t="s">
        <v>1199</v>
      </c>
      <c r="N194" s="521" t="s">
        <v>815</v>
      </c>
      <c r="O194" s="22" t="s">
        <v>394</v>
      </c>
      <c r="P194" s="426">
        <v>2020</v>
      </c>
      <c r="Q194" s="414">
        <f t="shared" ca="1" si="6"/>
        <v>10977955.680839896</v>
      </c>
      <c r="R194" s="335" t="str">
        <f t="shared" ca="1" si="7"/>
        <v>N/A</v>
      </c>
      <c r="S194" s="335" t="str">
        <f t="shared" ca="1" si="8"/>
        <v>N/A</v>
      </c>
      <c r="T194" s="429" t="s">
        <v>899</v>
      </c>
      <c r="U194" s="22"/>
      <c r="V194" s="24"/>
      <c r="W194" s="21"/>
      <c r="Y194" s="490"/>
    </row>
    <row r="195" spans="1:25" ht="45" hidden="1">
      <c r="A195" s="31">
        <v>192</v>
      </c>
      <c r="B195" s="22" t="s">
        <v>39</v>
      </c>
      <c r="C195" s="22" t="s">
        <v>366</v>
      </c>
      <c r="D195" s="22" t="s">
        <v>141</v>
      </c>
      <c r="E195" s="23" t="s">
        <v>51</v>
      </c>
      <c r="F195" s="22" t="s">
        <v>58</v>
      </c>
      <c r="G195" s="22" t="s">
        <v>53</v>
      </c>
      <c r="H195" s="22" t="s">
        <v>30</v>
      </c>
      <c r="I195" s="22" t="s">
        <v>393</v>
      </c>
      <c r="J195" s="22" t="s">
        <v>58</v>
      </c>
      <c r="K195" s="519" t="s">
        <v>1191</v>
      </c>
      <c r="L195" s="521" t="s">
        <v>1200</v>
      </c>
      <c r="M195" s="521" t="s">
        <v>1201</v>
      </c>
      <c r="N195" s="521" t="s">
        <v>815</v>
      </c>
      <c r="O195" s="22" t="s">
        <v>394</v>
      </c>
      <c r="P195" s="426">
        <v>2020</v>
      </c>
      <c r="Q195" s="414">
        <f t="shared" ref="Q195:Q258" ca="1" si="9">SUMIF(INDIRECT("'"&amp;K195&amp;"'!c:c"),A195,INDIRECT("'"&amp;K195&amp;"'!h:h"))</f>
        <v>190743.77595599869</v>
      </c>
      <c r="R195" s="335" t="str">
        <f t="shared" ref="R195:R258" ca="1" si="10">IF($N195 = "N","N/A",SUMIF(INDIRECT("'"&amp;K195&amp;"'!i:i"),L195,INDIRECT("'"&amp;K195&amp;"'!o:o")))</f>
        <v>N/A</v>
      </c>
      <c r="S195" s="335" t="str">
        <f t="shared" ref="S195:S258" ca="1" si="11">IF($N195 = "N","N/A",SUMIF(INDIRECT("'"&amp;K195&amp;"'!i:i"),M195,INDIRECT("'"&amp;K195&amp;"'!o:o")))</f>
        <v>N/A</v>
      </c>
      <c r="T195" s="429" t="s">
        <v>899</v>
      </c>
      <c r="U195" s="305" t="s">
        <v>395</v>
      </c>
      <c r="V195" s="24"/>
      <c r="W195" s="21"/>
      <c r="Y195" s="490"/>
    </row>
    <row r="196" spans="1:25" ht="45" hidden="1">
      <c r="A196" s="31">
        <v>193</v>
      </c>
      <c r="B196" s="22" t="s">
        <v>39</v>
      </c>
      <c r="C196" s="22" t="s">
        <v>366</v>
      </c>
      <c r="D196" s="22" t="s">
        <v>141</v>
      </c>
      <c r="E196" s="23" t="s">
        <v>51</v>
      </c>
      <c r="F196" s="22" t="s">
        <v>60</v>
      </c>
      <c r="G196" s="22" t="s">
        <v>53</v>
      </c>
      <c r="H196" s="22" t="s">
        <v>30</v>
      </c>
      <c r="I196" s="22" t="s">
        <v>393</v>
      </c>
      <c r="J196" s="22" t="s">
        <v>60</v>
      </c>
      <c r="K196" s="519" t="s">
        <v>1191</v>
      </c>
      <c r="L196" s="521" t="s">
        <v>1202</v>
      </c>
      <c r="M196" s="521" t="s">
        <v>1203</v>
      </c>
      <c r="N196" s="521" t="s">
        <v>815</v>
      </c>
      <c r="O196" s="22" t="s">
        <v>394</v>
      </c>
      <c r="P196" s="426">
        <v>2020</v>
      </c>
      <c r="Q196" s="414">
        <f t="shared" ca="1" si="9"/>
        <v>166308.49588132161</v>
      </c>
      <c r="R196" s="335" t="str">
        <f t="shared" ca="1" si="10"/>
        <v>N/A</v>
      </c>
      <c r="S196" s="335" t="str">
        <f t="shared" ca="1" si="11"/>
        <v>N/A</v>
      </c>
      <c r="T196" s="429" t="s">
        <v>899</v>
      </c>
      <c r="U196" s="305" t="s">
        <v>395</v>
      </c>
      <c r="V196" s="24"/>
      <c r="W196" s="21"/>
      <c r="Y196" s="490"/>
    </row>
    <row r="197" spans="1:25" ht="45" hidden="1">
      <c r="A197" s="31">
        <v>194</v>
      </c>
      <c r="B197" s="22" t="s">
        <v>39</v>
      </c>
      <c r="C197" s="22" t="s">
        <v>366</v>
      </c>
      <c r="D197" s="22" t="s">
        <v>141</v>
      </c>
      <c r="E197" s="23" t="s">
        <v>51</v>
      </c>
      <c r="F197" s="22" t="s">
        <v>61</v>
      </c>
      <c r="G197" s="22" t="s">
        <v>53</v>
      </c>
      <c r="H197" s="22" t="s">
        <v>30</v>
      </c>
      <c r="I197" s="22" t="s">
        <v>393</v>
      </c>
      <c r="J197" s="22" t="s">
        <v>61</v>
      </c>
      <c r="K197" s="519" t="s">
        <v>1191</v>
      </c>
      <c r="L197" s="521" t="s">
        <v>1204</v>
      </c>
      <c r="M197" s="521" t="s">
        <v>1205</v>
      </c>
      <c r="N197" s="521" t="s">
        <v>815</v>
      </c>
      <c r="O197" s="22" t="s">
        <v>394</v>
      </c>
      <c r="P197" s="426">
        <v>2020</v>
      </c>
      <c r="Q197" s="414">
        <f t="shared" ca="1" si="9"/>
        <v>17778.648464718222</v>
      </c>
      <c r="R197" s="335" t="str">
        <f t="shared" ca="1" si="10"/>
        <v>N/A</v>
      </c>
      <c r="S197" s="335" t="str">
        <f t="shared" ca="1" si="11"/>
        <v>N/A</v>
      </c>
      <c r="T197" s="429" t="s">
        <v>899</v>
      </c>
      <c r="U197" s="22"/>
      <c r="V197" s="24"/>
      <c r="W197" s="21"/>
      <c r="Y197" s="490"/>
    </row>
    <row r="198" spans="1:25" ht="45" hidden="1">
      <c r="A198" s="31">
        <v>195</v>
      </c>
      <c r="B198" s="22" t="s">
        <v>39</v>
      </c>
      <c r="C198" s="22" t="s">
        <v>366</v>
      </c>
      <c r="D198" s="22" t="s">
        <v>141</v>
      </c>
      <c r="E198" s="23" t="s">
        <v>51</v>
      </c>
      <c r="F198" s="22" t="s">
        <v>62</v>
      </c>
      <c r="G198" s="22" t="s">
        <v>53</v>
      </c>
      <c r="H198" s="22" t="s">
        <v>30</v>
      </c>
      <c r="I198" s="22" t="s">
        <v>393</v>
      </c>
      <c r="J198" s="22" t="s">
        <v>62</v>
      </c>
      <c r="K198" s="519" t="s">
        <v>1191</v>
      </c>
      <c r="L198" s="521" t="s">
        <v>1206</v>
      </c>
      <c r="M198" s="521" t="s">
        <v>1207</v>
      </c>
      <c r="N198" s="521" t="s">
        <v>815</v>
      </c>
      <c r="O198" s="22" t="s">
        <v>394</v>
      </c>
      <c r="P198" s="426">
        <v>2020</v>
      </c>
      <c r="Q198" s="414">
        <f t="shared" ca="1" si="9"/>
        <v>12459.039077470705</v>
      </c>
      <c r="R198" s="335" t="str">
        <f t="shared" ca="1" si="10"/>
        <v>N/A</v>
      </c>
      <c r="S198" s="335" t="str">
        <f t="shared" ca="1" si="11"/>
        <v>N/A</v>
      </c>
      <c r="T198" s="429" t="s">
        <v>899</v>
      </c>
      <c r="U198" s="22"/>
      <c r="V198" s="24"/>
      <c r="W198" s="21"/>
      <c r="Y198" s="490"/>
    </row>
    <row r="199" spans="1:25" ht="45" hidden="1">
      <c r="A199" s="31">
        <v>196</v>
      </c>
      <c r="B199" s="22" t="s">
        <v>39</v>
      </c>
      <c r="C199" s="22" t="s">
        <v>366</v>
      </c>
      <c r="D199" s="22" t="s">
        <v>141</v>
      </c>
      <c r="E199" s="23" t="s">
        <v>51</v>
      </c>
      <c r="F199" s="22" t="s">
        <v>63</v>
      </c>
      <c r="G199" s="22" t="s">
        <v>53</v>
      </c>
      <c r="H199" s="22" t="s">
        <v>30</v>
      </c>
      <c r="I199" s="22" t="s">
        <v>393</v>
      </c>
      <c r="J199" s="22" t="s">
        <v>63</v>
      </c>
      <c r="K199" s="519" t="s">
        <v>1191</v>
      </c>
      <c r="L199" s="521" t="s">
        <v>1208</v>
      </c>
      <c r="M199" s="521" t="s">
        <v>1209</v>
      </c>
      <c r="N199" s="521" t="s">
        <v>815</v>
      </c>
      <c r="O199" s="22" t="s">
        <v>394</v>
      </c>
      <c r="P199" s="426">
        <v>2020</v>
      </c>
      <c r="Q199" s="414">
        <f t="shared" ca="1" si="9"/>
        <v>121695934.54045625</v>
      </c>
      <c r="R199" s="335" t="str">
        <f t="shared" ca="1" si="10"/>
        <v>N/A</v>
      </c>
      <c r="S199" s="335" t="str">
        <f t="shared" ca="1" si="11"/>
        <v>N/A</v>
      </c>
      <c r="T199" s="429" t="s">
        <v>899</v>
      </c>
      <c r="U199" s="22"/>
      <c r="V199" s="24"/>
      <c r="W199" s="21"/>
      <c r="Y199" s="490"/>
    </row>
    <row r="200" spans="1:25" ht="45" hidden="1">
      <c r="A200" s="31">
        <v>197</v>
      </c>
      <c r="B200" s="22" t="s">
        <v>39</v>
      </c>
      <c r="C200" s="22" t="s">
        <v>366</v>
      </c>
      <c r="D200" s="22" t="s">
        <v>141</v>
      </c>
      <c r="E200" s="23" t="s">
        <v>51</v>
      </c>
      <c r="F200" s="22" t="s">
        <v>64</v>
      </c>
      <c r="G200" s="22" t="s">
        <v>53</v>
      </c>
      <c r="H200" s="22" t="s">
        <v>30</v>
      </c>
      <c r="I200" s="22" t="s">
        <v>393</v>
      </c>
      <c r="J200" s="22" t="s">
        <v>64</v>
      </c>
      <c r="K200" s="519" t="s">
        <v>1191</v>
      </c>
      <c r="L200" s="521" t="s">
        <v>1210</v>
      </c>
      <c r="M200" s="521" t="s">
        <v>1211</v>
      </c>
      <c r="N200" s="521" t="s">
        <v>815</v>
      </c>
      <c r="O200" s="22" t="s">
        <v>394</v>
      </c>
      <c r="P200" s="426">
        <v>2020</v>
      </c>
      <c r="Q200" s="414">
        <f t="shared" ca="1" si="9"/>
        <v>85131325.578947797</v>
      </c>
      <c r="R200" s="335" t="str">
        <f t="shared" ca="1" si="10"/>
        <v>N/A</v>
      </c>
      <c r="S200" s="335" t="str">
        <f t="shared" ca="1" si="11"/>
        <v>N/A</v>
      </c>
      <c r="T200" s="429" t="s">
        <v>899</v>
      </c>
      <c r="U200" s="22"/>
      <c r="V200" s="24"/>
      <c r="W200" s="21"/>
      <c r="Y200" s="490"/>
    </row>
    <row r="201" spans="1:25" ht="45" hidden="1">
      <c r="A201" s="31">
        <v>198</v>
      </c>
      <c r="B201" s="22" t="s">
        <v>39</v>
      </c>
      <c r="C201" s="22" t="s">
        <v>366</v>
      </c>
      <c r="D201" s="22" t="s">
        <v>141</v>
      </c>
      <c r="E201" s="23" t="s">
        <v>51</v>
      </c>
      <c r="F201" s="22" t="s">
        <v>65</v>
      </c>
      <c r="G201" s="22" t="s">
        <v>53</v>
      </c>
      <c r="H201" s="22" t="s">
        <v>30</v>
      </c>
      <c r="I201" s="22" t="s">
        <v>393</v>
      </c>
      <c r="J201" s="22" t="s">
        <v>65</v>
      </c>
      <c r="K201" s="519" t="s">
        <v>1191</v>
      </c>
      <c r="L201" s="521" t="s">
        <v>1212</v>
      </c>
      <c r="M201" s="521" t="s">
        <v>1213</v>
      </c>
      <c r="N201" s="521" t="s">
        <v>815</v>
      </c>
      <c r="O201" s="22" t="s">
        <v>394</v>
      </c>
      <c r="P201" s="426">
        <v>2020</v>
      </c>
      <c r="Q201" s="414">
        <f t="shared" ca="1" si="9"/>
        <v>1363967.5102556366</v>
      </c>
      <c r="R201" s="335" t="str">
        <f t="shared" ca="1" si="10"/>
        <v>N/A</v>
      </c>
      <c r="S201" s="335" t="str">
        <f t="shared" ca="1" si="11"/>
        <v>N/A</v>
      </c>
      <c r="T201" s="429" t="s">
        <v>899</v>
      </c>
      <c r="U201" s="305"/>
      <c r="V201" s="24"/>
      <c r="W201" s="21"/>
      <c r="Y201" s="490"/>
    </row>
    <row r="202" spans="1:25" ht="45" hidden="1">
      <c r="A202" s="31">
        <v>199</v>
      </c>
      <c r="B202" s="22" t="s">
        <v>39</v>
      </c>
      <c r="C202" s="22" t="s">
        <v>366</v>
      </c>
      <c r="D202" s="22" t="s">
        <v>141</v>
      </c>
      <c r="E202" s="23" t="s">
        <v>51</v>
      </c>
      <c r="F202" s="22" t="s">
        <v>66</v>
      </c>
      <c r="G202" s="22" t="s">
        <v>53</v>
      </c>
      <c r="H202" s="22" t="s">
        <v>30</v>
      </c>
      <c r="I202" s="22" t="s">
        <v>393</v>
      </c>
      <c r="J202" s="22" t="s">
        <v>66</v>
      </c>
      <c r="K202" s="519" t="s">
        <v>1191</v>
      </c>
      <c r="L202" s="521" t="s">
        <v>1214</v>
      </c>
      <c r="M202" s="521" t="s">
        <v>1215</v>
      </c>
      <c r="N202" s="521" t="s">
        <v>815</v>
      </c>
      <c r="O202" s="22" t="s">
        <v>394</v>
      </c>
      <c r="P202" s="426">
        <v>2020</v>
      </c>
      <c r="Q202" s="414">
        <f t="shared" ca="1" si="9"/>
        <v>985426.07679589977</v>
      </c>
      <c r="R202" s="335" t="str">
        <f t="shared" ca="1" si="10"/>
        <v>N/A</v>
      </c>
      <c r="S202" s="335" t="str">
        <f t="shared" ca="1" si="11"/>
        <v>N/A</v>
      </c>
      <c r="T202" s="429" t="s">
        <v>899</v>
      </c>
      <c r="U202" s="305"/>
      <c r="V202" s="24"/>
      <c r="W202" s="21"/>
      <c r="Y202" s="490"/>
    </row>
    <row r="203" spans="1:25" ht="45" hidden="1">
      <c r="A203" s="31">
        <v>200</v>
      </c>
      <c r="B203" s="22" t="s">
        <v>39</v>
      </c>
      <c r="C203" s="22" t="s">
        <v>366</v>
      </c>
      <c r="D203" s="22" t="s">
        <v>252</v>
      </c>
      <c r="E203" s="23" t="s">
        <v>42</v>
      </c>
      <c r="F203" s="22" t="s">
        <v>43</v>
      </c>
      <c r="G203" s="22" t="s">
        <v>44</v>
      </c>
      <c r="H203" s="22" t="s">
        <v>30</v>
      </c>
      <c r="I203" s="22" t="s">
        <v>396</v>
      </c>
      <c r="J203" s="22" t="s">
        <v>314</v>
      </c>
      <c r="K203" s="519" t="s">
        <v>1191</v>
      </c>
      <c r="L203" s="521" t="s">
        <v>1216</v>
      </c>
      <c r="M203" s="521" t="s">
        <v>1217</v>
      </c>
      <c r="N203" s="521" t="s">
        <v>815</v>
      </c>
      <c r="O203" s="22" t="s">
        <v>394</v>
      </c>
      <c r="P203" s="426">
        <v>2020</v>
      </c>
      <c r="Q203" s="414">
        <f t="shared" ca="1" si="9"/>
        <v>8642.8496945248098</v>
      </c>
      <c r="R203" s="335" t="str">
        <f t="shared" ca="1" si="10"/>
        <v>N/A</v>
      </c>
      <c r="S203" s="335" t="str">
        <f t="shared" ca="1" si="11"/>
        <v>N/A</v>
      </c>
      <c r="T203" s="429" t="s">
        <v>48</v>
      </c>
      <c r="U203" s="22"/>
      <c r="V203" s="24"/>
      <c r="W203" s="21"/>
      <c r="Y203" s="490"/>
    </row>
    <row r="204" spans="1:25" ht="45">
      <c r="A204" s="31">
        <v>201</v>
      </c>
      <c r="B204" s="22" t="s">
        <v>39</v>
      </c>
      <c r="C204" s="22" t="s">
        <v>366</v>
      </c>
      <c r="D204" s="22" t="s">
        <v>397</v>
      </c>
      <c r="E204" s="23" t="s">
        <v>398</v>
      </c>
      <c r="F204" s="22" t="s">
        <v>399</v>
      </c>
      <c r="G204" s="22" t="s">
        <v>219</v>
      </c>
      <c r="H204" s="22" t="s">
        <v>164</v>
      </c>
      <c r="I204" s="22" t="s">
        <v>400</v>
      </c>
      <c r="J204" s="22" t="s">
        <v>401</v>
      </c>
      <c r="K204" s="519" t="s">
        <v>1191</v>
      </c>
      <c r="L204" s="521" t="s">
        <v>1218</v>
      </c>
      <c r="M204" s="521" t="s">
        <v>1219</v>
      </c>
      <c r="N204" s="521" t="s">
        <v>885</v>
      </c>
      <c r="O204" s="22" t="s">
        <v>394</v>
      </c>
      <c r="P204" s="426">
        <v>2020</v>
      </c>
      <c r="Q204" s="335" t="s">
        <v>59</v>
      </c>
      <c r="R204" s="335" t="s">
        <v>59</v>
      </c>
      <c r="S204" s="335" t="s">
        <v>59</v>
      </c>
      <c r="T204" s="429"/>
      <c r="U204" s="22"/>
      <c r="V204" s="24"/>
      <c r="W204" s="21"/>
      <c r="Y204" s="490"/>
    </row>
    <row r="205" spans="1:25" ht="45">
      <c r="A205" s="31">
        <v>202</v>
      </c>
      <c r="B205" s="22" t="s">
        <v>39</v>
      </c>
      <c r="C205" s="22" t="s">
        <v>366</v>
      </c>
      <c r="D205" s="22" t="s">
        <v>397</v>
      </c>
      <c r="E205" s="23" t="s">
        <v>398</v>
      </c>
      <c r="F205" s="22" t="s">
        <v>402</v>
      </c>
      <c r="G205" s="22" t="s">
        <v>219</v>
      </c>
      <c r="H205" s="22" t="s">
        <v>164</v>
      </c>
      <c r="I205" s="22" t="s">
        <v>400</v>
      </c>
      <c r="J205" s="22" t="s">
        <v>403</v>
      </c>
      <c r="K205" s="519" t="s">
        <v>1191</v>
      </c>
      <c r="L205" s="521" t="s">
        <v>1220</v>
      </c>
      <c r="M205" s="521" t="s">
        <v>1221</v>
      </c>
      <c r="N205" s="521" t="s">
        <v>885</v>
      </c>
      <c r="O205" s="22" t="s">
        <v>394</v>
      </c>
      <c r="P205" s="426">
        <v>2020</v>
      </c>
      <c r="Q205" s="533" t="s">
        <v>59</v>
      </c>
      <c r="R205" s="335" t="s">
        <v>59</v>
      </c>
      <c r="S205" s="335" t="s">
        <v>59</v>
      </c>
      <c r="T205" s="429"/>
      <c r="U205" s="22"/>
      <c r="V205" s="24"/>
      <c r="W205" s="21"/>
      <c r="Y205" s="490"/>
    </row>
    <row r="206" spans="1:25" ht="75">
      <c r="A206" s="31">
        <v>203</v>
      </c>
      <c r="B206" s="22" t="s">
        <v>39</v>
      </c>
      <c r="C206" s="22" t="s">
        <v>366</v>
      </c>
      <c r="D206" s="22" t="s">
        <v>397</v>
      </c>
      <c r="E206" s="23" t="s">
        <v>398</v>
      </c>
      <c r="F206" s="22" t="s">
        <v>404</v>
      </c>
      <c r="G206" s="22" t="s">
        <v>219</v>
      </c>
      <c r="H206" s="22" t="s">
        <v>164</v>
      </c>
      <c r="I206" s="22" t="s">
        <v>400</v>
      </c>
      <c r="J206" s="22" t="s">
        <v>405</v>
      </c>
      <c r="K206" s="519" t="s">
        <v>1191</v>
      </c>
      <c r="L206" s="521" t="s">
        <v>1222</v>
      </c>
      <c r="M206" s="521" t="s">
        <v>1223</v>
      </c>
      <c r="N206" s="521" t="s">
        <v>885</v>
      </c>
      <c r="O206" s="22" t="s">
        <v>394</v>
      </c>
      <c r="P206" s="426">
        <v>2020</v>
      </c>
      <c r="Q206" s="533" t="s">
        <v>59</v>
      </c>
      <c r="R206" s="335" t="s">
        <v>59</v>
      </c>
      <c r="S206" s="335" t="s">
        <v>59</v>
      </c>
      <c r="T206" s="429" t="s">
        <v>406</v>
      </c>
      <c r="U206" s="22" t="s">
        <v>407</v>
      </c>
      <c r="V206" s="24"/>
      <c r="W206" s="21"/>
      <c r="Y206" s="490"/>
    </row>
    <row r="207" spans="1:25" ht="45" hidden="1">
      <c r="A207" s="31">
        <v>204</v>
      </c>
      <c r="B207" s="22" t="s">
        <v>39</v>
      </c>
      <c r="C207" s="22" t="s">
        <v>366</v>
      </c>
      <c r="D207" s="22" t="s">
        <v>397</v>
      </c>
      <c r="E207" s="23" t="s">
        <v>234</v>
      </c>
      <c r="F207" s="22" t="s">
        <v>408</v>
      </c>
      <c r="G207" s="22" t="s">
        <v>235</v>
      </c>
      <c r="H207" s="22" t="s">
        <v>164</v>
      </c>
      <c r="I207" s="22" t="s">
        <v>409</v>
      </c>
      <c r="J207" s="22" t="s">
        <v>410</v>
      </c>
      <c r="K207" s="519" t="s">
        <v>1191</v>
      </c>
      <c r="L207" s="521" t="s">
        <v>1224</v>
      </c>
      <c r="M207" s="521" t="s">
        <v>1225</v>
      </c>
      <c r="N207" s="521" t="s">
        <v>815</v>
      </c>
      <c r="O207" s="22" t="s">
        <v>394</v>
      </c>
      <c r="P207" s="426">
        <v>2020</v>
      </c>
      <c r="Q207" s="414" t="s">
        <v>59</v>
      </c>
      <c r="R207" s="335" t="s">
        <v>59</v>
      </c>
      <c r="S207" s="335" t="s">
        <v>59</v>
      </c>
      <c r="T207" s="429"/>
      <c r="U207" s="22"/>
      <c r="V207" s="24"/>
      <c r="W207" s="21"/>
      <c r="Y207" s="490"/>
    </row>
    <row r="208" spans="1:25" ht="45" hidden="1">
      <c r="A208" s="31">
        <v>205</v>
      </c>
      <c r="B208" s="22" t="s">
        <v>39</v>
      </c>
      <c r="C208" s="22" t="s">
        <v>366</v>
      </c>
      <c r="D208" s="22" t="s">
        <v>397</v>
      </c>
      <c r="E208" s="23" t="s">
        <v>234</v>
      </c>
      <c r="F208" s="22" t="s">
        <v>411</v>
      </c>
      <c r="G208" s="22" t="s">
        <v>235</v>
      </c>
      <c r="H208" s="22" t="s">
        <v>164</v>
      </c>
      <c r="I208" s="22" t="s">
        <v>409</v>
      </c>
      <c r="J208" s="22" t="s">
        <v>410</v>
      </c>
      <c r="K208" s="519" t="s">
        <v>1191</v>
      </c>
      <c r="L208" s="521" t="s">
        <v>1226</v>
      </c>
      <c r="M208" s="521" t="s">
        <v>1227</v>
      </c>
      <c r="N208" s="521" t="s">
        <v>815</v>
      </c>
      <c r="O208" s="22" t="s">
        <v>394</v>
      </c>
      <c r="P208" s="426">
        <v>2020</v>
      </c>
      <c r="Q208" s="414" t="s">
        <v>59</v>
      </c>
      <c r="R208" s="335" t="s">
        <v>59</v>
      </c>
      <c r="S208" s="335" t="s">
        <v>59</v>
      </c>
      <c r="T208" s="429"/>
      <c r="U208" s="22"/>
      <c r="V208" s="24"/>
      <c r="W208" s="21"/>
      <c r="Y208" s="490"/>
    </row>
    <row r="209" spans="1:25" ht="60" hidden="1">
      <c r="A209" s="31">
        <v>206</v>
      </c>
      <c r="B209" s="22" t="s">
        <v>39</v>
      </c>
      <c r="C209" s="22" t="s">
        <v>366</v>
      </c>
      <c r="D209" s="22" t="s">
        <v>397</v>
      </c>
      <c r="E209" s="23" t="s">
        <v>234</v>
      </c>
      <c r="F209" s="22" t="s">
        <v>412</v>
      </c>
      <c r="G209" s="22" t="s">
        <v>235</v>
      </c>
      <c r="H209" s="22" t="s">
        <v>164</v>
      </c>
      <c r="I209" s="22" t="s">
        <v>409</v>
      </c>
      <c r="J209" s="22" t="s">
        <v>413</v>
      </c>
      <c r="K209" s="519" t="s">
        <v>1191</v>
      </c>
      <c r="L209" s="521" t="s">
        <v>1228</v>
      </c>
      <c r="M209" s="521" t="s">
        <v>1229</v>
      </c>
      <c r="N209" s="521" t="s">
        <v>815</v>
      </c>
      <c r="O209" s="22" t="s">
        <v>394</v>
      </c>
      <c r="P209" s="426">
        <v>2020</v>
      </c>
      <c r="Q209" s="414" t="s">
        <v>59</v>
      </c>
      <c r="R209" s="335" t="s">
        <v>59</v>
      </c>
      <c r="S209" s="335" t="s">
        <v>59</v>
      </c>
      <c r="T209" s="429" t="s">
        <v>414</v>
      </c>
      <c r="U209" s="22"/>
      <c r="V209" s="24"/>
      <c r="W209" s="21"/>
      <c r="Y209" s="490"/>
    </row>
    <row r="210" spans="1:25" ht="45">
      <c r="A210" s="31">
        <v>207</v>
      </c>
      <c r="B210" s="22" t="s">
        <v>39</v>
      </c>
      <c r="C210" s="22" t="s">
        <v>366</v>
      </c>
      <c r="D210" s="22" t="s">
        <v>397</v>
      </c>
      <c r="E210" s="23" t="s">
        <v>415</v>
      </c>
      <c r="F210" s="22" t="s">
        <v>408</v>
      </c>
      <c r="G210" s="22" t="s">
        <v>416</v>
      </c>
      <c r="H210" s="22" t="s">
        <v>164</v>
      </c>
      <c r="I210" s="22" t="s">
        <v>417</v>
      </c>
      <c r="J210" s="22" t="s">
        <v>418</v>
      </c>
      <c r="K210" s="519" t="s">
        <v>1191</v>
      </c>
      <c r="L210" s="521" t="s">
        <v>1230</v>
      </c>
      <c r="M210" s="521" t="s">
        <v>1231</v>
      </c>
      <c r="N210" s="521" t="s">
        <v>885</v>
      </c>
      <c r="O210" s="22" t="s">
        <v>394</v>
      </c>
      <c r="P210" s="426">
        <v>2020</v>
      </c>
      <c r="Q210" s="414" t="s">
        <v>59</v>
      </c>
      <c r="R210" s="335" t="s">
        <v>59</v>
      </c>
      <c r="S210" s="335" t="s">
        <v>59</v>
      </c>
      <c r="T210" s="429"/>
      <c r="U210" s="22"/>
      <c r="V210" s="24"/>
      <c r="W210" s="21"/>
      <c r="Y210" s="490"/>
    </row>
    <row r="211" spans="1:25" ht="45">
      <c r="A211" s="31">
        <v>208</v>
      </c>
      <c r="B211" s="22" t="s">
        <v>39</v>
      </c>
      <c r="C211" s="22" t="s">
        <v>366</v>
      </c>
      <c r="D211" s="22" t="s">
        <v>397</v>
      </c>
      <c r="E211" s="23" t="s">
        <v>415</v>
      </c>
      <c r="F211" s="22" t="s">
        <v>411</v>
      </c>
      <c r="G211" s="22" t="s">
        <v>416</v>
      </c>
      <c r="H211" s="22" t="s">
        <v>164</v>
      </c>
      <c r="I211" s="22" t="s">
        <v>417</v>
      </c>
      <c r="J211" s="22" t="s">
        <v>419</v>
      </c>
      <c r="K211" s="519" t="s">
        <v>1191</v>
      </c>
      <c r="L211" s="521" t="s">
        <v>1232</v>
      </c>
      <c r="M211" s="521" t="s">
        <v>1233</v>
      </c>
      <c r="N211" s="521" t="s">
        <v>885</v>
      </c>
      <c r="O211" s="22" t="s">
        <v>394</v>
      </c>
      <c r="P211" s="426">
        <v>2020</v>
      </c>
      <c r="Q211" s="414" t="s">
        <v>59</v>
      </c>
      <c r="R211" s="335" t="s">
        <v>59</v>
      </c>
      <c r="S211" s="335" t="s">
        <v>59</v>
      </c>
      <c r="T211" s="429"/>
      <c r="U211" s="22"/>
      <c r="V211" s="24"/>
      <c r="W211" s="21"/>
      <c r="Y211" s="490"/>
    </row>
    <row r="212" spans="1:25" ht="45">
      <c r="A212" s="31">
        <v>209</v>
      </c>
      <c r="B212" s="22" t="s">
        <v>39</v>
      </c>
      <c r="C212" s="22" t="s">
        <v>366</v>
      </c>
      <c r="D212" s="22" t="s">
        <v>397</v>
      </c>
      <c r="E212" s="23" t="s">
        <v>415</v>
      </c>
      <c r="F212" s="22" t="s">
        <v>412</v>
      </c>
      <c r="G212" s="22" t="s">
        <v>416</v>
      </c>
      <c r="H212" s="22" t="s">
        <v>164</v>
      </c>
      <c r="I212" s="22" t="s">
        <v>417</v>
      </c>
      <c r="J212" s="22" t="s">
        <v>420</v>
      </c>
      <c r="K212" s="519" t="s">
        <v>1191</v>
      </c>
      <c r="L212" s="521" t="s">
        <v>1234</v>
      </c>
      <c r="M212" s="521" t="s">
        <v>1235</v>
      </c>
      <c r="N212" s="521" t="s">
        <v>885</v>
      </c>
      <c r="O212" s="22" t="s">
        <v>394</v>
      </c>
      <c r="P212" s="426">
        <v>2020</v>
      </c>
      <c r="Q212" s="414" t="s">
        <v>59</v>
      </c>
      <c r="R212" s="335" t="s">
        <v>59</v>
      </c>
      <c r="S212" s="335" t="s">
        <v>59</v>
      </c>
      <c r="T212" s="429" t="s">
        <v>421</v>
      </c>
      <c r="U212" s="22"/>
      <c r="V212" s="24"/>
      <c r="W212" s="21"/>
      <c r="Y212" s="490"/>
    </row>
    <row r="213" spans="1:25" ht="75">
      <c r="A213" s="31">
        <v>210</v>
      </c>
      <c r="B213" s="22" t="s">
        <v>39</v>
      </c>
      <c r="C213" s="22" t="s">
        <v>422</v>
      </c>
      <c r="D213" s="22" t="s">
        <v>153</v>
      </c>
      <c r="E213" s="23" t="s">
        <v>141</v>
      </c>
      <c r="F213" s="22" t="s">
        <v>142</v>
      </c>
      <c r="G213" s="22" t="s">
        <v>143</v>
      </c>
      <c r="H213" s="22" t="s">
        <v>30</v>
      </c>
      <c r="I213" s="22" t="s">
        <v>423</v>
      </c>
      <c r="J213" s="22" t="s">
        <v>424</v>
      </c>
      <c r="K213" s="519" t="s">
        <v>1191</v>
      </c>
      <c r="L213" s="521" t="s">
        <v>1236</v>
      </c>
      <c r="M213" s="521" t="s">
        <v>1237</v>
      </c>
      <c r="N213" s="521" t="s">
        <v>885</v>
      </c>
      <c r="O213" s="22" t="s">
        <v>394</v>
      </c>
      <c r="P213" s="426">
        <v>2020</v>
      </c>
      <c r="Q213" s="533">
        <f t="shared" ca="1" si="9"/>
        <v>1.1600237953599048E-2</v>
      </c>
      <c r="R213" s="335">
        <f t="shared" ca="1" si="10"/>
        <v>0</v>
      </c>
      <c r="S213" s="335">
        <f t="shared" ca="1" si="11"/>
        <v>0</v>
      </c>
      <c r="T213" s="429" t="s">
        <v>425</v>
      </c>
      <c r="U213" s="22" t="s">
        <v>246</v>
      </c>
      <c r="V213" s="24"/>
      <c r="W213" s="21"/>
      <c r="Y213" s="490"/>
    </row>
    <row r="214" spans="1:25" ht="75">
      <c r="A214" s="31">
        <v>211</v>
      </c>
      <c r="B214" s="22" t="s">
        <v>39</v>
      </c>
      <c r="C214" s="22" t="s">
        <v>422</v>
      </c>
      <c r="D214" s="22" t="s">
        <v>426</v>
      </c>
      <c r="E214" s="23" t="s">
        <v>252</v>
      </c>
      <c r="F214" s="22" t="s">
        <v>142</v>
      </c>
      <c r="G214" s="22" t="s">
        <v>253</v>
      </c>
      <c r="H214" s="22" t="s">
        <v>164</v>
      </c>
      <c r="I214" s="22" t="s">
        <v>427</v>
      </c>
      <c r="J214" s="22" t="s">
        <v>428</v>
      </c>
      <c r="K214" s="519" t="s">
        <v>1191</v>
      </c>
      <c r="L214" s="521" t="s">
        <v>1238</v>
      </c>
      <c r="M214" s="521" t="s">
        <v>1239</v>
      </c>
      <c r="N214" s="521" t="s">
        <v>885</v>
      </c>
      <c r="O214" s="22" t="s">
        <v>394</v>
      </c>
      <c r="P214" s="426">
        <v>2020</v>
      </c>
      <c r="Q214" s="533">
        <f t="shared" ca="1" si="9"/>
        <v>1.1600237953599048E-2</v>
      </c>
      <c r="R214" s="335">
        <f t="shared" ca="1" si="10"/>
        <v>0</v>
      </c>
      <c r="S214" s="335">
        <f t="shared" ca="1" si="11"/>
        <v>0</v>
      </c>
      <c r="T214" s="429" t="s">
        <v>429</v>
      </c>
      <c r="U214" s="22"/>
      <c r="V214" s="24"/>
      <c r="W214" s="21"/>
      <c r="Y214" s="490"/>
    </row>
    <row r="215" spans="1:25" ht="105">
      <c r="A215" s="31">
        <v>212</v>
      </c>
      <c r="B215" s="22" t="s">
        <v>39</v>
      </c>
      <c r="C215" s="22" t="s">
        <v>422</v>
      </c>
      <c r="D215" s="22" t="s">
        <v>426</v>
      </c>
      <c r="E215" s="23" t="s">
        <v>430</v>
      </c>
      <c r="F215" s="22" t="s">
        <v>142</v>
      </c>
      <c r="G215" s="22" t="s">
        <v>416</v>
      </c>
      <c r="H215" s="22" t="s">
        <v>164</v>
      </c>
      <c r="I215" s="22" t="s">
        <v>431</v>
      </c>
      <c r="J215" s="22" t="s">
        <v>432</v>
      </c>
      <c r="K215" s="519" t="s">
        <v>1191</v>
      </c>
      <c r="L215" s="521" t="s">
        <v>1240</v>
      </c>
      <c r="M215" s="521" t="s">
        <v>1241</v>
      </c>
      <c r="N215" s="521" t="s">
        <v>885</v>
      </c>
      <c r="O215" s="22" t="s">
        <v>394</v>
      </c>
      <c r="P215" s="426">
        <v>2020</v>
      </c>
      <c r="Q215" s="533">
        <f t="shared" ca="1" si="9"/>
        <v>0</v>
      </c>
      <c r="R215" s="335">
        <f t="shared" ca="1" si="10"/>
        <v>0</v>
      </c>
      <c r="S215" s="335">
        <f t="shared" ca="1" si="11"/>
        <v>0</v>
      </c>
      <c r="T215" s="429" t="s">
        <v>433</v>
      </c>
      <c r="U215" s="22"/>
      <c r="V215" s="24"/>
      <c r="W215" s="21"/>
      <c r="Y215" s="490"/>
    </row>
    <row r="216" spans="1:25" ht="30">
      <c r="A216" s="31">
        <v>213</v>
      </c>
      <c r="B216" s="22" t="s">
        <v>39</v>
      </c>
      <c r="C216" s="22" t="s">
        <v>422</v>
      </c>
      <c r="D216" s="22" t="s">
        <v>434</v>
      </c>
      <c r="E216" s="23" t="s">
        <v>91</v>
      </c>
      <c r="F216" s="22" t="s">
        <v>92</v>
      </c>
      <c r="G216" s="22" t="s">
        <v>93</v>
      </c>
      <c r="H216" s="22" t="s">
        <v>30</v>
      </c>
      <c r="I216" s="22" t="s">
        <v>435</v>
      </c>
      <c r="J216" s="22" t="s">
        <v>92</v>
      </c>
      <c r="K216" s="519" t="s">
        <v>1191</v>
      </c>
      <c r="L216" s="521" t="s">
        <v>1242</v>
      </c>
      <c r="M216" s="521" t="s">
        <v>1243</v>
      </c>
      <c r="N216" s="521" t="s">
        <v>885</v>
      </c>
      <c r="O216" s="22" t="s">
        <v>394</v>
      </c>
      <c r="P216" s="426">
        <v>2020</v>
      </c>
      <c r="Q216" s="414">
        <f t="shared" ca="1" si="9"/>
        <v>331.3686375818254</v>
      </c>
      <c r="R216" s="335">
        <f t="shared" ca="1" si="10"/>
        <v>0</v>
      </c>
      <c r="S216" s="335">
        <f t="shared" ca="1" si="11"/>
        <v>0</v>
      </c>
      <c r="T216" s="429"/>
      <c r="U216" s="22"/>
      <c r="V216" s="24"/>
      <c r="W216" s="21"/>
      <c r="Y216" s="490"/>
    </row>
    <row r="217" spans="1:25" ht="30">
      <c r="A217" s="31">
        <v>214</v>
      </c>
      <c r="B217" s="22" t="s">
        <v>39</v>
      </c>
      <c r="C217" s="22" t="s">
        <v>422</v>
      </c>
      <c r="D217" s="22" t="s">
        <v>434</v>
      </c>
      <c r="E217" s="23" t="s">
        <v>91</v>
      </c>
      <c r="F217" s="22" t="s">
        <v>95</v>
      </c>
      <c r="G217" s="22" t="s">
        <v>93</v>
      </c>
      <c r="H217" s="22" t="s">
        <v>30</v>
      </c>
      <c r="I217" s="22" t="s">
        <v>435</v>
      </c>
      <c r="J217" s="22" t="s">
        <v>95</v>
      </c>
      <c r="K217" s="519" t="s">
        <v>1191</v>
      </c>
      <c r="L217" s="521" t="s">
        <v>1244</v>
      </c>
      <c r="M217" s="521" t="s">
        <v>1245</v>
      </c>
      <c r="N217" s="521" t="s">
        <v>885</v>
      </c>
      <c r="O217" s="22" t="s">
        <v>394</v>
      </c>
      <c r="P217" s="426">
        <v>2020</v>
      </c>
      <c r="Q217" s="414">
        <f t="shared" ca="1" si="9"/>
        <v>4.8496070942200147E-2</v>
      </c>
      <c r="R217" s="335">
        <f t="shared" ca="1" si="10"/>
        <v>0</v>
      </c>
      <c r="S217" s="335">
        <f t="shared" ca="1" si="11"/>
        <v>0</v>
      </c>
      <c r="T217" s="429"/>
      <c r="U217" s="22"/>
      <c r="V217" s="24"/>
      <c r="W217" s="21"/>
      <c r="Y217" s="490"/>
    </row>
    <row r="218" spans="1:25" ht="30">
      <c r="A218" s="31">
        <v>215</v>
      </c>
      <c r="B218" s="22" t="s">
        <v>39</v>
      </c>
      <c r="C218" s="22" t="s">
        <v>422</v>
      </c>
      <c r="D218" s="22" t="s">
        <v>434</v>
      </c>
      <c r="E218" s="23" t="s">
        <v>91</v>
      </c>
      <c r="F218" s="22" t="s">
        <v>96</v>
      </c>
      <c r="G218" s="22" t="s">
        <v>93</v>
      </c>
      <c r="H218" s="22" t="s">
        <v>30</v>
      </c>
      <c r="I218" s="22" t="s">
        <v>435</v>
      </c>
      <c r="J218" s="22" t="s">
        <v>96</v>
      </c>
      <c r="K218" s="519" t="s">
        <v>1191</v>
      </c>
      <c r="L218" s="521" t="s">
        <v>1246</v>
      </c>
      <c r="M218" s="521" t="s">
        <v>1247</v>
      </c>
      <c r="N218" s="521" t="s">
        <v>885</v>
      </c>
      <c r="O218" s="22" t="s">
        <v>394</v>
      </c>
      <c r="P218" s="426">
        <v>2020</v>
      </c>
      <c r="Q218" s="414">
        <f t="shared" ca="1" si="9"/>
        <v>0.68124918386781941</v>
      </c>
      <c r="R218" s="335">
        <f t="shared" ca="1" si="10"/>
        <v>0</v>
      </c>
      <c r="S218" s="335">
        <f t="shared" ca="1" si="11"/>
        <v>0</v>
      </c>
      <c r="T218" s="429" t="s">
        <v>48</v>
      </c>
      <c r="U218" s="22" t="s">
        <v>49</v>
      </c>
      <c r="V218" s="24"/>
      <c r="W218" s="21"/>
      <c r="Y218" s="490"/>
    </row>
    <row r="219" spans="1:25" ht="30">
      <c r="A219" s="31">
        <v>216</v>
      </c>
      <c r="B219" s="22" t="s">
        <v>39</v>
      </c>
      <c r="C219" s="22" t="s">
        <v>422</v>
      </c>
      <c r="D219" s="22" t="s">
        <v>434</v>
      </c>
      <c r="E219" s="23" t="s">
        <v>91</v>
      </c>
      <c r="F219" s="22" t="s">
        <v>97</v>
      </c>
      <c r="G219" s="22" t="s">
        <v>93</v>
      </c>
      <c r="H219" s="22" t="s">
        <v>30</v>
      </c>
      <c r="I219" s="22" t="s">
        <v>435</v>
      </c>
      <c r="J219" s="22" t="s">
        <v>97</v>
      </c>
      <c r="K219" s="519" t="s">
        <v>1191</v>
      </c>
      <c r="L219" s="521" t="s">
        <v>1248</v>
      </c>
      <c r="M219" s="521" t="s">
        <v>1249</v>
      </c>
      <c r="N219" s="521" t="s">
        <v>885</v>
      </c>
      <c r="O219" s="22" t="s">
        <v>394</v>
      </c>
      <c r="P219" s="426">
        <v>2020</v>
      </c>
      <c r="Q219" s="414">
        <f t="shared" ca="1" si="9"/>
        <v>472.99893304018002</v>
      </c>
      <c r="R219" s="335">
        <f t="shared" ca="1" si="10"/>
        <v>0</v>
      </c>
      <c r="S219" s="335">
        <f t="shared" ca="1" si="11"/>
        <v>0</v>
      </c>
      <c r="T219" s="429"/>
      <c r="U219" s="22"/>
      <c r="V219" s="24"/>
      <c r="W219" s="21"/>
      <c r="Y219" s="490"/>
    </row>
    <row r="220" spans="1:25" ht="30">
      <c r="A220" s="31">
        <v>217</v>
      </c>
      <c r="B220" s="22" t="s">
        <v>39</v>
      </c>
      <c r="C220" s="22" t="s">
        <v>422</v>
      </c>
      <c r="D220" s="22" t="s">
        <v>434</v>
      </c>
      <c r="E220" s="23" t="s">
        <v>91</v>
      </c>
      <c r="F220" s="22" t="s">
        <v>98</v>
      </c>
      <c r="G220" s="22" t="s">
        <v>93</v>
      </c>
      <c r="H220" s="22" t="s">
        <v>30</v>
      </c>
      <c r="I220" s="22" t="s">
        <v>435</v>
      </c>
      <c r="J220" s="22" t="s">
        <v>98</v>
      </c>
      <c r="K220" s="519" t="s">
        <v>1191</v>
      </c>
      <c r="L220" s="521" t="s">
        <v>1250</v>
      </c>
      <c r="M220" s="521" t="s">
        <v>1251</v>
      </c>
      <c r="N220" s="521" t="s">
        <v>885</v>
      </c>
      <c r="O220" s="22" t="s">
        <v>394</v>
      </c>
      <c r="P220" s="426">
        <v>2020</v>
      </c>
      <c r="Q220" s="414">
        <f t="shared" ca="1" si="9"/>
        <v>6.9223780438899513E-2</v>
      </c>
      <c r="R220" s="335">
        <f t="shared" ca="1" si="10"/>
        <v>0</v>
      </c>
      <c r="S220" s="335">
        <f t="shared" ca="1" si="11"/>
        <v>0</v>
      </c>
      <c r="T220" s="429"/>
      <c r="U220" s="22"/>
      <c r="V220" s="24"/>
      <c r="W220" s="21"/>
      <c r="Y220" s="490"/>
    </row>
    <row r="221" spans="1:25" ht="30">
      <c r="A221" s="31">
        <v>218</v>
      </c>
      <c r="B221" s="22" t="s">
        <v>39</v>
      </c>
      <c r="C221" s="22" t="s">
        <v>422</v>
      </c>
      <c r="D221" s="22" t="s">
        <v>434</v>
      </c>
      <c r="E221" s="23" t="s">
        <v>91</v>
      </c>
      <c r="F221" s="22" t="s">
        <v>99</v>
      </c>
      <c r="G221" s="22" t="s">
        <v>93</v>
      </c>
      <c r="H221" s="22" t="s">
        <v>30</v>
      </c>
      <c r="I221" s="22" t="s">
        <v>435</v>
      </c>
      <c r="J221" s="22" t="s">
        <v>99</v>
      </c>
      <c r="K221" s="519" t="s">
        <v>1191</v>
      </c>
      <c r="L221" s="521" t="s">
        <v>1252</v>
      </c>
      <c r="M221" s="521" t="s">
        <v>1253</v>
      </c>
      <c r="N221" s="521" t="s">
        <v>885</v>
      </c>
      <c r="O221" s="22" t="s">
        <v>394</v>
      </c>
      <c r="P221" s="426">
        <v>2020</v>
      </c>
      <c r="Q221" s="414">
        <f t="shared" ca="1" si="9"/>
        <v>0.9724219511401504</v>
      </c>
      <c r="R221" s="335">
        <f t="shared" ca="1" si="10"/>
        <v>0</v>
      </c>
      <c r="S221" s="335">
        <f t="shared" ca="1" si="11"/>
        <v>0</v>
      </c>
      <c r="T221" s="429" t="s">
        <v>48</v>
      </c>
      <c r="U221" s="22" t="s">
        <v>49</v>
      </c>
      <c r="V221" s="24"/>
      <c r="W221" s="21"/>
      <c r="Y221" s="490"/>
    </row>
    <row r="222" spans="1:25" ht="45">
      <c r="A222" s="31">
        <v>219</v>
      </c>
      <c r="B222" s="22" t="s">
        <v>39</v>
      </c>
      <c r="C222" s="22" t="s">
        <v>422</v>
      </c>
      <c r="D222" s="22" t="s">
        <v>436</v>
      </c>
      <c r="E222" s="23" t="s">
        <v>437</v>
      </c>
      <c r="F222" s="22" t="s">
        <v>438</v>
      </c>
      <c r="G222" s="22" t="s">
        <v>439</v>
      </c>
      <c r="H222" s="22" t="s">
        <v>164</v>
      </c>
      <c r="I222" s="22" t="s">
        <v>440</v>
      </c>
      <c r="J222" s="22" t="s">
        <v>441</v>
      </c>
      <c r="K222" s="519" t="s">
        <v>1191</v>
      </c>
      <c r="L222" s="521" t="s">
        <v>1254</v>
      </c>
      <c r="M222" s="521" t="s">
        <v>1255</v>
      </c>
      <c r="N222" s="521" t="s">
        <v>885</v>
      </c>
      <c r="O222" s="22" t="s">
        <v>394</v>
      </c>
      <c r="P222" s="426">
        <v>2020</v>
      </c>
      <c r="Q222" s="414" t="s">
        <v>59</v>
      </c>
      <c r="R222" s="335" t="s">
        <v>59</v>
      </c>
      <c r="S222" s="335" t="s">
        <v>59</v>
      </c>
      <c r="T222" s="429" t="s">
        <v>442</v>
      </c>
      <c r="U222" s="22" t="s">
        <v>443</v>
      </c>
      <c r="V222" s="24"/>
      <c r="W222" s="21"/>
      <c r="Y222" s="490"/>
    </row>
    <row r="223" spans="1:25" ht="60">
      <c r="A223" s="31">
        <v>220</v>
      </c>
      <c r="B223" s="22" t="s">
        <v>39</v>
      </c>
      <c r="C223" s="22" t="s">
        <v>422</v>
      </c>
      <c r="D223" s="22" t="s">
        <v>444</v>
      </c>
      <c r="E223" s="23" t="s">
        <v>445</v>
      </c>
      <c r="F223" s="22" t="s">
        <v>142</v>
      </c>
      <c r="G223" s="22" t="s">
        <v>446</v>
      </c>
      <c r="H223" s="22" t="s">
        <v>30</v>
      </c>
      <c r="I223" s="22" t="s">
        <v>447</v>
      </c>
      <c r="J223" s="22" t="s">
        <v>448</v>
      </c>
      <c r="K223" s="519" t="s">
        <v>1191</v>
      </c>
      <c r="L223" s="521" t="s">
        <v>1256</v>
      </c>
      <c r="M223" s="521" t="s">
        <v>1257</v>
      </c>
      <c r="N223" s="521" t="s">
        <v>885</v>
      </c>
      <c r="O223" s="22" t="s">
        <v>394</v>
      </c>
      <c r="P223" s="426">
        <v>2020</v>
      </c>
      <c r="Q223" s="533">
        <f t="shared" ca="1" si="9"/>
        <v>4.164187983343248E-4</v>
      </c>
      <c r="R223" s="335">
        <f t="shared" ca="1" si="10"/>
        <v>0</v>
      </c>
      <c r="S223" s="335">
        <f t="shared" ca="1" si="11"/>
        <v>0</v>
      </c>
      <c r="U223" s="22" t="s">
        <v>449</v>
      </c>
      <c r="V223" s="24"/>
      <c r="W223" s="21"/>
      <c r="Y223" s="490"/>
    </row>
    <row r="224" spans="1:25" ht="45">
      <c r="A224" s="31">
        <v>221</v>
      </c>
      <c r="B224" s="22" t="s">
        <v>39</v>
      </c>
      <c r="C224" s="22" t="s">
        <v>422</v>
      </c>
      <c r="D224" s="22" t="s">
        <v>444</v>
      </c>
      <c r="E224" s="23" t="s">
        <v>450</v>
      </c>
      <c r="F224" s="22" t="s">
        <v>451</v>
      </c>
      <c r="G224" s="22" t="s">
        <v>452</v>
      </c>
      <c r="H224" s="22" t="s">
        <v>30</v>
      </c>
      <c r="I224" s="22" t="s">
        <v>453</v>
      </c>
      <c r="J224" s="22" t="s">
        <v>454</v>
      </c>
      <c r="K224" s="519" t="s">
        <v>1191</v>
      </c>
      <c r="L224" s="521" t="s">
        <v>1258</v>
      </c>
      <c r="M224" s="521" t="s">
        <v>1259</v>
      </c>
      <c r="N224" s="521" t="s">
        <v>885</v>
      </c>
      <c r="O224" s="22" t="s">
        <v>394</v>
      </c>
      <c r="P224" s="426">
        <v>2020</v>
      </c>
      <c r="Q224" s="414">
        <f t="shared" ca="1" si="9"/>
        <v>42.078878154197973</v>
      </c>
      <c r="R224" s="335">
        <f t="shared" ca="1" si="10"/>
        <v>0</v>
      </c>
      <c r="S224" s="335">
        <f t="shared" ca="1" si="11"/>
        <v>0</v>
      </c>
      <c r="T224" s="429" t="s">
        <v>455</v>
      </c>
      <c r="U224" s="22"/>
      <c r="V224" s="24"/>
      <c r="W224" s="21"/>
      <c r="Y224" s="490"/>
    </row>
    <row r="225" spans="1:25" ht="75">
      <c r="A225" s="31">
        <v>222</v>
      </c>
      <c r="B225" s="22" t="s">
        <v>39</v>
      </c>
      <c r="C225" s="22" t="s">
        <v>422</v>
      </c>
      <c r="D225" s="22" t="s">
        <v>456</v>
      </c>
      <c r="E225" s="23" t="s">
        <v>457</v>
      </c>
      <c r="F225" s="22" t="s">
        <v>142</v>
      </c>
      <c r="G225" s="22" t="s">
        <v>458</v>
      </c>
      <c r="H225" s="22" t="s">
        <v>164</v>
      </c>
      <c r="I225" s="22" t="s">
        <v>459</v>
      </c>
      <c r="J225" s="22" t="s">
        <v>460</v>
      </c>
      <c r="K225" s="519" t="s">
        <v>1191</v>
      </c>
      <c r="L225" s="521" t="s">
        <v>1260</v>
      </c>
      <c r="M225" s="521" t="s">
        <v>1261</v>
      </c>
      <c r="N225" s="521" t="s">
        <v>885</v>
      </c>
      <c r="O225" s="22" t="s">
        <v>394</v>
      </c>
      <c r="P225" s="426">
        <v>2020</v>
      </c>
      <c r="Q225" s="533">
        <f t="shared" ca="1" si="9"/>
        <v>4.164187983343248E-4</v>
      </c>
      <c r="R225" s="335">
        <f t="shared" ca="1" si="10"/>
        <v>0</v>
      </c>
      <c r="S225" s="335">
        <f t="shared" ca="1" si="11"/>
        <v>0</v>
      </c>
      <c r="T225" s="429" t="s">
        <v>461</v>
      </c>
      <c r="U225" s="22"/>
      <c r="V225" s="24"/>
      <c r="W225" s="21"/>
      <c r="Y225" s="490"/>
    </row>
    <row r="226" spans="1:25" ht="45" hidden="1">
      <c r="A226" s="31">
        <v>223</v>
      </c>
      <c r="B226" s="22" t="s">
        <v>39</v>
      </c>
      <c r="C226" s="22" t="s">
        <v>462</v>
      </c>
      <c r="D226" s="22" t="s">
        <v>463</v>
      </c>
      <c r="E226" s="23" t="s">
        <v>51</v>
      </c>
      <c r="F226" s="22" t="s">
        <v>52</v>
      </c>
      <c r="G226" s="22" t="s">
        <v>53</v>
      </c>
      <c r="H226" s="22" t="s">
        <v>30</v>
      </c>
      <c r="I226" s="22" t="s">
        <v>464</v>
      </c>
      <c r="J226" s="22" t="s">
        <v>52</v>
      </c>
      <c r="K226" s="519" t="s">
        <v>1262</v>
      </c>
      <c r="L226" s="521" t="s">
        <v>1263</v>
      </c>
      <c r="M226" s="521" t="s">
        <v>1264</v>
      </c>
      <c r="N226" s="521" t="s">
        <v>815</v>
      </c>
      <c r="O226" s="22" t="s">
        <v>465</v>
      </c>
      <c r="P226" s="426">
        <v>2020</v>
      </c>
      <c r="Q226" s="414">
        <f t="shared" ca="1" si="9"/>
        <v>1372.1801163610985</v>
      </c>
      <c r="R226" s="335" t="str">
        <f t="shared" ca="1" si="10"/>
        <v>N/A</v>
      </c>
      <c r="S226" s="335" t="str">
        <f t="shared" ca="1" si="11"/>
        <v>N/A</v>
      </c>
      <c r="T226" s="429" t="s">
        <v>48</v>
      </c>
      <c r="U226" s="22"/>
      <c r="V226" s="24"/>
      <c r="W226" s="21"/>
      <c r="Y226" s="490"/>
    </row>
    <row r="227" spans="1:25" ht="45" hidden="1">
      <c r="A227" s="31">
        <v>224</v>
      </c>
      <c r="B227" s="22" t="s">
        <v>39</v>
      </c>
      <c r="C227" s="22" t="s">
        <v>462</v>
      </c>
      <c r="D227" s="22" t="s">
        <v>463</v>
      </c>
      <c r="E227" s="23" t="s">
        <v>51</v>
      </c>
      <c r="F227" s="22" t="s">
        <v>55</v>
      </c>
      <c r="G227" s="22" t="s">
        <v>53</v>
      </c>
      <c r="H227" s="22" t="s">
        <v>30</v>
      </c>
      <c r="I227" s="22" t="s">
        <v>464</v>
      </c>
      <c r="J227" s="22" t="s">
        <v>55</v>
      </c>
      <c r="K227" s="519" t="s">
        <v>1262</v>
      </c>
      <c r="L227" s="521" t="s">
        <v>1265</v>
      </c>
      <c r="M227" s="521" t="s">
        <v>1266</v>
      </c>
      <c r="N227" s="521" t="s">
        <v>815</v>
      </c>
      <c r="O227" s="22" t="s">
        <v>465</v>
      </c>
      <c r="P227" s="426">
        <v>2020</v>
      </c>
      <c r="Q227" s="414">
        <f t="shared" ca="1" si="9"/>
        <v>987.68045846797577</v>
      </c>
      <c r="R227" s="335" t="str">
        <f t="shared" ca="1" si="10"/>
        <v>N/A</v>
      </c>
      <c r="S227" s="335" t="str">
        <f t="shared" ca="1" si="11"/>
        <v>N/A</v>
      </c>
      <c r="T227" s="429" t="s">
        <v>48</v>
      </c>
      <c r="U227" s="22"/>
      <c r="V227" s="24"/>
      <c r="W227" s="21"/>
      <c r="Y227" s="490"/>
    </row>
    <row r="228" spans="1:25" ht="45" hidden="1">
      <c r="A228" s="31">
        <v>225</v>
      </c>
      <c r="B228" s="22" t="s">
        <v>39</v>
      </c>
      <c r="C228" s="22" t="s">
        <v>462</v>
      </c>
      <c r="D228" s="22" t="s">
        <v>463</v>
      </c>
      <c r="E228" s="23" t="s">
        <v>51</v>
      </c>
      <c r="F228" s="22" t="s">
        <v>56</v>
      </c>
      <c r="G228" s="22" t="s">
        <v>53</v>
      </c>
      <c r="H228" s="22" t="s">
        <v>30</v>
      </c>
      <c r="I228" s="22" t="s">
        <v>464</v>
      </c>
      <c r="J228" s="22" t="s">
        <v>56</v>
      </c>
      <c r="K228" s="519" t="s">
        <v>1262</v>
      </c>
      <c r="L228" s="521" t="s">
        <v>1267</v>
      </c>
      <c r="M228" s="521" t="s">
        <v>1268</v>
      </c>
      <c r="N228" s="521" t="s">
        <v>815</v>
      </c>
      <c r="O228" s="22" t="s">
        <v>465</v>
      </c>
      <c r="P228" s="426">
        <v>2020</v>
      </c>
      <c r="Q228" s="414">
        <f t="shared" ca="1" si="9"/>
        <v>9817484.3249429446</v>
      </c>
      <c r="R228" s="335" t="str">
        <f t="shared" ca="1" si="10"/>
        <v>N/A</v>
      </c>
      <c r="S228" s="335" t="str">
        <f t="shared" ca="1" si="11"/>
        <v>N/A</v>
      </c>
      <c r="T228" s="429" t="s">
        <v>48</v>
      </c>
      <c r="U228" s="22"/>
      <c r="V228" s="24"/>
      <c r="W228" s="21"/>
      <c r="Y228" s="490"/>
    </row>
    <row r="229" spans="1:25" ht="45" hidden="1">
      <c r="A229" s="31">
        <v>226</v>
      </c>
      <c r="B229" s="22" t="s">
        <v>39</v>
      </c>
      <c r="C229" s="22" t="s">
        <v>462</v>
      </c>
      <c r="D229" s="22" t="s">
        <v>463</v>
      </c>
      <c r="E229" s="23" t="s">
        <v>51</v>
      </c>
      <c r="F229" s="22" t="s">
        <v>57</v>
      </c>
      <c r="G229" s="22" t="s">
        <v>53</v>
      </c>
      <c r="H229" s="22" t="s">
        <v>30</v>
      </c>
      <c r="I229" s="22" t="s">
        <v>464</v>
      </c>
      <c r="J229" s="22" t="s">
        <v>57</v>
      </c>
      <c r="K229" s="519" t="s">
        <v>1262</v>
      </c>
      <c r="L229" s="521" t="s">
        <v>1269</v>
      </c>
      <c r="M229" s="521" t="s">
        <v>1270</v>
      </c>
      <c r="N229" s="521" t="s">
        <v>815</v>
      </c>
      <c r="O229" s="22" t="s">
        <v>465</v>
      </c>
      <c r="P229" s="426">
        <v>2020</v>
      </c>
      <c r="Q229" s="414">
        <f t="shared" ca="1" si="9"/>
        <v>7125084.8235437535</v>
      </c>
      <c r="R229" s="335" t="str">
        <f t="shared" ca="1" si="10"/>
        <v>N/A</v>
      </c>
      <c r="S229" s="335" t="str">
        <f t="shared" ca="1" si="11"/>
        <v>N/A</v>
      </c>
      <c r="T229" s="429" t="s">
        <v>48</v>
      </c>
      <c r="U229" s="22"/>
      <c r="V229" s="24"/>
      <c r="W229" s="21"/>
      <c r="Y229" s="490"/>
    </row>
    <row r="230" spans="1:25" ht="45" hidden="1">
      <c r="A230" s="31">
        <v>227</v>
      </c>
      <c r="B230" s="22" t="s">
        <v>39</v>
      </c>
      <c r="C230" s="22" t="s">
        <v>462</v>
      </c>
      <c r="D230" s="22" t="s">
        <v>463</v>
      </c>
      <c r="E230" s="23" t="s">
        <v>51</v>
      </c>
      <c r="F230" s="22" t="s">
        <v>58</v>
      </c>
      <c r="G230" s="22" t="s">
        <v>53</v>
      </c>
      <c r="H230" s="22" t="s">
        <v>30</v>
      </c>
      <c r="I230" s="22" t="s">
        <v>464</v>
      </c>
      <c r="J230" s="22" t="s">
        <v>58</v>
      </c>
      <c r="K230" s="519" t="s">
        <v>1262</v>
      </c>
      <c r="L230" s="521" t="s">
        <v>1271</v>
      </c>
      <c r="M230" s="521" t="s">
        <v>1272</v>
      </c>
      <c r="N230" s="521" t="s">
        <v>815</v>
      </c>
      <c r="O230" s="22" t="s">
        <v>465</v>
      </c>
      <c r="P230" s="426">
        <v>2020</v>
      </c>
      <c r="Q230" s="414">
        <f t="shared" ca="1" si="9"/>
        <v>292276.78967055894</v>
      </c>
      <c r="R230" s="335" t="str">
        <f t="shared" ca="1" si="10"/>
        <v>N/A</v>
      </c>
      <c r="S230" s="335" t="str">
        <f t="shared" ca="1" si="11"/>
        <v>N/A</v>
      </c>
      <c r="T230" s="429" t="s">
        <v>48</v>
      </c>
      <c r="U230" s="22" t="s">
        <v>49</v>
      </c>
      <c r="V230" s="24"/>
      <c r="W230" s="21"/>
      <c r="Y230" s="490"/>
    </row>
    <row r="231" spans="1:25" ht="45" hidden="1">
      <c r="A231" s="31">
        <v>228</v>
      </c>
      <c r="B231" s="22" t="s">
        <v>39</v>
      </c>
      <c r="C231" s="22" t="s">
        <v>462</v>
      </c>
      <c r="D231" s="22" t="s">
        <v>463</v>
      </c>
      <c r="E231" s="23" t="s">
        <v>51</v>
      </c>
      <c r="F231" s="22" t="s">
        <v>60</v>
      </c>
      <c r="G231" s="22" t="s">
        <v>53</v>
      </c>
      <c r="H231" s="22" t="s">
        <v>30</v>
      </c>
      <c r="I231" s="22" t="s">
        <v>464</v>
      </c>
      <c r="J231" s="22" t="s">
        <v>60</v>
      </c>
      <c r="K231" s="519" t="s">
        <v>1262</v>
      </c>
      <c r="L231" s="521" t="s">
        <v>1273</v>
      </c>
      <c r="M231" s="521" t="s">
        <v>1274</v>
      </c>
      <c r="N231" s="521" t="s">
        <v>815</v>
      </c>
      <c r="O231" s="22" t="s">
        <v>465</v>
      </c>
      <c r="P231" s="426">
        <v>2020</v>
      </c>
      <c r="Q231" s="414">
        <f t="shared" ca="1" si="9"/>
        <v>210107.61719250251</v>
      </c>
      <c r="R231" s="335" t="str">
        <f t="shared" ca="1" si="10"/>
        <v>N/A</v>
      </c>
      <c r="S231" s="335" t="str">
        <f t="shared" ca="1" si="11"/>
        <v>N/A</v>
      </c>
      <c r="T231" s="429" t="s">
        <v>48</v>
      </c>
      <c r="U231" s="22" t="s">
        <v>49</v>
      </c>
      <c r="V231" s="24"/>
      <c r="W231" s="21"/>
      <c r="Y231" s="490"/>
    </row>
    <row r="232" spans="1:25" ht="45" hidden="1">
      <c r="A232" s="31">
        <v>229</v>
      </c>
      <c r="B232" s="22" t="s">
        <v>39</v>
      </c>
      <c r="C232" s="22" t="s">
        <v>462</v>
      </c>
      <c r="D232" s="22" t="s">
        <v>463</v>
      </c>
      <c r="E232" s="23" t="s">
        <v>51</v>
      </c>
      <c r="F232" s="22" t="s">
        <v>61</v>
      </c>
      <c r="G232" s="22" t="s">
        <v>53</v>
      </c>
      <c r="H232" s="22" t="s">
        <v>30</v>
      </c>
      <c r="I232" s="22" t="s">
        <v>464</v>
      </c>
      <c r="J232" s="22" t="s">
        <v>61</v>
      </c>
      <c r="K232" s="519" t="s">
        <v>1262</v>
      </c>
      <c r="L232" s="521" t="s">
        <v>1275</v>
      </c>
      <c r="M232" s="521" t="s">
        <v>1276</v>
      </c>
      <c r="N232" s="521" t="s">
        <v>815</v>
      </c>
      <c r="O232" s="22" t="s">
        <v>465</v>
      </c>
      <c r="P232" s="426">
        <v>2020</v>
      </c>
      <c r="Q232" s="414">
        <f t="shared" ca="1" si="9"/>
        <v>8754.3145610059328</v>
      </c>
      <c r="R232" s="335" t="str">
        <f t="shared" ca="1" si="10"/>
        <v>N/A</v>
      </c>
      <c r="S232" s="335" t="str">
        <f t="shared" ca="1" si="11"/>
        <v>N/A</v>
      </c>
      <c r="T232" s="429" t="s">
        <v>48</v>
      </c>
      <c r="U232" s="22"/>
      <c r="V232" s="24"/>
      <c r="W232" s="21"/>
      <c r="Y232" s="490"/>
    </row>
    <row r="233" spans="1:25" ht="45" hidden="1">
      <c r="A233" s="31">
        <v>230</v>
      </c>
      <c r="B233" s="22" t="s">
        <v>39</v>
      </c>
      <c r="C233" s="22" t="s">
        <v>462</v>
      </c>
      <c r="D233" s="22" t="s">
        <v>463</v>
      </c>
      <c r="E233" s="23" t="s">
        <v>51</v>
      </c>
      <c r="F233" s="22" t="s">
        <v>62</v>
      </c>
      <c r="G233" s="22" t="s">
        <v>53</v>
      </c>
      <c r="H233" s="22" t="s">
        <v>30</v>
      </c>
      <c r="I233" s="22" t="s">
        <v>464</v>
      </c>
      <c r="J233" s="22" t="s">
        <v>62</v>
      </c>
      <c r="K233" s="519" t="s">
        <v>1262</v>
      </c>
      <c r="L233" s="521" t="s">
        <v>1277</v>
      </c>
      <c r="M233" s="521" t="s">
        <v>1278</v>
      </c>
      <c r="N233" s="521" t="s">
        <v>815</v>
      </c>
      <c r="O233" s="22" t="s">
        <v>465</v>
      </c>
      <c r="P233" s="426">
        <v>2020</v>
      </c>
      <c r="Q233" s="414">
        <f t="shared" ca="1" si="9"/>
        <v>5805.9411367620278</v>
      </c>
      <c r="R233" s="335" t="str">
        <f t="shared" ca="1" si="10"/>
        <v>N/A</v>
      </c>
      <c r="S233" s="335" t="str">
        <f t="shared" ca="1" si="11"/>
        <v>N/A</v>
      </c>
      <c r="T233" s="429" t="s">
        <v>48</v>
      </c>
      <c r="U233" s="22"/>
      <c r="V233" s="24"/>
      <c r="W233" s="21"/>
      <c r="Y233" s="490"/>
    </row>
    <row r="234" spans="1:25" ht="45" hidden="1">
      <c r="A234" s="31">
        <v>231</v>
      </c>
      <c r="B234" s="22" t="s">
        <v>39</v>
      </c>
      <c r="C234" s="22" t="s">
        <v>462</v>
      </c>
      <c r="D234" s="22" t="s">
        <v>463</v>
      </c>
      <c r="E234" s="23" t="s">
        <v>51</v>
      </c>
      <c r="F234" s="22" t="s">
        <v>63</v>
      </c>
      <c r="G234" s="22" t="s">
        <v>53</v>
      </c>
      <c r="H234" s="22" t="s">
        <v>30</v>
      </c>
      <c r="I234" s="22" t="s">
        <v>464</v>
      </c>
      <c r="J234" s="22" t="s">
        <v>63</v>
      </c>
      <c r="K234" s="519" t="s">
        <v>1262</v>
      </c>
      <c r="L234" s="521" t="s">
        <v>1279</v>
      </c>
      <c r="M234" s="521" t="s">
        <v>1280</v>
      </c>
      <c r="N234" s="521" t="s">
        <v>815</v>
      </c>
      <c r="O234" s="22" t="s">
        <v>465</v>
      </c>
      <c r="P234" s="426">
        <v>2020</v>
      </c>
      <c r="Q234" s="414">
        <f t="shared" ca="1" si="9"/>
        <v>65312681.870597742</v>
      </c>
      <c r="R234" s="335" t="str">
        <f t="shared" ca="1" si="10"/>
        <v>N/A</v>
      </c>
      <c r="S234" s="335" t="str">
        <f t="shared" ca="1" si="11"/>
        <v>N/A</v>
      </c>
      <c r="T234" s="429" t="s">
        <v>48</v>
      </c>
      <c r="U234" s="22"/>
      <c r="V234" s="24"/>
      <c r="W234" s="21"/>
      <c r="Y234" s="490"/>
    </row>
    <row r="235" spans="1:25" ht="45" hidden="1">
      <c r="A235" s="31">
        <v>232</v>
      </c>
      <c r="B235" s="22" t="s">
        <v>39</v>
      </c>
      <c r="C235" s="22" t="s">
        <v>462</v>
      </c>
      <c r="D235" s="22" t="s">
        <v>463</v>
      </c>
      <c r="E235" s="23" t="s">
        <v>51</v>
      </c>
      <c r="F235" s="22" t="s">
        <v>64</v>
      </c>
      <c r="G235" s="22" t="s">
        <v>53</v>
      </c>
      <c r="H235" s="22" t="s">
        <v>30</v>
      </c>
      <c r="I235" s="22" t="s">
        <v>464</v>
      </c>
      <c r="J235" s="22" t="s">
        <v>64</v>
      </c>
      <c r="K235" s="519" t="s">
        <v>1262</v>
      </c>
      <c r="L235" s="521" t="s">
        <v>1281</v>
      </c>
      <c r="M235" s="521" t="s">
        <v>1282</v>
      </c>
      <c r="N235" s="521" t="s">
        <v>815</v>
      </c>
      <c r="O235" s="22" t="s">
        <v>465</v>
      </c>
      <c r="P235" s="426">
        <v>2020</v>
      </c>
      <c r="Q235" s="414">
        <f t="shared" ca="1" si="9"/>
        <v>43343327.729591675</v>
      </c>
      <c r="R235" s="335" t="str">
        <f t="shared" ca="1" si="10"/>
        <v>N/A</v>
      </c>
      <c r="S235" s="335" t="str">
        <f t="shared" ca="1" si="11"/>
        <v>N/A</v>
      </c>
      <c r="T235" s="429" t="s">
        <v>48</v>
      </c>
      <c r="U235" s="22"/>
      <c r="V235" s="24"/>
      <c r="W235" s="21"/>
      <c r="Y235" s="490"/>
    </row>
    <row r="236" spans="1:25" ht="45" hidden="1">
      <c r="A236" s="31">
        <v>233</v>
      </c>
      <c r="B236" s="22" t="s">
        <v>39</v>
      </c>
      <c r="C236" s="22" t="s">
        <v>462</v>
      </c>
      <c r="D236" s="22" t="s">
        <v>463</v>
      </c>
      <c r="E236" s="23" t="s">
        <v>51</v>
      </c>
      <c r="F236" s="22" t="s">
        <v>65</v>
      </c>
      <c r="G236" s="22" t="s">
        <v>53</v>
      </c>
      <c r="H236" s="22" t="s">
        <v>30</v>
      </c>
      <c r="I236" s="22" t="s">
        <v>464</v>
      </c>
      <c r="J236" s="22" t="s">
        <v>65</v>
      </c>
      <c r="K236" s="519" t="s">
        <v>1262</v>
      </c>
      <c r="L236" s="521" t="s">
        <v>1283</v>
      </c>
      <c r="M236" s="521" t="s">
        <v>1284</v>
      </c>
      <c r="N236" s="521" t="s">
        <v>815</v>
      </c>
      <c r="O236" s="22" t="s">
        <v>465</v>
      </c>
      <c r="P236" s="426">
        <v>2020</v>
      </c>
      <c r="Q236" s="414">
        <f t="shared" ca="1" si="9"/>
        <v>1856513.035534106</v>
      </c>
      <c r="R236" s="335" t="str">
        <f t="shared" ca="1" si="10"/>
        <v>N/A</v>
      </c>
      <c r="S236" s="335" t="str">
        <f t="shared" ca="1" si="11"/>
        <v>N/A</v>
      </c>
      <c r="T236" s="429" t="s">
        <v>48</v>
      </c>
      <c r="U236" s="22" t="s">
        <v>49</v>
      </c>
      <c r="V236" s="24"/>
      <c r="W236" s="21"/>
      <c r="Y236" s="490"/>
    </row>
    <row r="237" spans="1:25" ht="45" hidden="1">
      <c r="A237" s="31">
        <v>234</v>
      </c>
      <c r="B237" s="22" t="s">
        <v>39</v>
      </c>
      <c r="C237" s="22" t="s">
        <v>462</v>
      </c>
      <c r="D237" s="22" t="s">
        <v>463</v>
      </c>
      <c r="E237" s="23" t="s">
        <v>51</v>
      </c>
      <c r="F237" s="22" t="s">
        <v>66</v>
      </c>
      <c r="G237" s="22" t="s">
        <v>53</v>
      </c>
      <c r="H237" s="22" t="s">
        <v>30</v>
      </c>
      <c r="I237" s="22" t="s">
        <v>464</v>
      </c>
      <c r="J237" s="22" t="s">
        <v>66</v>
      </c>
      <c r="K237" s="519" t="s">
        <v>1262</v>
      </c>
      <c r="L237" s="521" t="s">
        <v>1285</v>
      </c>
      <c r="M237" s="521" t="s">
        <v>1286</v>
      </c>
      <c r="N237" s="521" t="s">
        <v>815</v>
      </c>
      <c r="O237" s="22" t="s">
        <v>465</v>
      </c>
      <c r="P237" s="426">
        <v>2020</v>
      </c>
      <c r="Q237" s="414">
        <f t="shared" ca="1" si="9"/>
        <v>1225721.3908956638</v>
      </c>
      <c r="R237" s="335" t="str">
        <f t="shared" ca="1" si="10"/>
        <v>N/A</v>
      </c>
      <c r="S237" s="335" t="str">
        <f t="shared" ca="1" si="11"/>
        <v>N/A</v>
      </c>
      <c r="T237" s="429" t="s">
        <v>48</v>
      </c>
      <c r="U237" s="22" t="s">
        <v>49</v>
      </c>
      <c r="V237" s="24"/>
      <c r="W237" s="21"/>
      <c r="Y237" s="490"/>
    </row>
    <row r="238" spans="1:25" ht="30" hidden="1">
      <c r="A238" s="31">
        <v>235</v>
      </c>
      <c r="B238" s="22" t="s">
        <v>39</v>
      </c>
      <c r="C238" s="22" t="s">
        <v>462</v>
      </c>
      <c r="D238" s="22" t="s">
        <v>466</v>
      </c>
      <c r="E238" s="23" t="s">
        <v>42</v>
      </c>
      <c r="F238" s="22" t="s">
        <v>43</v>
      </c>
      <c r="G238" s="22" t="s">
        <v>44</v>
      </c>
      <c r="H238" s="22" t="s">
        <v>30</v>
      </c>
      <c r="I238" s="22" t="s">
        <v>467</v>
      </c>
      <c r="J238" s="22" t="s">
        <v>46</v>
      </c>
      <c r="K238" s="519" t="s">
        <v>1262</v>
      </c>
      <c r="L238" s="521" t="s">
        <v>1287</v>
      </c>
      <c r="M238" s="521" t="s">
        <v>1288</v>
      </c>
      <c r="N238" s="521" t="s">
        <v>815</v>
      </c>
      <c r="O238" s="22" t="s">
        <v>465</v>
      </c>
      <c r="P238" s="426">
        <v>2020</v>
      </c>
      <c r="Q238" s="414">
        <f t="shared" ca="1" si="9"/>
        <v>6151.0053413656969</v>
      </c>
      <c r="R238" s="335" t="str">
        <f t="shared" ca="1" si="10"/>
        <v>N/A</v>
      </c>
      <c r="S238" s="335" t="str">
        <f t="shared" ca="1" si="11"/>
        <v>N/A</v>
      </c>
      <c r="T238" s="429" t="s">
        <v>48</v>
      </c>
      <c r="U238" s="22"/>
      <c r="V238" s="24"/>
      <c r="W238" s="21"/>
      <c r="Y238" s="490"/>
    </row>
    <row r="239" spans="1:25" ht="75">
      <c r="A239" s="31">
        <v>236</v>
      </c>
      <c r="B239" s="22" t="s">
        <v>39</v>
      </c>
      <c r="C239" s="22" t="s">
        <v>462</v>
      </c>
      <c r="D239" s="22" t="s">
        <v>468</v>
      </c>
      <c r="E239" s="23" t="s">
        <v>325</v>
      </c>
      <c r="F239" s="22" t="s">
        <v>142</v>
      </c>
      <c r="G239" s="22" t="s">
        <v>143</v>
      </c>
      <c r="H239" s="22" t="s">
        <v>30</v>
      </c>
      <c r="I239" s="22" t="s">
        <v>469</v>
      </c>
      <c r="J239" s="22" t="s">
        <v>333</v>
      </c>
      <c r="K239" s="519" t="s">
        <v>1262</v>
      </c>
      <c r="L239" s="521" t="s">
        <v>1289</v>
      </c>
      <c r="M239" s="521" t="s">
        <v>1290</v>
      </c>
      <c r="N239" s="521" t="s">
        <v>885</v>
      </c>
      <c r="O239" s="22" t="s">
        <v>465</v>
      </c>
      <c r="P239" s="426">
        <v>2020</v>
      </c>
      <c r="Q239" s="533">
        <f t="shared" ca="1" si="9"/>
        <v>8.1081081081081086E-2</v>
      </c>
      <c r="R239" s="335">
        <f t="shared" ca="1" si="10"/>
        <v>0</v>
      </c>
      <c r="S239" s="335">
        <f>In6_Ind!P23</f>
        <v>629</v>
      </c>
      <c r="T239" s="429" t="s">
        <v>425</v>
      </c>
      <c r="U239" s="22" t="s">
        <v>246</v>
      </c>
      <c r="V239" s="24"/>
      <c r="W239" s="21"/>
      <c r="Y239" s="490"/>
    </row>
    <row r="240" spans="1:25" ht="75">
      <c r="A240" s="31">
        <v>237</v>
      </c>
      <c r="B240" s="22" t="s">
        <v>39</v>
      </c>
      <c r="C240" s="22" t="s">
        <v>462</v>
      </c>
      <c r="D240" s="22" t="s">
        <v>468</v>
      </c>
      <c r="E240" s="23" t="s">
        <v>329</v>
      </c>
      <c r="F240" s="22" t="s">
        <v>142</v>
      </c>
      <c r="G240" s="22" t="s">
        <v>143</v>
      </c>
      <c r="H240" s="22" t="s">
        <v>30</v>
      </c>
      <c r="I240" s="22" t="s">
        <v>470</v>
      </c>
      <c r="J240" s="22" t="s">
        <v>330</v>
      </c>
      <c r="K240" s="519" t="s">
        <v>1262</v>
      </c>
      <c r="L240" s="521" t="s">
        <v>1291</v>
      </c>
      <c r="M240" s="521" t="s">
        <v>1292</v>
      </c>
      <c r="N240" s="521" t="s">
        <v>885</v>
      </c>
      <c r="O240" s="22" t="s">
        <v>465</v>
      </c>
      <c r="P240" s="426">
        <v>2020</v>
      </c>
      <c r="Q240" s="533" t="s">
        <v>59</v>
      </c>
      <c r="R240" s="533" t="s">
        <v>59</v>
      </c>
      <c r="S240" s="533" t="s">
        <v>59</v>
      </c>
      <c r="T240" s="429" t="s">
        <v>425</v>
      </c>
      <c r="U240" s="22" t="s">
        <v>246</v>
      </c>
      <c r="V240" s="24"/>
      <c r="W240" s="21"/>
      <c r="Y240" s="490"/>
    </row>
    <row r="241" spans="1:25" ht="75">
      <c r="A241" s="31">
        <v>238</v>
      </c>
      <c r="B241" s="22" t="s">
        <v>39</v>
      </c>
      <c r="C241" s="22" t="s">
        <v>462</v>
      </c>
      <c r="D241" s="22" t="s">
        <v>468</v>
      </c>
      <c r="E241" s="23" t="s">
        <v>331</v>
      </c>
      <c r="F241" s="22" t="s">
        <v>142</v>
      </c>
      <c r="G241" s="22" t="s">
        <v>143</v>
      </c>
      <c r="H241" s="22" t="s">
        <v>30</v>
      </c>
      <c r="I241" s="22" t="s">
        <v>471</v>
      </c>
      <c r="J241" s="22" t="s">
        <v>327</v>
      </c>
      <c r="K241" s="519" t="s">
        <v>1262</v>
      </c>
      <c r="L241" s="521" t="s">
        <v>1293</v>
      </c>
      <c r="M241" s="521" t="s">
        <v>1294</v>
      </c>
      <c r="N241" s="521" t="s">
        <v>885</v>
      </c>
      <c r="O241" s="22" t="s">
        <v>465</v>
      </c>
      <c r="P241" s="426">
        <v>2020</v>
      </c>
      <c r="Q241" s="533" t="s">
        <v>59</v>
      </c>
      <c r="R241" s="533" t="s">
        <v>59</v>
      </c>
      <c r="S241" s="533" t="s">
        <v>59</v>
      </c>
      <c r="T241" s="429" t="s">
        <v>425</v>
      </c>
      <c r="U241" s="22" t="s">
        <v>246</v>
      </c>
      <c r="V241" s="24"/>
      <c r="W241" s="21"/>
      <c r="Y241" s="490"/>
    </row>
    <row r="242" spans="1:25" ht="90">
      <c r="A242" s="31">
        <v>239</v>
      </c>
      <c r="B242" s="22" t="s">
        <v>39</v>
      </c>
      <c r="C242" s="22" t="s">
        <v>462</v>
      </c>
      <c r="D242" s="22" t="s">
        <v>472</v>
      </c>
      <c r="E242" s="23" t="s">
        <v>473</v>
      </c>
      <c r="F242" s="22" t="s">
        <v>142</v>
      </c>
      <c r="G242" s="22" t="s">
        <v>474</v>
      </c>
      <c r="H242" s="22" t="s">
        <v>164</v>
      </c>
      <c r="I242" s="22" t="s">
        <v>1295</v>
      </c>
      <c r="J242" s="22" t="s">
        <v>476</v>
      </c>
      <c r="K242" s="519" t="s">
        <v>1262</v>
      </c>
      <c r="L242" s="521" t="s">
        <v>1296</v>
      </c>
      <c r="M242" s="521" t="s">
        <v>1297</v>
      </c>
      <c r="N242" s="521" t="s">
        <v>885</v>
      </c>
      <c r="O242" s="22" t="s">
        <v>465</v>
      </c>
      <c r="P242" s="426">
        <v>2020</v>
      </c>
      <c r="Q242" s="533" t="s">
        <v>59</v>
      </c>
      <c r="R242" s="533" t="s">
        <v>59</v>
      </c>
      <c r="S242" s="533" t="s">
        <v>59</v>
      </c>
      <c r="T242" s="429" t="s">
        <v>477</v>
      </c>
      <c r="U242" s="22" t="s">
        <v>478</v>
      </c>
      <c r="V242" s="24"/>
      <c r="W242" s="21"/>
      <c r="Y242" s="490"/>
    </row>
    <row r="243" spans="1:25" ht="90">
      <c r="A243" s="31">
        <v>240</v>
      </c>
      <c r="B243" s="22" t="s">
        <v>39</v>
      </c>
      <c r="C243" s="22" t="s">
        <v>462</v>
      </c>
      <c r="D243" s="22" t="s">
        <v>472</v>
      </c>
      <c r="E243" s="23" t="s">
        <v>479</v>
      </c>
      <c r="F243" s="22" t="s">
        <v>142</v>
      </c>
      <c r="G243" s="22" t="s">
        <v>474</v>
      </c>
      <c r="H243" s="22" t="s">
        <v>164</v>
      </c>
      <c r="I243" s="22" t="s">
        <v>1298</v>
      </c>
      <c r="J243" s="22" t="s">
        <v>481</v>
      </c>
      <c r="K243" s="519" t="s">
        <v>1262</v>
      </c>
      <c r="L243" s="521" t="s">
        <v>1299</v>
      </c>
      <c r="M243" s="521" t="s">
        <v>1300</v>
      </c>
      <c r="N243" s="521" t="s">
        <v>885</v>
      </c>
      <c r="O243" s="22" t="s">
        <v>465</v>
      </c>
      <c r="P243" s="426">
        <v>2020</v>
      </c>
      <c r="Q243" s="533" t="s">
        <v>59</v>
      </c>
      <c r="R243" s="533" t="s">
        <v>59</v>
      </c>
      <c r="S243" s="533" t="s">
        <v>59</v>
      </c>
      <c r="T243" s="429" t="s">
        <v>482</v>
      </c>
      <c r="U243" s="22" t="s">
        <v>478</v>
      </c>
      <c r="V243" s="24"/>
      <c r="W243" s="21"/>
      <c r="Y243" s="490"/>
    </row>
    <row r="244" spans="1:25" ht="90">
      <c r="A244" s="31">
        <v>241</v>
      </c>
      <c r="B244" s="22" t="s">
        <v>39</v>
      </c>
      <c r="C244" s="22" t="s">
        <v>462</v>
      </c>
      <c r="D244" s="22" t="s">
        <v>472</v>
      </c>
      <c r="E244" s="23" t="s">
        <v>483</v>
      </c>
      <c r="F244" s="22" t="s">
        <v>142</v>
      </c>
      <c r="G244" s="22" t="s">
        <v>474</v>
      </c>
      <c r="H244" s="22" t="s">
        <v>164</v>
      </c>
      <c r="I244" s="22" t="s">
        <v>1301</v>
      </c>
      <c r="J244" s="22" t="s">
        <v>485</v>
      </c>
      <c r="K244" s="519" t="s">
        <v>1262</v>
      </c>
      <c r="L244" s="521" t="s">
        <v>1302</v>
      </c>
      <c r="M244" s="521" t="s">
        <v>1303</v>
      </c>
      <c r="N244" s="521" t="s">
        <v>885</v>
      </c>
      <c r="O244" s="22" t="s">
        <v>465</v>
      </c>
      <c r="P244" s="426">
        <v>2020</v>
      </c>
      <c r="Q244" s="533" t="s">
        <v>59</v>
      </c>
      <c r="R244" s="533" t="s">
        <v>59</v>
      </c>
      <c r="S244" s="533" t="s">
        <v>59</v>
      </c>
      <c r="T244" s="429" t="s">
        <v>486</v>
      </c>
      <c r="U244" s="22" t="s">
        <v>478</v>
      </c>
      <c r="V244" s="24"/>
      <c r="W244" s="21"/>
      <c r="Y244" s="490"/>
    </row>
    <row r="245" spans="1:25" ht="30">
      <c r="A245" s="31">
        <v>242</v>
      </c>
      <c r="B245" s="22" t="s">
        <v>39</v>
      </c>
      <c r="C245" s="22" t="s">
        <v>462</v>
      </c>
      <c r="D245" s="22" t="s">
        <v>487</v>
      </c>
      <c r="E245" s="23" t="s">
        <v>91</v>
      </c>
      <c r="F245" s="22" t="s">
        <v>92</v>
      </c>
      <c r="G245" s="22" t="s">
        <v>93</v>
      </c>
      <c r="H245" s="22" t="s">
        <v>30</v>
      </c>
      <c r="I245" s="22" t="s">
        <v>488</v>
      </c>
      <c r="J245" s="22" t="s">
        <v>92</v>
      </c>
      <c r="K245" s="519" t="s">
        <v>1262</v>
      </c>
      <c r="L245" s="521" t="s">
        <v>1304</v>
      </c>
      <c r="M245" s="521" t="s">
        <v>1305</v>
      </c>
      <c r="N245" s="521" t="s">
        <v>885</v>
      </c>
      <c r="O245" s="22" t="s">
        <v>465</v>
      </c>
      <c r="P245" s="426">
        <v>2020</v>
      </c>
      <c r="Q245" s="414">
        <f t="shared" ca="1" si="9"/>
        <v>384.1424812936512</v>
      </c>
      <c r="R245" s="335">
        <f t="shared" ca="1" si="10"/>
        <v>0</v>
      </c>
      <c r="S245" s="335">
        <f t="shared" ca="1" si="11"/>
        <v>0</v>
      </c>
      <c r="T245" s="429" t="s">
        <v>48</v>
      </c>
      <c r="U245" s="22"/>
      <c r="V245" s="24"/>
      <c r="W245" s="21"/>
      <c r="Y245" s="490"/>
    </row>
    <row r="246" spans="1:25" ht="30">
      <c r="A246" s="31">
        <v>243</v>
      </c>
      <c r="B246" s="22" t="s">
        <v>39</v>
      </c>
      <c r="C246" s="22" t="s">
        <v>462</v>
      </c>
      <c r="D246" s="22" t="s">
        <v>487</v>
      </c>
      <c r="E246" s="23" t="s">
        <v>91</v>
      </c>
      <c r="F246" s="22" t="s">
        <v>95</v>
      </c>
      <c r="G246" s="22" t="s">
        <v>93</v>
      </c>
      <c r="H246" s="22" t="s">
        <v>30</v>
      </c>
      <c r="I246" s="22" t="s">
        <v>488</v>
      </c>
      <c r="J246" s="22" t="s">
        <v>95</v>
      </c>
      <c r="K246" s="519" t="s">
        <v>1262</v>
      </c>
      <c r="L246" s="521" t="s">
        <v>1306</v>
      </c>
      <c r="M246" s="521" t="s">
        <v>1307</v>
      </c>
      <c r="N246" s="521" t="s">
        <v>885</v>
      </c>
      <c r="O246" s="22" t="s">
        <v>465</v>
      </c>
      <c r="P246" s="426">
        <v>2020</v>
      </c>
      <c r="Q246" s="719">
        <f t="shared" ca="1" si="9"/>
        <v>5.145679280638054E-2</v>
      </c>
      <c r="R246" s="335">
        <f t="shared" ca="1" si="10"/>
        <v>0</v>
      </c>
      <c r="S246" s="335">
        <f t="shared" ca="1" si="11"/>
        <v>0</v>
      </c>
      <c r="T246" s="429" t="s">
        <v>48</v>
      </c>
      <c r="U246" s="22"/>
      <c r="V246" s="24"/>
      <c r="W246" s="21"/>
      <c r="Y246" s="490"/>
    </row>
    <row r="247" spans="1:25" ht="30">
      <c r="A247" s="31">
        <v>244</v>
      </c>
      <c r="B247" s="22" t="s">
        <v>39</v>
      </c>
      <c r="C247" s="22" t="s">
        <v>462</v>
      </c>
      <c r="D247" s="22" t="s">
        <v>487</v>
      </c>
      <c r="E247" s="23" t="s">
        <v>91</v>
      </c>
      <c r="F247" s="22" t="s">
        <v>96</v>
      </c>
      <c r="G247" s="22" t="s">
        <v>93</v>
      </c>
      <c r="H247" s="22" t="s">
        <v>30</v>
      </c>
      <c r="I247" s="22" t="s">
        <v>488</v>
      </c>
      <c r="J247" s="22" t="s">
        <v>96</v>
      </c>
      <c r="K247" s="519" t="s">
        <v>1262</v>
      </c>
      <c r="L247" s="521" t="s">
        <v>1308</v>
      </c>
      <c r="M247" s="521" t="s">
        <v>1309</v>
      </c>
      <c r="N247" s="521" t="s">
        <v>885</v>
      </c>
      <c r="O247" s="22" t="s">
        <v>465</v>
      </c>
      <c r="P247" s="426">
        <v>2020</v>
      </c>
      <c r="Q247" s="719">
        <f t="shared" ca="1" si="9"/>
        <v>0.73082070892054685</v>
      </c>
      <c r="R247" s="335">
        <f t="shared" ca="1" si="10"/>
        <v>0</v>
      </c>
      <c r="S247" s="335">
        <f t="shared" ca="1" si="11"/>
        <v>0</v>
      </c>
      <c r="T247" s="429" t="s">
        <v>48</v>
      </c>
      <c r="U247" s="22" t="s">
        <v>49</v>
      </c>
      <c r="V247" s="24"/>
      <c r="W247" s="21"/>
      <c r="Y247" s="490"/>
    </row>
    <row r="248" spans="1:25" ht="30">
      <c r="A248" s="31">
        <v>245</v>
      </c>
      <c r="B248" s="22" t="s">
        <v>39</v>
      </c>
      <c r="C248" s="22" t="s">
        <v>462</v>
      </c>
      <c r="D248" s="22" t="s">
        <v>487</v>
      </c>
      <c r="E248" s="23" t="s">
        <v>91</v>
      </c>
      <c r="F248" s="22" t="s">
        <v>97</v>
      </c>
      <c r="G248" s="22" t="s">
        <v>93</v>
      </c>
      <c r="H248" s="22" t="s">
        <v>30</v>
      </c>
      <c r="I248" s="22" t="s">
        <v>488</v>
      </c>
      <c r="J248" s="22" t="s">
        <v>97</v>
      </c>
      <c r="K248" s="519" t="s">
        <v>1262</v>
      </c>
      <c r="L248" s="521" t="s">
        <v>1310</v>
      </c>
      <c r="M248" s="521" t="s">
        <v>1311</v>
      </c>
      <c r="N248" s="521" t="s">
        <v>885</v>
      </c>
      <c r="O248" s="22" t="s">
        <v>465</v>
      </c>
      <c r="P248" s="426">
        <v>2020</v>
      </c>
      <c r="Q248" s="414">
        <f t="shared" ca="1" si="9"/>
        <v>634.57457503020896</v>
      </c>
      <c r="R248" s="335">
        <f t="shared" ca="1" si="10"/>
        <v>0</v>
      </c>
      <c r="S248" s="335">
        <f t="shared" ca="1" si="11"/>
        <v>0</v>
      </c>
      <c r="T248" s="429" t="s">
        <v>48</v>
      </c>
      <c r="U248" s="22"/>
      <c r="V248" s="24"/>
      <c r="W248" s="21"/>
      <c r="Y248" s="490"/>
    </row>
    <row r="249" spans="1:25" ht="30">
      <c r="A249" s="31">
        <v>246</v>
      </c>
      <c r="B249" s="22" t="s">
        <v>39</v>
      </c>
      <c r="C249" s="22" t="s">
        <v>462</v>
      </c>
      <c r="D249" s="22" t="s">
        <v>487</v>
      </c>
      <c r="E249" s="23" t="s">
        <v>91</v>
      </c>
      <c r="F249" s="22" t="s">
        <v>98</v>
      </c>
      <c r="G249" s="22" t="s">
        <v>93</v>
      </c>
      <c r="H249" s="22" t="s">
        <v>30</v>
      </c>
      <c r="I249" s="22" t="s">
        <v>488</v>
      </c>
      <c r="J249" s="22" t="s">
        <v>98</v>
      </c>
      <c r="K249" s="519" t="s">
        <v>1262</v>
      </c>
      <c r="L249" s="521" t="s">
        <v>1312</v>
      </c>
      <c r="M249" s="521" t="s">
        <v>1313</v>
      </c>
      <c r="N249" s="521" t="s">
        <v>885</v>
      </c>
      <c r="O249" s="22" t="s">
        <v>465</v>
      </c>
      <c r="P249" s="426">
        <v>2020</v>
      </c>
      <c r="Q249" s="719">
        <f t="shared" ca="1" si="9"/>
        <v>8.5002763343336882E-2</v>
      </c>
      <c r="R249" s="335">
        <f t="shared" ca="1" si="10"/>
        <v>0</v>
      </c>
      <c r="S249" s="335">
        <f t="shared" ca="1" si="11"/>
        <v>0</v>
      </c>
      <c r="T249" s="429" t="s">
        <v>48</v>
      </c>
      <c r="U249" s="22"/>
      <c r="V249" s="24"/>
      <c r="W249" s="21"/>
      <c r="Y249" s="490"/>
    </row>
    <row r="250" spans="1:25" ht="30">
      <c r="A250" s="31">
        <v>247</v>
      </c>
      <c r="B250" s="22" t="s">
        <v>39</v>
      </c>
      <c r="C250" s="22" t="s">
        <v>462</v>
      </c>
      <c r="D250" s="22" t="s">
        <v>487</v>
      </c>
      <c r="E250" s="23" t="s">
        <v>91</v>
      </c>
      <c r="F250" s="22" t="s">
        <v>99</v>
      </c>
      <c r="G250" s="22" t="s">
        <v>93</v>
      </c>
      <c r="H250" s="22" t="s">
        <v>30</v>
      </c>
      <c r="I250" s="22" t="s">
        <v>488</v>
      </c>
      <c r="J250" s="22" t="s">
        <v>99</v>
      </c>
      <c r="K250" s="519" t="s">
        <v>1262</v>
      </c>
      <c r="L250" s="521" t="s">
        <v>1314</v>
      </c>
      <c r="M250" s="521" t="s">
        <v>1315</v>
      </c>
      <c r="N250" s="521" t="s">
        <v>885</v>
      </c>
      <c r="O250" s="22" t="s">
        <v>465</v>
      </c>
      <c r="P250" s="426">
        <v>2020</v>
      </c>
      <c r="Q250" s="719">
        <f t="shared" ca="1" si="9"/>
        <v>1.2072610121764127</v>
      </c>
      <c r="R250" s="335">
        <f t="shared" ca="1" si="10"/>
        <v>0</v>
      </c>
      <c r="S250" s="335">
        <f t="shared" ca="1" si="11"/>
        <v>0</v>
      </c>
      <c r="T250" s="429" t="s">
        <v>48</v>
      </c>
      <c r="U250" s="22" t="s">
        <v>49</v>
      </c>
      <c r="V250" s="24"/>
      <c r="W250" s="21"/>
      <c r="Y250" s="490"/>
    </row>
    <row r="251" spans="1:25" ht="30">
      <c r="A251" s="31">
        <v>248</v>
      </c>
      <c r="B251" s="22" t="s">
        <v>39</v>
      </c>
      <c r="C251" s="22" t="s">
        <v>462</v>
      </c>
      <c r="D251" s="22" t="s">
        <v>489</v>
      </c>
      <c r="E251" s="23" t="s">
        <v>296</v>
      </c>
      <c r="F251" s="22" t="s">
        <v>297</v>
      </c>
      <c r="G251" s="22" t="s">
        <v>298</v>
      </c>
      <c r="H251" s="22" t="s">
        <v>30</v>
      </c>
      <c r="I251" s="22" t="s">
        <v>490</v>
      </c>
      <c r="J251" s="22" t="s">
        <v>297</v>
      </c>
      <c r="K251" s="519" t="s">
        <v>1262</v>
      </c>
      <c r="L251" s="521" t="s">
        <v>1316</v>
      </c>
      <c r="M251" s="521" t="s">
        <v>1317</v>
      </c>
      <c r="N251" s="521" t="s">
        <v>885</v>
      </c>
      <c r="O251" s="22" t="s">
        <v>465</v>
      </c>
      <c r="P251" s="426">
        <v>2020</v>
      </c>
      <c r="Q251" s="533">
        <f t="shared" ca="1" si="9"/>
        <v>2.8264866281909121E-3</v>
      </c>
      <c r="R251" s="335">
        <f t="shared" ca="1" si="10"/>
        <v>0</v>
      </c>
      <c r="S251" s="335">
        <f t="shared" ca="1" si="11"/>
        <v>0</v>
      </c>
      <c r="T251" s="429"/>
      <c r="U251" s="22"/>
      <c r="V251" s="24"/>
      <c r="W251" s="21"/>
      <c r="Y251" s="490"/>
    </row>
    <row r="252" spans="1:25" ht="30">
      <c r="A252" s="31">
        <v>249</v>
      </c>
      <c r="B252" s="22" t="s">
        <v>39</v>
      </c>
      <c r="C252" s="22" t="s">
        <v>462</v>
      </c>
      <c r="D252" s="22" t="s">
        <v>489</v>
      </c>
      <c r="E252" s="23" t="s">
        <v>296</v>
      </c>
      <c r="F252" s="22" t="s">
        <v>300</v>
      </c>
      <c r="G252" s="22" t="s">
        <v>298</v>
      </c>
      <c r="H252" s="22" t="s">
        <v>30</v>
      </c>
      <c r="I252" s="22" t="s">
        <v>490</v>
      </c>
      <c r="J252" s="22" t="s">
        <v>300</v>
      </c>
      <c r="K252" s="519" t="s">
        <v>1262</v>
      </c>
      <c r="L252" s="521" t="s">
        <v>1318</v>
      </c>
      <c r="M252" s="521" t="s">
        <v>1319</v>
      </c>
      <c r="N252" s="521" t="s">
        <v>885</v>
      </c>
      <c r="O252" s="22" t="s">
        <v>465</v>
      </c>
      <c r="P252" s="426">
        <v>2020</v>
      </c>
      <c r="Q252" s="533">
        <f t="shared" ca="1" si="9"/>
        <v>2.0344746112401454E-3</v>
      </c>
      <c r="R252" s="335">
        <f t="shared" ca="1" si="10"/>
        <v>0</v>
      </c>
      <c r="S252" s="335">
        <f t="shared" ca="1" si="11"/>
        <v>0</v>
      </c>
      <c r="T252" s="429"/>
      <c r="U252" s="22"/>
      <c r="V252" s="24"/>
      <c r="W252" s="21"/>
      <c r="Y252" s="490"/>
    </row>
    <row r="253" spans="1:25" ht="30">
      <c r="A253" s="31">
        <v>250</v>
      </c>
      <c r="B253" s="22" t="s">
        <v>39</v>
      </c>
      <c r="C253" s="22" t="s">
        <v>462</v>
      </c>
      <c r="D253" s="22" t="s">
        <v>489</v>
      </c>
      <c r="E253" s="23" t="s">
        <v>296</v>
      </c>
      <c r="F253" s="22" t="s">
        <v>301</v>
      </c>
      <c r="G253" s="22" t="s">
        <v>298</v>
      </c>
      <c r="H253" s="22" t="s">
        <v>30</v>
      </c>
      <c r="I253" s="22" t="s">
        <v>490</v>
      </c>
      <c r="J253" s="22" t="s">
        <v>301</v>
      </c>
      <c r="K253" s="519" t="s">
        <v>1262</v>
      </c>
      <c r="L253" s="521" t="s">
        <v>1320</v>
      </c>
      <c r="M253" s="521" t="s">
        <v>1321</v>
      </c>
      <c r="N253" s="521" t="s">
        <v>885</v>
      </c>
      <c r="O253" s="22" t="s">
        <v>465</v>
      </c>
      <c r="P253" s="426">
        <v>2020</v>
      </c>
      <c r="Q253" s="533">
        <f t="shared" ca="1" si="9"/>
        <v>3.9128989842017684E-3</v>
      </c>
      <c r="R253" s="335">
        <f t="shared" ca="1" si="10"/>
        <v>0</v>
      </c>
      <c r="S253" s="335">
        <f t="shared" ca="1" si="11"/>
        <v>0</v>
      </c>
      <c r="T253" s="429"/>
      <c r="U253" s="22"/>
      <c r="V253" s="24"/>
      <c r="W253" s="21"/>
      <c r="Y253" s="490"/>
    </row>
    <row r="254" spans="1:25" ht="30">
      <c r="A254" s="31">
        <v>251</v>
      </c>
      <c r="B254" s="22" t="s">
        <v>39</v>
      </c>
      <c r="C254" s="22" t="s">
        <v>462</v>
      </c>
      <c r="D254" s="22" t="s">
        <v>489</v>
      </c>
      <c r="E254" s="23" t="s">
        <v>296</v>
      </c>
      <c r="F254" s="22" t="s">
        <v>302</v>
      </c>
      <c r="G254" s="22" t="s">
        <v>298</v>
      </c>
      <c r="H254" s="22" t="s">
        <v>30</v>
      </c>
      <c r="I254" s="22" t="s">
        <v>490</v>
      </c>
      <c r="J254" s="22" t="s">
        <v>302</v>
      </c>
      <c r="K254" s="519" t="s">
        <v>1262</v>
      </c>
      <c r="L254" s="521" t="s">
        <v>1322</v>
      </c>
      <c r="M254" s="521" t="s">
        <v>1323</v>
      </c>
      <c r="N254" s="521" t="s">
        <v>885</v>
      </c>
      <c r="O254" s="22" t="s">
        <v>465</v>
      </c>
      <c r="P254" s="426">
        <v>2020</v>
      </c>
      <c r="Q254" s="533">
        <f t="shared" ca="1" si="9"/>
        <v>2.8398046022403826E-3</v>
      </c>
      <c r="R254" s="335">
        <f t="shared" ca="1" si="10"/>
        <v>0</v>
      </c>
      <c r="S254" s="335">
        <f t="shared" ca="1" si="11"/>
        <v>0</v>
      </c>
      <c r="T254" s="429"/>
      <c r="U254" s="22"/>
      <c r="V254" s="24"/>
      <c r="W254" s="21"/>
      <c r="Y254" s="490"/>
    </row>
    <row r="255" spans="1:25" ht="30">
      <c r="A255" s="31">
        <v>252</v>
      </c>
      <c r="B255" s="22" t="s">
        <v>39</v>
      </c>
      <c r="C255" s="22" t="s">
        <v>462</v>
      </c>
      <c r="D255" s="22" t="s">
        <v>489</v>
      </c>
      <c r="E255" s="23" t="s">
        <v>296</v>
      </c>
      <c r="F255" s="22" t="s">
        <v>303</v>
      </c>
      <c r="G255" s="22" t="s">
        <v>298</v>
      </c>
      <c r="H255" s="22" t="s">
        <v>30</v>
      </c>
      <c r="I255" s="22" t="s">
        <v>490</v>
      </c>
      <c r="J255" s="22" t="s">
        <v>303</v>
      </c>
      <c r="K255" s="519" t="s">
        <v>1262</v>
      </c>
      <c r="L255" s="521" t="s">
        <v>1324</v>
      </c>
      <c r="M255" s="521" t="s">
        <v>1325</v>
      </c>
      <c r="N255" s="521" t="s">
        <v>885</v>
      </c>
      <c r="O255" s="22" t="s">
        <v>465</v>
      </c>
      <c r="P255" s="426">
        <v>2020</v>
      </c>
      <c r="Q255" s="533">
        <f t="shared" ca="1" si="9"/>
        <v>8.3530389254277246E-4</v>
      </c>
      <c r="R255" s="335">
        <f t="shared" ca="1" si="10"/>
        <v>0</v>
      </c>
      <c r="S255" s="335">
        <f t="shared" ca="1" si="11"/>
        <v>0</v>
      </c>
      <c r="T255" s="429" t="s">
        <v>304</v>
      </c>
      <c r="U255" s="22" t="s">
        <v>491</v>
      </c>
      <c r="V255" s="24"/>
      <c r="W255" s="21"/>
      <c r="Y255" s="490"/>
    </row>
    <row r="256" spans="1:25" ht="30">
      <c r="A256" s="31">
        <v>253</v>
      </c>
      <c r="B256" s="22" t="s">
        <v>39</v>
      </c>
      <c r="C256" s="22" t="s">
        <v>462</v>
      </c>
      <c r="D256" s="22" t="s">
        <v>489</v>
      </c>
      <c r="E256" s="23" t="s">
        <v>296</v>
      </c>
      <c r="F256" s="22" t="s">
        <v>305</v>
      </c>
      <c r="G256" s="22" t="s">
        <v>298</v>
      </c>
      <c r="H256" s="22" t="s">
        <v>30</v>
      </c>
      <c r="I256" s="22" t="s">
        <v>490</v>
      </c>
      <c r="J256" s="22" t="s">
        <v>305</v>
      </c>
      <c r="K256" s="519" t="s">
        <v>1262</v>
      </c>
      <c r="L256" s="521" t="s">
        <v>1326</v>
      </c>
      <c r="M256" s="521" t="s">
        <v>1327</v>
      </c>
      <c r="N256" s="521" t="s">
        <v>885</v>
      </c>
      <c r="O256" s="22" t="s">
        <v>465</v>
      </c>
      <c r="P256" s="426">
        <v>2020</v>
      </c>
      <c r="Q256" s="533">
        <f t="shared" ca="1" si="9"/>
        <v>6.0047091215010217E-4</v>
      </c>
      <c r="R256" s="335">
        <f t="shared" ca="1" si="10"/>
        <v>0</v>
      </c>
      <c r="S256" s="335">
        <f t="shared" ca="1" si="11"/>
        <v>0</v>
      </c>
      <c r="T256" s="429" t="s">
        <v>304</v>
      </c>
      <c r="U256" s="22" t="s">
        <v>491</v>
      </c>
      <c r="V256" s="24"/>
      <c r="W256" s="21"/>
      <c r="Y256" s="490"/>
    </row>
    <row r="257" spans="1:25" ht="30">
      <c r="A257" s="31">
        <v>254</v>
      </c>
      <c r="B257" s="22" t="s">
        <v>39</v>
      </c>
      <c r="C257" s="22" t="s">
        <v>462</v>
      </c>
      <c r="D257" s="22" t="s">
        <v>489</v>
      </c>
      <c r="E257" s="23" t="s">
        <v>296</v>
      </c>
      <c r="F257" s="22" t="s">
        <v>306</v>
      </c>
      <c r="G257" s="22" t="s">
        <v>298</v>
      </c>
      <c r="H257" s="22" t="s">
        <v>30</v>
      </c>
      <c r="I257" s="22" t="s">
        <v>490</v>
      </c>
      <c r="J257" s="22" t="s">
        <v>306</v>
      </c>
      <c r="K257" s="519" t="s">
        <v>1262</v>
      </c>
      <c r="L257" s="521" t="s">
        <v>1328</v>
      </c>
      <c r="M257" s="521" t="s">
        <v>1329</v>
      </c>
      <c r="N257" s="521" t="s">
        <v>885</v>
      </c>
      <c r="O257" s="22" t="s">
        <v>465</v>
      </c>
      <c r="P257" s="426">
        <v>2020</v>
      </c>
      <c r="Q257" s="533">
        <f t="shared" ca="1" si="9"/>
        <v>1.8032583879206077E-2</v>
      </c>
      <c r="R257" s="335">
        <f t="shared" ca="1" si="10"/>
        <v>0</v>
      </c>
      <c r="S257" s="335">
        <f t="shared" ca="1" si="11"/>
        <v>0</v>
      </c>
      <c r="T257" s="429"/>
      <c r="U257" s="22"/>
      <c r="V257" s="24"/>
      <c r="W257" s="21"/>
      <c r="Y257" s="490"/>
    </row>
    <row r="258" spans="1:25" ht="30">
      <c r="A258" s="31">
        <v>255</v>
      </c>
      <c r="B258" s="22" t="s">
        <v>39</v>
      </c>
      <c r="C258" s="22" t="s">
        <v>462</v>
      </c>
      <c r="D258" s="22" t="s">
        <v>489</v>
      </c>
      <c r="E258" s="23" t="s">
        <v>296</v>
      </c>
      <c r="F258" s="22" t="s">
        <v>307</v>
      </c>
      <c r="G258" s="22" t="s">
        <v>298</v>
      </c>
      <c r="H258" s="22" t="s">
        <v>30</v>
      </c>
      <c r="I258" s="22" t="s">
        <v>490</v>
      </c>
      <c r="J258" s="22" t="s">
        <v>307</v>
      </c>
      <c r="K258" s="519" t="s">
        <v>1262</v>
      </c>
      <c r="L258" s="521" t="s">
        <v>1330</v>
      </c>
      <c r="M258" s="521" t="s">
        <v>1331</v>
      </c>
      <c r="N258" s="521" t="s">
        <v>885</v>
      </c>
      <c r="O258" s="22" t="s">
        <v>465</v>
      </c>
      <c r="P258" s="426">
        <v>2020</v>
      </c>
      <c r="Q258" s="533">
        <f t="shared" ca="1" si="9"/>
        <v>1.1959373839813683E-2</v>
      </c>
      <c r="R258" s="335">
        <f t="shared" ca="1" si="10"/>
        <v>0</v>
      </c>
      <c r="S258" s="335">
        <f t="shared" ca="1" si="11"/>
        <v>0</v>
      </c>
      <c r="T258" s="429"/>
      <c r="U258" s="22"/>
      <c r="V258" s="24"/>
      <c r="W258" s="21"/>
      <c r="Y258" s="490"/>
    </row>
    <row r="259" spans="1:25" ht="30">
      <c r="A259" s="31">
        <v>256</v>
      </c>
      <c r="B259" s="22" t="s">
        <v>39</v>
      </c>
      <c r="C259" s="22" t="s">
        <v>462</v>
      </c>
      <c r="D259" s="22" t="s">
        <v>489</v>
      </c>
      <c r="E259" s="23" t="s">
        <v>296</v>
      </c>
      <c r="F259" s="22" t="s">
        <v>308</v>
      </c>
      <c r="G259" s="22" t="s">
        <v>298</v>
      </c>
      <c r="H259" s="22" t="s">
        <v>30</v>
      </c>
      <c r="I259" s="22" t="s">
        <v>490</v>
      </c>
      <c r="J259" s="22" t="s">
        <v>308</v>
      </c>
      <c r="K259" s="519" t="s">
        <v>1262</v>
      </c>
      <c r="L259" s="521" t="s">
        <v>1332</v>
      </c>
      <c r="M259" s="521" t="s">
        <v>1333</v>
      </c>
      <c r="N259" s="521" t="s">
        <v>885</v>
      </c>
      <c r="O259" s="22" t="s">
        <v>465</v>
      </c>
      <c r="P259" s="426">
        <v>2020</v>
      </c>
      <c r="Q259" s="533">
        <f t="shared" ref="Q259:Q303" ca="1" si="12">SUMIF(INDIRECT("'"&amp;K259&amp;"'!c:c"),A259,INDIRECT("'"&amp;K259&amp;"'!h:h"))</f>
        <v>2.6031304770984739E-2</v>
      </c>
      <c r="R259" s="335">
        <f t="shared" ref="R259:R305" ca="1" si="13">IF($N259 = "N","N/A",SUMIF(INDIRECT("'"&amp;K259&amp;"'!i:i"),L259,INDIRECT("'"&amp;K259&amp;"'!o:o")))</f>
        <v>0</v>
      </c>
      <c r="S259" s="335">
        <f t="shared" ref="S259:S305" ca="1" si="14">IF($N259 = "N","N/A",SUMIF(INDIRECT("'"&amp;K259&amp;"'!i:i"),M259,INDIRECT("'"&amp;K259&amp;"'!o:o")))</f>
        <v>0</v>
      </c>
      <c r="T259" s="429"/>
      <c r="U259" s="22"/>
      <c r="V259" s="24"/>
      <c r="W259" s="21"/>
      <c r="Y259" s="490"/>
    </row>
    <row r="260" spans="1:25" ht="30">
      <c r="A260" s="31">
        <v>257</v>
      </c>
      <c r="B260" s="22" t="s">
        <v>39</v>
      </c>
      <c r="C260" s="22" t="s">
        <v>462</v>
      </c>
      <c r="D260" s="22" t="s">
        <v>489</v>
      </c>
      <c r="E260" s="23" t="s">
        <v>296</v>
      </c>
      <c r="F260" s="22" t="s">
        <v>309</v>
      </c>
      <c r="G260" s="22" t="s">
        <v>298</v>
      </c>
      <c r="H260" s="22" t="s">
        <v>30</v>
      </c>
      <c r="I260" s="22" t="s">
        <v>490</v>
      </c>
      <c r="J260" s="22" t="s">
        <v>309</v>
      </c>
      <c r="K260" s="519" t="s">
        <v>1262</v>
      </c>
      <c r="L260" s="521" t="s">
        <v>1334</v>
      </c>
      <c r="M260" s="521" t="s">
        <v>1335</v>
      </c>
      <c r="N260" s="521" t="s">
        <v>885</v>
      </c>
      <c r="O260" s="22" t="s">
        <v>465</v>
      </c>
      <c r="P260" s="426">
        <v>2020</v>
      </c>
      <c r="Q260" s="533">
        <f t="shared" ca="1" si="12"/>
        <v>1.7275104031910869E-2</v>
      </c>
      <c r="R260" s="335">
        <f t="shared" ca="1" si="13"/>
        <v>0</v>
      </c>
      <c r="S260" s="335">
        <f t="shared" ca="1" si="14"/>
        <v>0</v>
      </c>
      <c r="T260" s="429"/>
      <c r="U260" s="22"/>
      <c r="V260" s="24"/>
      <c r="W260" s="21"/>
      <c r="Y260" s="490"/>
    </row>
    <row r="261" spans="1:25" ht="30">
      <c r="A261" s="31">
        <v>258</v>
      </c>
      <c r="B261" s="22" t="s">
        <v>39</v>
      </c>
      <c r="C261" s="22" t="s">
        <v>462</v>
      </c>
      <c r="D261" s="22" t="s">
        <v>489</v>
      </c>
      <c r="E261" s="23" t="s">
        <v>296</v>
      </c>
      <c r="F261" s="22" t="s">
        <v>310</v>
      </c>
      <c r="G261" s="22" t="s">
        <v>298</v>
      </c>
      <c r="H261" s="22" t="s">
        <v>30</v>
      </c>
      <c r="I261" s="22" t="s">
        <v>490</v>
      </c>
      <c r="J261" s="22" t="s">
        <v>310</v>
      </c>
      <c r="K261" s="519" t="s">
        <v>1262</v>
      </c>
      <c r="L261" s="521" t="s">
        <v>1336</v>
      </c>
      <c r="M261" s="521" t="s">
        <v>1337</v>
      </c>
      <c r="N261" s="521" t="s">
        <v>885</v>
      </c>
      <c r="O261" s="22" t="s">
        <v>465</v>
      </c>
      <c r="P261" s="426">
        <v>2020</v>
      </c>
      <c r="Q261" s="533">
        <f t="shared" ca="1" si="12"/>
        <v>5.3057670671898876E-3</v>
      </c>
      <c r="R261" s="335">
        <f t="shared" ca="1" si="13"/>
        <v>0</v>
      </c>
      <c r="S261" s="335">
        <f t="shared" ca="1" si="14"/>
        <v>0</v>
      </c>
      <c r="T261" s="429" t="s">
        <v>304</v>
      </c>
      <c r="U261" s="22" t="s">
        <v>491</v>
      </c>
      <c r="V261" s="24"/>
      <c r="W261" s="21"/>
      <c r="Y261" s="490"/>
    </row>
    <row r="262" spans="1:25" ht="30">
      <c r="A262" s="100">
        <v>259</v>
      </c>
      <c r="B262" s="22" t="s">
        <v>39</v>
      </c>
      <c r="C262" s="22" t="s">
        <v>462</v>
      </c>
      <c r="D262" s="22" t="s">
        <v>489</v>
      </c>
      <c r="E262" s="23" t="s">
        <v>296</v>
      </c>
      <c r="F262" s="101" t="s">
        <v>311</v>
      </c>
      <c r="G262" s="101" t="s">
        <v>298</v>
      </c>
      <c r="H262" s="101" t="s">
        <v>30</v>
      </c>
      <c r="I262" s="101" t="s">
        <v>490</v>
      </c>
      <c r="J262" s="101" t="s">
        <v>311</v>
      </c>
      <c r="K262" s="519" t="s">
        <v>1262</v>
      </c>
      <c r="L262" s="521" t="s">
        <v>1338</v>
      </c>
      <c r="M262" s="521" t="s">
        <v>1339</v>
      </c>
      <c r="N262" s="521" t="s">
        <v>885</v>
      </c>
      <c r="O262" s="101" t="s">
        <v>465</v>
      </c>
      <c r="P262" s="426">
        <v>2020</v>
      </c>
      <c r="Q262" s="533">
        <f t="shared" ca="1" si="12"/>
        <v>3.5030145573383569E-3</v>
      </c>
      <c r="R262" s="335">
        <f t="shared" ca="1" si="13"/>
        <v>0</v>
      </c>
      <c r="S262" s="335">
        <f t="shared" ca="1" si="14"/>
        <v>0</v>
      </c>
      <c r="T262" s="522" t="s">
        <v>304</v>
      </c>
      <c r="U262" s="101" t="s">
        <v>491</v>
      </c>
      <c r="V262" s="24"/>
      <c r="W262" s="21"/>
      <c r="Y262" s="490"/>
    </row>
    <row r="263" spans="1:25" ht="45" hidden="1">
      <c r="A263" s="31">
        <v>260</v>
      </c>
      <c r="B263" s="22" t="s">
        <v>39</v>
      </c>
      <c r="C263" s="22" t="s">
        <v>492</v>
      </c>
      <c r="D263" s="22" t="s">
        <v>493</v>
      </c>
      <c r="E263" s="23" t="s">
        <v>51</v>
      </c>
      <c r="F263" s="22" t="s">
        <v>52</v>
      </c>
      <c r="G263" s="22" t="s">
        <v>53</v>
      </c>
      <c r="H263" s="22" t="s">
        <v>30</v>
      </c>
      <c r="I263" s="22" t="s">
        <v>494</v>
      </c>
      <c r="J263" s="22" t="s">
        <v>52</v>
      </c>
      <c r="K263" s="519" t="s">
        <v>1340</v>
      </c>
      <c r="L263" s="521" t="s">
        <v>1341</v>
      </c>
      <c r="M263" s="521" t="s">
        <v>1342</v>
      </c>
      <c r="N263" s="521" t="s">
        <v>815</v>
      </c>
      <c r="O263" s="22" t="s">
        <v>495</v>
      </c>
      <c r="P263" s="426">
        <v>2020</v>
      </c>
      <c r="Q263" s="718">
        <f t="shared" ca="1" si="12"/>
        <v>0.9</v>
      </c>
      <c r="R263" s="335" t="str">
        <f t="shared" ca="1" si="13"/>
        <v>N/A</v>
      </c>
      <c r="S263" s="335" t="str">
        <f t="shared" ca="1" si="14"/>
        <v>N/A</v>
      </c>
      <c r="T263" s="429" t="s">
        <v>899</v>
      </c>
      <c r="U263" s="22"/>
      <c r="V263" s="24"/>
      <c r="W263" s="21"/>
      <c r="Y263" s="490"/>
    </row>
    <row r="264" spans="1:25" ht="45" hidden="1">
      <c r="A264" s="31">
        <v>261</v>
      </c>
      <c r="B264" s="22" t="s">
        <v>39</v>
      </c>
      <c r="C264" s="22" t="s">
        <v>492</v>
      </c>
      <c r="D264" s="22" t="s">
        <v>493</v>
      </c>
      <c r="E264" s="23" t="s">
        <v>51</v>
      </c>
      <c r="F264" s="22" t="s">
        <v>55</v>
      </c>
      <c r="G264" s="22" t="s">
        <v>53</v>
      </c>
      <c r="H264" s="22" t="s">
        <v>30</v>
      </c>
      <c r="I264" s="22" t="s">
        <v>494</v>
      </c>
      <c r="J264" s="22" t="s">
        <v>55</v>
      </c>
      <c r="K264" s="519" t="s">
        <v>1340</v>
      </c>
      <c r="L264" s="521" t="s">
        <v>1343</v>
      </c>
      <c r="M264" s="521" t="s">
        <v>1344</v>
      </c>
      <c r="N264" s="521" t="s">
        <v>815</v>
      </c>
      <c r="O264" s="22" t="s">
        <v>495</v>
      </c>
      <c r="P264" s="426">
        <v>2020</v>
      </c>
      <c r="Q264" s="719">
        <f t="shared" ca="1" si="12"/>
        <v>0.58500002145767205</v>
      </c>
      <c r="R264" s="335" t="str">
        <f t="shared" ca="1" si="13"/>
        <v>N/A</v>
      </c>
      <c r="S264" s="335" t="str">
        <f t="shared" ca="1" si="14"/>
        <v>N/A</v>
      </c>
      <c r="T264" s="429" t="s">
        <v>899</v>
      </c>
      <c r="U264" s="22"/>
      <c r="V264" s="24"/>
      <c r="W264" s="21"/>
      <c r="Y264" s="490"/>
    </row>
    <row r="265" spans="1:25" ht="45" hidden="1">
      <c r="A265" s="31">
        <v>262</v>
      </c>
      <c r="B265" s="22" t="s">
        <v>39</v>
      </c>
      <c r="C265" s="22" t="s">
        <v>492</v>
      </c>
      <c r="D265" s="22" t="s">
        <v>493</v>
      </c>
      <c r="E265" s="23" t="s">
        <v>51</v>
      </c>
      <c r="F265" s="22" t="s">
        <v>56</v>
      </c>
      <c r="G265" s="22" t="s">
        <v>53</v>
      </c>
      <c r="H265" s="22" t="s">
        <v>30</v>
      </c>
      <c r="I265" s="22" t="s">
        <v>494</v>
      </c>
      <c r="J265" s="22" t="s">
        <v>56</v>
      </c>
      <c r="K265" s="519" t="s">
        <v>1340</v>
      </c>
      <c r="L265" s="521" t="s">
        <v>1345</v>
      </c>
      <c r="M265" s="521" t="s">
        <v>1346</v>
      </c>
      <c r="N265" s="521" t="s">
        <v>815</v>
      </c>
      <c r="O265" s="22" t="s">
        <v>495</v>
      </c>
      <c r="P265" s="426">
        <v>2020</v>
      </c>
      <c r="Q265" s="414">
        <f t="shared" ca="1" si="12"/>
        <v>9260.58</v>
      </c>
      <c r="R265" s="335" t="str">
        <f t="shared" ca="1" si="13"/>
        <v>N/A</v>
      </c>
      <c r="S265" s="335" t="str">
        <f t="shared" ca="1" si="14"/>
        <v>N/A</v>
      </c>
      <c r="T265" s="429" t="s">
        <v>899</v>
      </c>
      <c r="U265" s="22"/>
      <c r="V265" s="24"/>
      <c r="W265" s="21"/>
      <c r="Y265" s="490"/>
    </row>
    <row r="266" spans="1:25" ht="45" hidden="1">
      <c r="A266" s="31">
        <v>263</v>
      </c>
      <c r="B266" s="22" t="s">
        <v>39</v>
      </c>
      <c r="C266" s="22" t="s">
        <v>492</v>
      </c>
      <c r="D266" s="22" t="s">
        <v>493</v>
      </c>
      <c r="E266" s="23" t="s">
        <v>51</v>
      </c>
      <c r="F266" s="22" t="s">
        <v>57</v>
      </c>
      <c r="G266" s="22" t="s">
        <v>53</v>
      </c>
      <c r="H266" s="22" t="s">
        <v>30</v>
      </c>
      <c r="I266" s="22" t="s">
        <v>494</v>
      </c>
      <c r="J266" s="22" t="s">
        <v>57</v>
      </c>
      <c r="K266" s="519" t="s">
        <v>1340</v>
      </c>
      <c r="L266" s="521" t="s">
        <v>1347</v>
      </c>
      <c r="M266" s="521" t="s">
        <v>1348</v>
      </c>
      <c r="N266" s="521" t="s">
        <v>815</v>
      </c>
      <c r="O266" s="22" t="s">
        <v>495</v>
      </c>
      <c r="P266" s="426">
        <v>2020</v>
      </c>
      <c r="Q266" s="414">
        <f t="shared" ca="1" si="12"/>
        <v>6239.1444112029094</v>
      </c>
      <c r="R266" s="335" t="str">
        <f t="shared" ca="1" si="13"/>
        <v>N/A</v>
      </c>
      <c r="S266" s="335" t="str">
        <f t="shared" ca="1" si="14"/>
        <v>N/A</v>
      </c>
      <c r="T266" s="429" t="s">
        <v>899</v>
      </c>
      <c r="U266" s="22"/>
      <c r="V266" s="24"/>
      <c r="W266" s="21"/>
      <c r="Y266" s="490"/>
    </row>
    <row r="267" spans="1:25" ht="45" hidden="1">
      <c r="A267" s="31">
        <v>264</v>
      </c>
      <c r="B267" s="22" t="s">
        <v>39</v>
      </c>
      <c r="C267" s="22" t="s">
        <v>492</v>
      </c>
      <c r="D267" s="22" t="s">
        <v>493</v>
      </c>
      <c r="E267" s="23" t="s">
        <v>51</v>
      </c>
      <c r="F267" s="22" t="s">
        <v>58</v>
      </c>
      <c r="G267" s="22" t="s">
        <v>53</v>
      </c>
      <c r="H267" s="22" t="s">
        <v>30</v>
      </c>
      <c r="I267" s="22" t="s">
        <v>494</v>
      </c>
      <c r="J267" s="22" t="s">
        <v>58</v>
      </c>
      <c r="K267" s="519" t="s">
        <v>1340</v>
      </c>
      <c r="L267" s="521" t="s">
        <v>1349</v>
      </c>
      <c r="M267" s="521" t="s">
        <v>1350</v>
      </c>
      <c r="N267" s="521" t="s">
        <v>815</v>
      </c>
      <c r="O267" s="22" t="s">
        <v>495</v>
      </c>
      <c r="P267" s="426">
        <v>2020</v>
      </c>
      <c r="Q267" s="414">
        <f t="shared" ca="1" si="12"/>
        <v>17210.7</v>
      </c>
      <c r="R267" s="335" t="str">
        <f t="shared" ca="1" si="13"/>
        <v>N/A</v>
      </c>
      <c r="S267" s="335" t="str">
        <f t="shared" ca="1" si="14"/>
        <v>N/A</v>
      </c>
      <c r="T267" s="429" t="s">
        <v>899</v>
      </c>
      <c r="U267" s="22" t="s">
        <v>49</v>
      </c>
      <c r="V267" s="24"/>
      <c r="W267" s="21"/>
      <c r="Y267" s="490"/>
    </row>
    <row r="268" spans="1:25" ht="45" hidden="1">
      <c r="A268" s="31">
        <v>265</v>
      </c>
      <c r="B268" s="22" t="s">
        <v>39</v>
      </c>
      <c r="C268" s="22" t="s">
        <v>492</v>
      </c>
      <c r="D268" s="22" t="s">
        <v>493</v>
      </c>
      <c r="E268" s="23" t="s">
        <v>51</v>
      </c>
      <c r="F268" s="22" t="s">
        <v>60</v>
      </c>
      <c r="G268" s="22" t="s">
        <v>53</v>
      </c>
      <c r="H268" s="22" t="s">
        <v>30</v>
      </c>
      <c r="I268" s="22" t="s">
        <v>494</v>
      </c>
      <c r="J268" s="22" t="s">
        <v>60</v>
      </c>
      <c r="K268" s="519" t="s">
        <v>1340</v>
      </c>
      <c r="L268" s="521" t="s">
        <v>1351</v>
      </c>
      <c r="M268" s="521" t="s">
        <v>1352</v>
      </c>
      <c r="N268" s="521" t="s">
        <v>815</v>
      </c>
      <c r="O268" s="22" t="s">
        <v>495</v>
      </c>
      <c r="P268" s="426">
        <v>2020</v>
      </c>
      <c r="Q268" s="414">
        <f t="shared" ca="1" si="12"/>
        <v>11703.275917933001</v>
      </c>
      <c r="R268" s="335" t="str">
        <f t="shared" ca="1" si="13"/>
        <v>N/A</v>
      </c>
      <c r="S268" s="335" t="str">
        <f t="shared" ca="1" si="14"/>
        <v>N/A</v>
      </c>
      <c r="T268" s="429" t="s">
        <v>899</v>
      </c>
      <c r="U268" s="22" t="s">
        <v>49</v>
      </c>
      <c r="V268" s="24"/>
      <c r="W268" s="21"/>
      <c r="Y268" s="490"/>
    </row>
    <row r="269" spans="1:25" ht="45" hidden="1">
      <c r="A269" s="31">
        <v>266</v>
      </c>
      <c r="B269" s="22" t="s">
        <v>39</v>
      </c>
      <c r="C269" s="22" t="s">
        <v>492</v>
      </c>
      <c r="D269" s="22" t="s">
        <v>493</v>
      </c>
      <c r="E269" s="23" t="s">
        <v>51</v>
      </c>
      <c r="F269" s="22" t="s">
        <v>61</v>
      </c>
      <c r="G269" s="22" t="s">
        <v>53</v>
      </c>
      <c r="H269" s="22" t="s">
        <v>30</v>
      </c>
      <c r="I269" s="22" t="s">
        <v>494</v>
      </c>
      <c r="J269" s="22" t="s">
        <v>61</v>
      </c>
      <c r="K269" s="519" t="s">
        <v>1340</v>
      </c>
      <c r="L269" s="521" t="s">
        <v>1353</v>
      </c>
      <c r="M269" s="521" t="s">
        <v>1354</v>
      </c>
      <c r="N269" s="521" t="s">
        <v>815</v>
      </c>
      <c r="O269" s="22" t="s">
        <v>495</v>
      </c>
      <c r="P269" s="426">
        <v>2020</v>
      </c>
      <c r="Q269" s="414">
        <f t="shared" ca="1" si="12"/>
        <v>9</v>
      </c>
      <c r="R269" s="335" t="str">
        <f t="shared" ca="1" si="13"/>
        <v>N/A</v>
      </c>
      <c r="S269" s="335" t="str">
        <f t="shared" ca="1" si="14"/>
        <v>N/A</v>
      </c>
      <c r="T269" s="429" t="s">
        <v>899</v>
      </c>
      <c r="U269" s="22"/>
      <c r="V269" s="24"/>
      <c r="W269" s="21"/>
      <c r="Y269" s="490"/>
    </row>
    <row r="270" spans="1:25" ht="45" hidden="1">
      <c r="A270" s="31">
        <v>267</v>
      </c>
      <c r="B270" s="22" t="s">
        <v>39</v>
      </c>
      <c r="C270" s="22" t="s">
        <v>492</v>
      </c>
      <c r="D270" s="22" t="s">
        <v>493</v>
      </c>
      <c r="E270" s="23" t="s">
        <v>51</v>
      </c>
      <c r="F270" s="22" t="s">
        <v>62</v>
      </c>
      <c r="G270" s="22" t="s">
        <v>53</v>
      </c>
      <c r="H270" s="22" t="s">
        <v>30</v>
      </c>
      <c r="I270" s="22" t="s">
        <v>494</v>
      </c>
      <c r="J270" s="22" t="s">
        <v>62</v>
      </c>
      <c r="K270" s="519" t="s">
        <v>1340</v>
      </c>
      <c r="L270" s="521" t="s">
        <v>1355</v>
      </c>
      <c r="M270" s="521" t="s">
        <v>1356</v>
      </c>
      <c r="N270" s="521" t="s">
        <v>815</v>
      </c>
      <c r="O270" s="22" t="s">
        <v>495</v>
      </c>
      <c r="P270" s="426">
        <v>2020</v>
      </c>
      <c r="Q270" s="414">
        <f t="shared" ca="1" si="12"/>
        <v>5.8500002145767196</v>
      </c>
      <c r="R270" s="335" t="str">
        <f t="shared" ca="1" si="13"/>
        <v>N/A</v>
      </c>
      <c r="S270" s="335" t="str">
        <f t="shared" ca="1" si="14"/>
        <v>N/A</v>
      </c>
      <c r="T270" s="429" t="s">
        <v>899</v>
      </c>
      <c r="U270" s="22"/>
      <c r="V270" s="24"/>
      <c r="W270" s="21"/>
      <c r="Y270" s="490"/>
    </row>
    <row r="271" spans="1:25" ht="45" hidden="1">
      <c r="A271" s="31">
        <v>268</v>
      </c>
      <c r="B271" s="22" t="s">
        <v>39</v>
      </c>
      <c r="C271" s="22" t="s">
        <v>492</v>
      </c>
      <c r="D271" s="22" t="s">
        <v>493</v>
      </c>
      <c r="E271" s="23" t="s">
        <v>51</v>
      </c>
      <c r="F271" s="22" t="s">
        <v>63</v>
      </c>
      <c r="G271" s="22" t="s">
        <v>53</v>
      </c>
      <c r="H271" s="22" t="s">
        <v>30</v>
      </c>
      <c r="I271" s="22" t="s">
        <v>494</v>
      </c>
      <c r="J271" s="22" t="s">
        <v>63</v>
      </c>
      <c r="K271" s="519" t="s">
        <v>1340</v>
      </c>
      <c r="L271" s="521" t="s">
        <v>1357</v>
      </c>
      <c r="M271" s="521" t="s">
        <v>1358</v>
      </c>
      <c r="N271" s="521" t="s">
        <v>815</v>
      </c>
      <c r="O271" s="22" t="s">
        <v>495</v>
      </c>
      <c r="P271" s="426">
        <v>2020</v>
      </c>
      <c r="Q271" s="414">
        <f t="shared" ca="1" si="12"/>
        <v>55977.9</v>
      </c>
      <c r="R271" s="335" t="str">
        <f t="shared" ca="1" si="13"/>
        <v>N/A</v>
      </c>
      <c r="S271" s="335" t="str">
        <f t="shared" ca="1" si="14"/>
        <v>N/A</v>
      </c>
      <c r="T271" s="429" t="s">
        <v>899</v>
      </c>
      <c r="U271" s="22"/>
      <c r="V271" s="24"/>
      <c r="W271" s="21"/>
      <c r="Y271" s="490"/>
    </row>
    <row r="272" spans="1:25" ht="45" hidden="1">
      <c r="A272" s="31">
        <v>269</v>
      </c>
      <c r="B272" s="22" t="s">
        <v>39</v>
      </c>
      <c r="C272" s="22" t="s">
        <v>492</v>
      </c>
      <c r="D272" s="22" t="s">
        <v>493</v>
      </c>
      <c r="E272" s="23" t="s">
        <v>51</v>
      </c>
      <c r="F272" s="22" t="s">
        <v>64</v>
      </c>
      <c r="G272" s="22" t="s">
        <v>53</v>
      </c>
      <c r="H272" s="22" t="s">
        <v>30</v>
      </c>
      <c r="I272" s="22" t="s">
        <v>494</v>
      </c>
      <c r="J272" s="22" t="s">
        <v>64</v>
      </c>
      <c r="K272" s="519" t="s">
        <v>1340</v>
      </c>
      <c r="L272" s="521" t="s">
        <v>1359</v>
      </c>
      <c r="M272" s="521" t="s">
        <v>1360</v>
      </c>
      <c r="N272" s="521" t="s">
        <v>815</v>
      </c>
      <c r="O272" s="22" t="s">
        <v>495</v>
      </c>
      <c r="P272" s="426">
        <v>2020</v>
      </c>
      <c r="Q272" s="414">
        <f t="shared" ca="1" si="12"/>
        <v>37484.472286684599</v>
      </c>
      <c r="R272" s="335" t="str">
        <f t="shared" ca="1" si="13"/>
        <v>N/A</v>
      </c>
      <c r="S272" s="335" t="str">
        <f t="shared" ca="1" si="14"/>
        <v>N/A</v>
      </c>
      <c r="T272" s="429" t="s">
        <v>899</v>
      </c>
      <c r="U272" s="22"/>
      <c r="V272" s="24"/>
      <c r="W272" s="21"/>
      <c r="Y272" s="490"/>
    </row>
    <row r="273" spans="1:25" ht="45" hidden="1">
      <c r="A273" s="31">
        <v>270</v>
      </c>
      <c r="B273" s="22" t="s">
        <v>39</v>
      </c>
      <c r="C273" s="22" t="s">
        <v>492</v>
      </c>
      <c r="D273" s="22" t="s">
        <v>493</v>
      </c>
      <c r="E273" s="23" t="s">
        <v>51</v>
      </c>
      <c r="F273" s="22" t="s">
        <v>65</v>
      </c>
      <c r="G273" s="22" t="s">
        <v>53</v>
      </c>
      <c r="H273" s="22" t="s">
        <v>30</v>
      </c>
      <c r="I273" s="22" t="s">
        <v>494</v>
      </c>
      <c r="J273" s="22" t="s">
        <v>65</v>
      </c>
      <c r="K273" s="519" t="s">
        <v>1340</v>
      </c>
      <c r="L273" s="521" t="s">
        <v>1361</v>
      </c>
      <c r="M273" s="521" t="s">
        <v>1362</v>
      </c>
      <c r="N273" s="521" t="s">
        <v>815</v>
      </c>
      <c r="O273" s="22" t="s">
        <v>495</v>
      </c>
      <c r="P273" s="426">
        <v>2020</v>
      </c>
      <c r="Q273" s="414">
        <f t="shared" ca="1" si="12"/>
        <v>86053.5</v>
      </c>
      <c r="R273" s="335" t="str">
        <f t="shared" ca="1" si="13"/>
        <v>N/A</v>
      </c>
      <c r="S273" s="335" t="str">
        <f t="shared" ca="1" si="14"/>
        <v>N/A</v>
      </c>
      <c r="T273" s="429" t="s">
        <v>899</v>
      </c>
      <c r="U273" s="22" t="s">
        <v>49</v>
      </c>
      <c r="V273" s="24"/>
      <c r="W273" s="21"/>
      <c r="Y273" s="490"/>
    </row>
    <row r="274" spans="1:25" ht="45" hidden="1">
      <c r="A274" s="31">
        <v>271</v>
      </c>
      <c r="B274" s="22" t="s">
        <v>39</v>
      </c>
      <c r="C274" s="22" t="s">
        <v>492</v>
      </c>
      <c r="D274" s="22" t="s">
        <v>493</v>
      </c>
      <c r="E274" s="23" t="s">
        <v>51</v>
      </c>
      <c r="F274" s="22" t="s">
        <v>66</v>
      </c>
      <c r="G274" s="22" t="s">
        <v>53</v>
      </c>
      <c r="H274" s="22" t="s">
        <v>30</v>
      </c>
      <c r="I274" s="22" t="s">
        <v>494</v>
      </c>
      <c r="J274" s="22" t="s">
        <v>66</v>
      </c>
      <c r="K274" s="519" t="s">
        <v>1340</v>
      </c>
      <c r="L274" s="521" t="s">
        <v>1363</v>
      </c>
      <c r="M274" s="521" t="s">
        <v>1364</v>
      </c>
      <c r="N274" s="521" t="s">
        <v>815</v>
      </c>
      <c r="O274" s="22" t="s">
        <v>495</v>
      </c>
      <c r="P274" s="426">
        <v>2020</v>
      </c>
      <c r="Q274" s="414">
        <f t="shared" ca="1" si="12"/>
        <v>58516.379589664903</v>
      </c>
      <c r="R274" s="335" t="str">
        <f t="shared" ca="1" si="13"/>
        <v>N/A</v>
      </c>
      <c r="S274" s="335" t="str">
        <f t="shared" ca="1" si="14"/>
        <v>N/A</v>
      </c>
      <c r="T274" s="429" t="s">
        <v>899</v>
      </c>
      <c r="U274" s="22" t="s">
        <v>49</v>
      </c>
      <c r="V274" s="24"/>
      <c r="W274" s="21"/>
      <c r="Y274" s="490"/>
    </row>
    <row r="275" spans="1:25" ht="30" hidden="1">
      <c r="A275" s="31">
        <v>272</v>
      </c>
      <c r="B275" s="22" t="s">
        <v>39</v>
      </c>
      <c r="C275" s="22" t="s">
        <v>492</v>
      </c>
      <c r="D275" s="22" t="s">
        <v>496</v>
      </c>
      <c r="E275" s="23" t="s">
        <v>42</v>
      </c>
      <c r="F275" s="22" t="s">
        <v>43</v>
      </c>
      <c r="G275" s="22" t="s">
        <v>44</v>
      </c>
      <c r="H275" s="22" t="s">
        <v>30</v>
      </c>
      <c r="I275" s="22" t="s">
        <v>497</v>
      </c>
      <c r="J275" s="22" t="s">
        <v>46</v>
      </c>
      <c r="K275" s="519" t="s">
        <v>1340</v>
      </c>
      <c r="L275" s="521" t="s">
        <v>1365</v>
      </c>
      <c r="M275" s="521" t="s">
        <v>1366</v>
      </c>
      <c r="N275" s="521" t="s">
        <v>815</v>
      </c>
      <c r="O275" s="22" t="s">
        <v>495</v>
      </c>
      <c r="P275" s="426">
        <v>2020</v>
      </c>
      <c r="Q275" s="719">
        <f t="shared" ca="1" si="12"/>
        <v>66.438437463765354</v>
      </c>
      <c r="R275" s="335" t="str">
        <f t="shared" ca="1" si="13"/>
        <v>N/A</v>
      </c>
      <c r="S275" s="335" t="str">
        <f t="shared" ca="1" si="14"/>
        <v>N/A</v>
      </c>
      <c r="T275" s="429" t="s">
        <v>48</v>
      </c>
      <c r="U275" s="22"/>
      <c r="V275" s="24"/>
      <c r="W275" s="21"/>
      <c r="Y275" s="490"/>
    </row>
    <row r="276" spans="1:25" ht="75">
      <c r="A276" s="31">
        <v>273</v>
      </c>
      <c r="B276" s="22" t="s">
        <v>39</v>
      </c>
      <c r="C276" s="22" t="s">
        <v>492</v>
      </c>
      <c r="D276" s="22" t="s">
        <v>498</v>
      </c>
      <c r="E276" s="23" t="s">
        <v>499</v>
      </c>
      <c r="F276" s="22" t="s">
        <v>142</v>
      </c>
      <c r="G276" s="22" t="s">
        <v>143</v>
      </c>
      <c r="H276" s="22" t="s">
        <v>30</v>
      </c>
      <c r="I276" s="22" t="s">
        <v>500</v>
      </c>
      <c r="J276" s="22" t="s">
        <v>501</v>
      </c>
      <c r="K276" s="519" t="s">
        <v>1340</v>
      </c>
      <c r="L276" s="521" t="s">
        <v>1367</v>
      </c>
      <c r="M276" s="521" t="s">
        <v>1368</v>
      </c>
      <c r="N276" s="521" t="s">
        <v>885</v>
      </c>
      <c r="O276" s="22" t="s">
        <v>495</v>
      </c>
      <c r="P276" s="426">
        <v>2020</v>
      </c>
      <c r="Q276" s="533">
        <f t="shared" ca="1" si="12"/>
        <v>0</v>
      </c>
      <c r="R276" s="335">
        <f t="shared" ca="1" si="13"/>
        <v>0</v>
      </c>
      <c r="S276" s="335">
        <f t="shared" ca="1" si="14"/>
        <v>0</v>
      </c>
      <c r="T276" s="429" t="s">
        <v>502</v>
      </c>
      <c r="U276" s="22" t="s">
        <v>246</v>
      </c>
      <c r="V276" s="24"/>
      <c r="W276" s="21"/>
      <c r="Y276" s="490"/>
    </row>
    <row r="277" spans="1:25" ht="75">
      <c r="A277" s="31">
        <v>274</v>
      </c>
      <c r="B277" s="22" t="s">
        <v>39</v>
      </c>
      <c r="C277" s="22" t="s">
        <v>492</v>
      </c>
      <c r="D277" s="22" t="s">
        <v>498</v>
      </c>
      <c r="E277" s="23" t="s">
        <v>499</v>
      </c>
      <c r="F277" s="22" t="s">
        <v>142</v>
      </c>
      <c r="G277" s="22" t="s">
        <v>143</v>
      </c>
      <c r="H277" s="22" t="s">
        <v>30</v>
      </c>
      <c r="I277" s="22" t="s">
        <v>503</v>
      </c>
      <c r="J277" s="22" t="s">
        <v>504</v>
      </c>
      <c r="K277" s="519" t="s">
        <v>1340</v>
      </c>
      <c r="L277" s="521" t="s">
        <v>1369</v>
      </c>
      <c r="M277" s="521" t="s">
        <v>1370</v>
      </c>
      <c r="N277" s="521" t="s">
        <v>885</v>
      </c>
      <c r="O277" s="22" t="s">
        <v>495</v>
      </c>
      <c r="P277" s="426">
        <v>2020</v>
      </c>
      <c r="Q277" s="533">
        <f t="shared" ca="1" si="12"/>
        <v>7.0175438596491229E-3</v>
      </c>
      <c r="R277" s="335">
        <f t="shared" ca="1" si="13"/>
        <v>0</v>
      </c>
      <c r="S277" s="335">
        <f t="shared" ca="1" si="14"/>
        <v>0</v>
      </c>
      <c r="T277" s="429" t="s">
        <v>502</v>
      </c>
      <c r="U277" s="22" t="s">
        <v>246</v>
      </c>
      <c r="V277" s="24"/>
      <c r="W277" s="21"/>
      <c r="Y277" s="490"/>
    </row>
    <row r="278" spans="1:25" ht="75">
      <c r="A278" s="31">
        <v>275</v>
      </c>
      <c r="B278" s="22" t="s">
        <v>39</v>
      </c>
      <c r="C278" s="22" t="s">
        <v>492</v>
      </c>
      <c r="D278" s="22" t="s">
        <v>498</v>
      </c>
      <c r="E278" s="23" t="s">
        <v>499</v>
      </c>
      <c r="F278" s="22" t="s">
        <v>142</v>
      </c>
      <c r="G278" s="22" t="s">
        <v>143</v>
      </c>
      <c r="H278" s="22" t="s">
        <v>30</v>
      </c>
      <c r="I278" s="22" t="s">
        <v>505</v>
      </c>
      <c r="J278" s="22" t="s">
        <v>506</v>
      </c>
      <c r="K278" s="519" t="s">
        <v>1340</v>
      </c>
      <c r="L278" s="521" t="s">
        <v>1371</v>
      </c>
      <c r="M278" s="521" t="s">
        <v>1372</v>
      </c>
      <c r="N278" s="521" t="s">
        <v>885</v>
      </c>
      <c r="O278" s="22" t="s">
        <v>495</v>
      </c>
      <c r="P278" s="426">
        <v>2020</v>
      </c>
      <c r="Q278" s="533">
        <f t="shared" ca="1" si="12"/>
        <v>4.2789901583226359E-4</v>
      </c>
      <c r="R278" s="335">
        <f t="shared" ca="1" si="13"/>
        <v>0</v>
      </c>
      <c r="S278" s="335">
        <f t="shared" ca="1" si="14"/>
        <v>0</v>
      </c>
      <c r="T278" s="429" t="s">
        <v>502</v>
      </c>
      <c r="U278" s="22" t="s">
        <v>246</v>
      </c>
      <c r="V278" s="24"/>
      <c r="W278" s="21"/>
      <c r="Y278" s="490"/>
    </row>
    <row r="279" spans="1:25" ht="30">
      <c r="A279" s="31">
        <v>276</v>
      </c>
      <c r="B279" s="22" t="s">
        <v>39</v>
      </c>
      <c r="C279" s="22" t="s">
        <v>492</v>
      </c>
      <c r="D279" s="22" t="s">
        <v>507</v>
      </c>
      <c r="E279" s="23" t="s">
        <v>91</v>
      </c>
      <c r="F279" s="22" t="s">
        <v>92</v>
      </c>
      <c r="G279" s="22" t="s">
        <v>93</v>
      </c>
      <c r="H279" s="22" t="s">
        <v>30</v>
      </c>
      <c r="I279" s="22" t="s">
        <v>508</v>
      </c>
      <c r="J279" s="22" t="s">
        <v>92</v>
      </c>
      <c r="K279" s="519" t="s">
        <v>1340</v>
      </c>
      <c r="L279" s="521" t="s">
        <v>1373</v>
      </c>
      <c r="M279" s="521" t="s">
        <v>1374</v>
      </c>
      <c r="N279" s="521" t="s">
        <v>885</v>
      </c>
      <c r="O279" s="22" t="s">
        <v>495</v>
      </c>
      <c r="P279" s="426">
        <v>2020</v>
      </c>
      <c r="Q279" s="414">
        <f t="shared" ca="1" si="12"/>
        <v>3281.7059405459745</v>
      </c>
      <c r="R279" s="335">
        <f t="shared" ca="1" si="13"/>
        <v>0</v>
      </c>
      <c r="S279" s="335">
        <f t="shared" ca="1" si="14"/>
        <v>0</v>
      </c>
      <c r="T279" s="429"/>
      <c r="U279" s="22"/>
      <c r="V279" s="24"/>
      <c r="W279" s="21"/>
      <c r="Y279" s="490"/>
    </row>
    <row r="280" spans="1:25" ht="30">
      <c r="A280" s="31">
        <v>277</v>
      </c>
      <c r="B280" s="22" t="s">
        <v>39</v>
      </c>
      <c r="C280" s="22" t="s">
        <v>492</v>
      </c>
      <c r="D280" s="22" t="s">
        <v>507</v>
      </c>
      <c r="E280" s="23" t="s">
        <v>91</v>
      </c>
      <c r="F280" s="22" t="s">
        <v>95</v>
      </c>
      <c r="G280" s="22" t="s">
        <v>93</v>
      </c>
      <c r="H280" s="22" t="s">
        <v>30</v>
      </c>
      <c r="I280" s="22" t="s">
        <v>508</v>
      </c>
      <c r="J280" s="22" t="s">
        <v>95</v>
      </c>
      <c r="K280" s="519" t="s">
        <v>1340</v>
      </c>
      <c r="L280" s="521" t="s">
        <v>1375</v>
      </c>
      <c r="M280" s="521" t="s">
        <v>1376</v>
      </c>
      <c r="N280" s="521" t="s">
        <v>885</v>
      </c>
      <c r="O280" s="22" t="s">
        <v>495</v>
      </c>
      <c r="P280" s="426">
        <v>2020</v>
      </c>
      <c r="Q280" s="719">
        <f t="shared" ca="1" si="12"/>
        <v>0.52529079073738127</v>
      </c>
      <c r="R280" s="335">
        <f t="shared" ca="1" si="13"/>
        <v>0</v>
      </c>
      <c r="S280" s="335">
        <f t="shared" ca="1" si="14"/>
        <v>0</v>
      </c>
      <c r="T280" s="429"/>
      <c r="U280" s="22"/>
      <c r="V280" s="24"/>
      <c r="W280" s="21"/>
      <c r="Y280" s="490"/>
    </row>
    <row r="281" spans="1:25" ht="30">
      <c r="A281" s="31">
        <v>278</v>
      </c>
      <c r="B281" s="22" t="s">
        <v>39</v>
      </c>
      <c r="C281" s="22" t="s">
        <v>492</v>
      </c>
      <c r="D281" s="22" t="s">
        <v>507</v>
      </c>
      <c r="E281" s="23" t="s">
        <v>91</v>
      </c>
      <c r="F281" s="22" t="s">
        <v>96</v>
      </c>
      <c r="G281" s="22" t="s">
        <v>93</v>
      </c>
      <c r="H281" s="22" t="s">
        <v>30</v>
      </c>
      <c r="I281" s="22" t="s">
        <v>508</v>
      </c>
      <c r="J281" s="22" t="s">
        <v>96</v>
      </c>
      <c r="K281" s="519" t="s">
        <v>1340</v>
      </c>
      <c r="L281" s="521" t="s">
        <v>1377</v>
      </c>
      <c r="M281" s="521" t="s">
        <v>1378</v>
      </c>
      <c r="N281" s="521" t="s">
        <v>885</v>
      </c>
      <c r="O281" s="22" t="s">
        <v>495</v>
      </c>
      <c r="P281" s="426">
        <v>2020</v>
      </c>
      <c r="Q281" s="719">
        <f t="shared" ca="1" si="12"/>
        <v>5.7328319341210303</v>
      </c>
      <c r="R281" s="335">
        <f t="shared" ca="1" si="13"/>
        <v>0</v>
      </c>
      <c r="S281" s="335">
        <f t="shared" ca="1" si="14"/>
        <v>0</v>
      </c>
      <c r="T281" s="429" t="s">
        <v>48</v>
      </c>
      <c r="U281" s="22" t="s">
        <v>49</v>
      </c>
      <c r="V281" s="24"/>
      <c r="W281" s="21"/>
      <c r="Y281" s="490"/>
    </row>
    <row r="282" spans="1:25" ht="30">
      <c r="A282" s="31">
        <v>279</v>
      </c>
      <c r="B282" s="22" t="s">
        <v>39</v>
      </c>
      <c r="C282" s="22" t="s">
        <v>492</v>
      </c>
      <c r="D282" s="22" t="s">
        <v>507</v>
      </c>
      <c r="E282" s="23" t="s">
        <v>91</v>
      </c>
      <c r="F282" s="22" t="s">
        <v>97</v>
      </c>
      <c r="G282" s="22" t="s">
        <v>93</v>
      </c>
      <c r="H282" s="22" t="s">
        <v>30</v>
      </c>
      <c r="I282" s="22" t="s">
        <v>508</v>
      </c>
      <c r="J282" s="22" t="s">
        <v>97</v>
      </c>
      <c r="K282" s="519" t="s">
        <v>1340</v>
      </c>
      <c r="L282" s="521" t="s">
        <v>1379</v>
      </c>
      <c r="M282" s="521" t="s">
        <v>1380</v>
      </c>
      <c r="N282" s="521" t="s">
        <v>885</v>
      </c>
      <c r="O282" s="22" t="s">
        <v>495</v>
      </c>
      <c r="P282" s="426">
        <v>2020</v>
      </c>
      <c r="Q282" s="414">
        <f t="shared" ca="1" si="12"/>
        <v>3300.2432569697903</v>
      </c>
      <c r="R282" s="335">
        <f t="shared" ca="1" si="13"/>
        <v>0</v>
      </c>
      <c r="S282" s="335">
        <f t="shared" ca="1" si="14"/>
        <v>0</v>
      </c>
      <c r="T282" s="429"/>
      <c r="U282" s="22"/>
      <c r="V282" s="24"/>
      <c r="W282" s="21"/>
      <c r="Y282" s="490"/>
    </row>
    <row r="283" spans="1:25" ht="30">
      <c r="A283" s="31">
        <v>280</v>
      </c>
      <c r="B283" s="22" t="s">
        <v>39</v>
      </c>
      <c r="C283" s="22" t="s">
        <v>492</v>
      </c>
      <c r="D283" s="22" t="s">
        <v>507</v>
      </c>
      <c r="E283" s="23" t="s">
        <v>91</v>
      </c>
      <c r="F283" s="22" t="s">
        <v>98</v>
      </c>
      <c r="G283" s="22" t="s">
        <v>93</v>
      </c>
      <c r="H283" s="22" t="s">
        <v>30</v>
      </c>
      <c r="I283" s="22" t="s">
        <v>508</v>
      </c>
      <c r="J283" s="22" t="s">
        <v>98</v>
      </c>
      <c r="K283" s="519" t="s">
        <v>1340</v>
      </c>
      <c r="L283" s="521" t="s">
        <v>1381</v>
      </c>
      <c r="M283" s="521" t="s">
        <v>1382</v>
      </c>
      <c r="N283" s="521" t="s">
        <v>885</v>
      </c>
      <c r="O283" s="22" t="s">
        <v>495</v>
      </c>
      <c r="P283" s="426">
        <v>2020</v>
      </c>
      <c r="Q283" s="719">
        <f t="shared" ca="1" si="12"/>
        <v>0.52826431388909245</v>
      </c>
      <c r="R283" s="335">
        <f t="shared" ca="1" si="13"/>
        <v>0</v>
      </c>
      <c r="S283" s="335">
        <f t="shared" ca="1" si="14"/>
        <v>0</v>
      </c>
      <c r="T283" s="429"/>
      <c r="U283" s="22"/>
      <c r="V283" s="24"/>
      <c r="W283" s="21"/>
      <c r="Y283" s="490"/>
    </row>
    <row r="284" spans="1:25" ht="30">
      <c r="A284" s="31">
        <v>281</v>
      </c>
      <c r="B284" s="22" t="s">
        <v>39</v>
      </c>
      <c r="C284" s="22" t="s">
        <v>492</v>
      </c>
      <c r="D284" s="22" t="s">
        <v>507</v>
      </c>
      <c r="E284" s="23" t="s">
        <v>91</v>
      </c>
      <c r="F284" s="22" t="s">
        <v>99</v>
      </c>
      <c r="G284" s="22" t="s">
        <v>93</v>
      </c>
      <c r="H284" s="22" t="s">
        <v>30</v>
      </c>
      <c r="I284" s="22" t="s">
        <v>508</v>
      </c>
      <c r="J284" s="22" t="s">
        <v>99</v>
      </c>
      <c r="K284" s="519" t="s">
        <v>1340</v>
      </c>
      <c r="L284" s="521" t="s">
        <v>1383</v>
      </c>
      <c r="M284" s="521" t="s">
        <v>1384</v>
      </c>
      <c r="N284" s="521" t="s">
        <v>885</v>
      </c>
      <c r="O284" s="22" t="s">
        <v>495</v>
      </c>
      <c r="P284" s="426">
        <v>2020</v>
      </c>
      <c r="Q284" s="719">
        <f t="shared" ca="1" si="12"/>
        <v>5.7652148841758653</v>
      </c>
      <c r="R284" s="335">
        <f t="shared" ca="1" si="13"/>
        <v>0</v>
      </c>
      <c r="S284" s="335">
        <f t="shared" ca="1" si="14"/>
        <v>0</v>
      </c>
      <c r="T284" s="429" t="s">
        <v>48</v>
      </c>
      <c r="U284" s="22" t="s">
        <v>49</v>
      </c>
      <c r="V284" s="24"/>
      <c r="W284" s="21"/>
      <c r="Y284" s="490"/>
    </row>
    <row r="285" spans="1:25" s="13" customFormat="1" ht="60" hidden="1">
      <c r="A285" s="31">
        <v>282</v>
      </c>
      <c r="B285" s="22" t="s">
        <v>39</v>
      </c>
      <c r="C285" s="22" t="s">
        <v>509</v>
      </c>
      <c r="D285" s="22" t="s">
        <v>510</v>
      </c>
      <c r="E285" s="23" t="s">
        <v>51</v>
      </c>
      <c r="F285" s="22" t="s">
        <v>511</v>
      </c>
      <c r="G285" s="22" t="s">
        <v>53</v>
      </c>
      <c r="H285" s="22" t="s">
        <v>30</v>
      </c>
      <c r="I285" s="22" t="s">
        <v>512</v>
      </c>
      <c r="J285" s="22" t="s">
        <v>513</v>
      </c>
      <c r="K285" s="519" t="s">
        <v>1385</v>
      </c>
      <c r="L285" s="521" t="s">
        <v>1386</v>
      </c>
      <c r="M285" s="521" t="s">
        <v>1387</v>
      </c>
      <c r="N285" s="521" t="s">
        <v>815</v>
      </c>
      <c r="O285" s="22" t="s">
        <v>514</v>
      </c>
      <c r="P285" s="426">
        <v>2020</v>
      </c>
      <c r="Q285" s="414">
        <v>2699</v>
      </c>
      <c r="R285" s="335" t="str">
        <f t="shared" ca="1" si="13"/>
        <v>N/A</v>
      </c>
      <c r="S285" s="335" t="str">
        <f t="shared" ca="1" si="14"/>
        <v>N/A</v>
      </c>
      <c r="T285" s="429" t="s">
        <v>515</v>
      </c>
      <c r="U285" s="22" t="s">
        <v>516</v>
      </c>
      <c r="V285" s="24"/>
      <c r="W285" s="21"/>
      <c r="X285" s="427"/>
      <c r="Y285" s="490"/>
    </row>
    <row r="286" spans="1:25" s="13" customFormat="1" ht="60" hidden="1">
      <c r="A286" s="31">
        <v>283</v>
      </c>
      <c r="B286" s="22" t="s">
        <v>39</v>
      </c>
      <c r="C286" s="22" t="s">
        <v>509</v>
      </c>
      <c r="D286" s="22" t="s">
        <v>510</v>
      </c>
      <c r="E286" s="23" t="s">
        <v>51</v>
      </c>
      <c r="F286" s="22" t="s">
        <v>517</v>
      </c>
      <c r="G286" s="22" t="s">
        <v>53</v>
      </c>
      <c r="H286" s="22" t="s">
        <v>30</v>
      </c>
      <c r="I286" s="22" t="s">
        <v>512</v>
      </c>
      <c r="J286" s="22" t="s">
        <v>518</v>
      </c>
      <c r="K286" s="519" t="s">
        <v>1385</v>
      </c>
      <c r="L286" s="521" t="s">
        <v>1388</v>
      </c>
      <c r="M286" s="521" t="s">
        <v>1389</v>
      </c>
      <c r="N286" s="521" t="s">
        <v>815</v>
      </c>
      <c r="O286" s="22" t="s">
        <v>514</v>
      </c>
      <c r="P286" s="426">
        <v>2020</v>
      </c>
      <c r="Q286" s="414">
        <v>37.9</v>
      </c>
      <c r="R286" s="335" t="str">
        <f t="shared" ca="1" si="13"/>
        <v>N/A</v>
      </c>
      <c r="S286" s="335" t="str">
        <f t="shared" ca="1" si="14"/>
        <v>N/A</v>
      </c>
      <c r="T286" s="429" t="s">
        <v>515</v>
      </c>
      <c r="U286" s="22" t="s">
        <v>519</v>
      </c>
      <c r="V286" s="24"/>
      <c r="W286" s="21"/>
      <c r="X286" s="427"/>
      <c r="Y286" s="490"/>
    </row>
    <row r="287" spans="1:25" s="13" customFormat="1" ht="60" hidden="1">
      <c r="A287" s="31">
        <v>284</v>
      </c>
      <c r="B287" s="22" t="s">
        <v>39</v>
      </c>
      <c r="C287" s="22" t="s">
        <v>509</v>
      </c>
      <c r="D287" s="22" t="s">
        <v>510</v>
      </c>
      <c r="E287" s="23" t="s">
        <v>51</v>
      </c>
      <c r="F287" s="22" t="s">
        <v>520</v>
      </c>
      <c r="G287" s="22" t="s">
        <v>53</v>
      </c>
      <c r="H287" s="22" t="s">
        <v>30</v>
      </c>
      <c r="I287" s="22" t="s">
        <v>512</v>
      </c>
      <c r="J287" s="22" t="s">
        <v>521</v>
      </c>
      <c r="K287" s="519" t="s">
        <v>1385</v>
      </c>
      <c r="L287" s="521" t="s">
        <v>1390</v>
      </c>
      <c r="M287" s="521" t="s">
        <v>1391</v>
      </c>
      <c r="N287" s="521" t="s">
        <v>815</v>
      </c>
      <c r="O287" s="22" t="s">
        <v>514</v>
      </c>
      <c r="P287" s="426">
        <v>2020</v>
      </c>
      <c r="Q287" s="414">
        <v>453.7</v>
      </c>
      <c r="R287" s="335" t="str">
        <f t="shared" ca="1" si="13"/>
        <v>N/A</v>
      </c>
      <c r="S287" s="335" t="str">
        <f t="shared" ca="1" si="14"/>
        <v>N/A</v>
      </c>
      <c r="T287" s="429" t="s">
        <v>515</v>
      </c>
      <c r="U287" s="22" t="s">
        <v>516</v>
      </c>
      <c r="V287" s="24"/>
      <c r="W287" s="21"/>
      <c r="X287" s="427"/>
      <c r="Y287" s="490"/>
    </row>
    <row r="288" spans="1:25" s="13" customFormat="1" ht="45" hidden="1">
      <c r="A288" s="31">
        <v>285</v>
      </c>
      <c r="B288" s="22" t="s">
        <v>39</v>
      </c>
      <c r="C288" s="22" t="s">
        <v>509</v>
      </c>
      <c r="D288" s="22" t="s">
        <v>522</v>
      </c>
      <c r="E288" s="23">
        <v>1</v>
      </c>
      <c r="F288" s="22" t="s">
        <v>523</v>
      </c>
      <c r="G288" s="22" t="s">
        <v>524</v>
      </c>
      <c r="H288" s="22" t="s">
        <v>30</v>
      </c>
      <c r="I288" s="22" t="s">
        <v>525</v>
      </c>
      <c r="J288" s="22" t="s">
        <v>525</v>
      </c>
      <c r="K288" s="519" t="s">
        <v>1385</v>
      </c>
      <c r="L288" s="521" t="s">
        <v>1392</v>
      </c>
      <c r="M288" s="521" t="s">
        <v>1393</v>
      </c>
      <c r="N288" s="521" t="s">
        <v>815</v>
      </c>
      <c r="O288" s="22" t="s">
        <v>514</v>
      </c>
      <c r="P288" s="426">
        <v>2020</v>
      </c>
      <c r="Q288" s="414">
        <v>0</v>
      </c>
      <c r="R288" s="335" t="str">
        <f t="shared" ca="1" si="13"/>
        <v>N/A</v>
      </c>
      <c r="S288" s="335" t="str">
        <f t="shared" ca="1" si="14"/>
        <v>N/A</v>
      </c>
      <c r="T288" s="429" t="s">
        <v>526</v>
      </c>
      <c r="U288" s="22" t="s">
        <v>527</v>
      </c>
      <c r="V288" s="24"/>
      <c r="W288" s="21"/>
      <c r="X288" s="427"/>
      <c r="Y288" s="490"/>
    </row>
    <row r="289" spans="1:25" s="13" customFormat="1" ht="45" hidden="1">
      <c r="A289" s="31">
        <v>286</v>
      </c>
      <c r="B289" s="22" t="s">
        <v>39</v>
      </c>
      <c r="C289" s="22" t="s">
        <v>509</v>
      </c>
      <c r="D289" s="22" t="s">
        <v>522</v>
      </c>
      <c r="E289" s="23">
        <v>2</v>
      </c>
      <c r="F289" s="22" t="s">
        <v>523</v>
      </c>
      <c r="G289" s="22" t="s">
        <v>524</v>
      </c>
      <c r="H289" s="22" t="s">
        <v>30</v>
      </c>
      <c r="I289" s="22" t="s">
        <v>528</v>
      </c>
      <c r="J289" s="22" t="s">
        <v>528</v>
      </c>
      <c r="K289" s="519" t="s">
        <v>1385</v>
      </c>
      <c r="L289" s="521" t="s">
        <v>1394</v>
      </c>
      <c r="M289" s="521" t="s">
        <v>1395</v>
      </c>
      <c r="N289" s="521" t="s">
        <v>815</v>
      </c>
      <c r="O289" s="22" t="s">
        <v>514</v>
      </c>
      <c r="P289" s="426">
        <v>2020</v>
      </c>
      <c r="Q289" s="414">
        <v>0</v>
      </c>
      <c r="R289" s="335" t="str">
        <f t="shared" ca="1" si="13"/>
        <v>N/A</v>
      </c>
      <c r="S289" s="335" t="str">
        <f t="shared" ca="1" si="14"/>
        <v>N/A</v>
      </c>
      <c r="T289" s="429" t="s">
        <v>529</v>
      </c>
      <c r="U289" s="22" t="s">
        <v>527</v>
      </c>
      <c r="V289" s="24"/>
      <c r="W289" s="21"/>
      <c r="X289" s="427"/>
      <c r="Y289" s="490"/>
    </row>
    <row r="290" spans="1:25" s="13" customFormat="1" ht="45" hidden="1">
      <c r="A290" s="31">
        <v>287</v>
      </c>
      <c r="B290" s="22" t="s">
        <v>39</v>
      </c>
      <c r="C290" s="22" t="s">
        <v>509</v>
      </c>
      <c r="D290" s="22" t="s">
        <v>530</v>
      </c>
      <c r="E290" s="23">
        <v>1</v>
      </c>
      <c r="F290" s="22" t="s">
        <v>523</v>
      </c>
      <c r="G290" s="22" t="s">
        <v>531</v>
      </c>
      <c r="H290" s="22" t="s">
        <v>30</v>
      </c>
      <c r="I290" s="22" t="s">
        <v>532</v>
      </c>
      <c r="J290" s="22" t="s">
        <v>532</v>
      </c>
      <c r="K290" s="519" t="s">
        <v>1385</v>
      </c>
      <c r="L290" s="521" t="s">
        <v>1396</v>
      </c>
      <c r="M290" s="521" t="s">
        <v>1397</v>
      </c>
      <c r="N290" s="521" t="s">
        <v>815</v>
      </c>
      <c r="O290" s="22" t="s">
        <v>514</v>
      </c>
      <c r="P290" s="426">
        <v>2020</v>
      </c>
      <c r="Q290" s="414">
        <v>0</v>
      </c>
      <c r="R290" s="335" t="str">
        <f t="shared" ca="1" si="13"/>
        <v>N/A</v>
      </c>
      <c r="S290" s="335" t="str">
        <f t="shared" ca="1" si="14"/>
        <v>N/A</v>
      </c>
      <c r="T290" s="429" t="s">
        <v>533</v>
      </c>
      <c r="U290" s="22" t="s">
        <v>534</v>
      </c>
      <c r="V290" s="24"/>
      <c r="W290" s="21"/>
      <c r="X290" s="427"/>
      <c r="Y290" s="490"/>
    </row>
    <row r="291" spans="1:25" ht="30" hidden="1">
      <c r="A291" s="31">
        <v>288</v>
      </c>
      <c r="B291" s="22" t="s">
        <v>39</v>
      </c>
      <c r="C291" s="22" t="s">
        <v>509</v>
      </c>
      <c r="D291" s="22" t="s">
        <v>530</v>
      </c>
      <c r="E291" s="23">
        <v>2</v>
      </c>
      <c r="F291" s="22" t="s">
        <v>523</v>
      </c>
      <c r="G291" s="22" t="s">
        <v>531</v>
      </c>
      <c r="H291" s="22" t="s">
        <v>30</v>
      </c>
      <c r="I291" s="22" t="s">
        <v>535</v>
      </c>
      <c r="J291" s="22" t="s">
        <v>535</v>
      </c>
      <c r="K291" s="519" t="s">
        <v>1385</v>
      </c>
      <c r="L291" s="521" t="s">
        <v>1398</v>
      </c>
      <c r="M291" s="521" t="s">
        <v>1399</v>
      </c>
      <c r="N291" s="521" t="s">
        <v>815</v>
      </c>
      <c r="O291" s="22" t="s">
        <v>514</v>
      </c>
      <c r="P291" s="426">
        <v>2020</v>
      </c>
      <c r="Q291" s="414">
        <v>2</v>
      </c>
      <c r="R291" s="335" t="str">
        <f t="shared" ca="1" si="13"/>
        <v>N/A</v>
      </c>
      <c r="S291" s="335" t="str">
        <f t="shared" ca="1" si="14"/>
        <v>N/A</v>
      </c>
      <c r="T291" s="429" t="s">
        <v>529</v>
      </c>
      <c r="U291" s="22" t="s">
        <v>536</v>
      </c>
      <c r="V291" s="24"/>
      <c r="W291" s="21"/>
      <c r="Y291" s="490"/>
    </row>
    <row r="292" spans="1:25" ht="45" hidden="1">
      <c r="A292" s="31">
        <v>289</v>
      </c>
      <c r="B292" s="22" t="s">
        <v>39</v>
      </c>
      <c r="C292" s="22" t="s">
        <v>509</v>
      </c>
      <c r="D292" s="22" t="s">
        <v>537</v>
      </c>
      <c r="E292" s="23">
        <v>1</v>
      </c>
      <c r="F292" s="22" t="s">
        <v>523</v>
      </c>
      <c r="G292" s="22" t="s">
        <v>538</v>
      </c>
      <c r="H292" s="22" t="s">
        <v>30</v>
      </c>
      <c r="I292" s="22" t="s">
        <v>539</v>
      </c>
      <c r="J292" s="22" t="s">
        <v>539</v>
      </c>
      <c r="K292" s="519" t="s">
        <v>1385</v>
      </c>
      <c r="L292" s="521" t="s">
        <v>1400</v>
      </c>
      <c r="M292" s="521" t="s">
        <v>1401</v>
      </c>
      <c r="N292" s="521" t="s">
        <v>815</v>
      </c>
      <c r="O292" s="22" t="s">
        <v>514</v>
      </c>
      <c r="P292" s="426">
        <v>2020</v>
      </c>
      <c r="Q292" s="414">
        <v>3</v>
      </c>
      <c r="R292" s="335" t="str">
        <f t="shared" ca="1" si="13"/>
        <v>N/A</v>
      </c>
      <c r="S292" s="335" t="str">
        <f t="shared" ca="1" si="14"/>
        <v>N/A</v>
      </c>
      <c r="T292" s="429" t="s">
        <v>540</v>
      </c>
      <c r="U292" s="22" t="s">
        <v>541</v>
      </c>
      <c r="V292" s="24"/>
      <c r="W292" s="21"/>
      <c r="Y292" s="490"/>
    </row>
    <row r="293" spans="1:25" ht="45" hidden="1">
      <c r="A293" s="31">
        <v>290</v>
      </c>
      <c r="B293" s="22" t="s">
        <v>39</v>
      </c>
      <c r="C293" s="22" t="s">
        <v>509</v>
      </c>
      <c r="D293" s="22" t="s">
        <v>537</v>
      </c>
      <c r="E293" s="23">
        <v>2</v>
      </c>
      <c r="F293" s="22" t="s">
        <v>523</v>
      </c>
      <c r="G293" s="22" t="s">
        <v>538</v>
      </c>
      <c r="H293" s="22" t="s">
        <v>30</v>
      </c>
      <c r="I293" s="22" t="s">
        <v>542</v>
      </c>
      <c r="J293" s="22" t="s">
        <v>542</v>
      </c>
      <c r="K293" s="519" t="s">
        <v>1385</v>
      </c>
      <c r="L293" s="521" t="s">
        <v>1402</v>
      </c>
      <c r="M293" s="521" t="s">
        <v>1403</v>
      </c>
      <c r="N293" s="521" t="s">
        <v>815</v>
      </c>
      <c r="O293" s="22" t="s">
        <v>514</v>
      </c>
      <c r="P293" s="426">
        <v>2020</v>
      </c>
      <c r="Q293" s="414">
        <v>1</v>
      </c>
      <c r="R293" s="335" t="str">
        <f t="shared" ca="1" si="13"/>
        <v>N/A</v>
      </c>
      <c r="S293" s="335" t="str">
        <f t="shared" ca="1" si="14"/>
        <v>N/A</v>
      </c>
      <c r="T293" s="429" t="s">
        <v>543</v>
      </c>
      <c r="U293" s="22" t="s">
        <v>544</v>
      </c>
      <c r="V293" s="24"/>
      <c r="W293" s="21"/>
      <c r="Y293" s="490"/>
    </row>
    <row r="294" spans="1:25" ht="75" hidden="1">
      <c r="A294" s="31">
        <v>291</v>
      </c>
      <c r="B294" s="22" t="s">
        <v>39</v>
      </c>
      <c r="C294" s="22" t="s">
        <v>509</v>
      </c>
      <c r="D294" s="22" t="s">
        <v>545</v>
      </c>
      <c r="E294" s="23">
        <v>1</v>
      </c>
      <c r="F294" s="22" t="s">
        <v>523</v>
      </c>
      <c r="G294" s="22" t="s">
        <v>546</v>
      </c>
      <c r="H294" s="22" t="s">
        <v>30</v>
      </c>
      <c r="I294" s="22" t="s">
        <v>547</v>
      </c>
      <c r="J294" s="22" t="s">
        <v>547</v>
      </c>
      <c r="K294" s="519" t="s">
        <v>1385</v>
      </c>
      <c r="L294" s="521" t="s">
        <v>1404</v>
      </c>
      <c r="M294" s="521" t="s">
        <v>1405</v>
      </c>
      <c r="N294" s="521" t="s">
        <v>815</v>
      </c>
      <c r="O294" s="22" t="s">
        <v>514</v>
      </c>
      <c r="P294" s="426">
        <v>2020</v>
      </c>
      <c r="Q294" s="414">
        <v>31</v>
      </c>
      <c r="R294" s="335" t="str">
        <f t="shared" ca="1" si="13"/>
        <v>N/A</v>
      </c>
      <c r="S294" s="335" t="str">
        <f t="shared" ca="1" si="14"/>
        <v>N/A</v>
      </c>
      <c r="T294" s="429" t="s">
        <v>548</v>
      </c>
      <c r="U294" s="22" t="s">
        <v>549</v>
      </c>
      <c r="V294" s="24"/>
      <c r="W294" s="21"/>
      <c r="Y294" s="490"/>
    </row>
    <row r="295" spans="1:25" ht="105" hidden="1">
      <c r="A295" s="31">
        <v>292</v>
      </c>
      <c r="B295" s="22" t="s">
        <v>39</v>
      </c>
      <c r="C295" s="22" t="s">
        <v>550</v>
      </c>
      <c r="D295" s="22" t="s">
        <v>551</v>
      </c>
      <c r="E295" s="23">
        <v>1</v>
      </c>
      <c r="F295" s="22" t="s">
        <v>523</v>
      </c>
      <c r="G295" s="22" t="s">
        <v>552</v>
      </c>
      <c r="H295" s="22" t="s">
        <v>30</v>
      </c>
      <c r="I295" s="22" t="s">
        <v>553</v>
      </c>
      <c r="J295" s="22" t="s">
        <v>553</v>
      </c>
      <c r="K295" s="519" t="s">
        <v>1385</v>
      </c>
      <c r="L295" s="521" t="s">
        <v>1406</v>
      </c>
      <c r="M295" s="521" t="s">
        <v>1407</v>
      </c>
      <c r="N295" s="521" t="s">
        <v>815</v>
      </c>
      <c r="O295" s="22" t="s">
        <v>514</v>
      </c>
      <c r="P295" s="426">
        <v>2020</v>
      </c>
      <c r="Q295" s="414">
        <v>195</v>
      </c>
      <c r="R295" s="335" t="str">
        <f t="shared" ca="1" si="13"/>
        <v>N/A</v>
      </c>
      <c r="S295" s="335" t="str">
        <f t="shared" ca="1" si="14"/>
        <v>N/A</v>
      </c>
      <c r="T295" s="429" t="s">
        <v>554</v>
      </c>
      <c r="U295" s="22" t="s">
        <v>555</v>
      </c>
      <c r="V295" s="24"/>
      <c r="W295" s="21"/>
      <c r="Y295" s="490"/>
    </row>
    <row r="296" spans="1:25" ht="105" hidden="1">
      <c r="A296" s="31">
        <v>293</v>
      </c>
      <c r="B296" s="22" t="s">
        <v>39</v>
      </c>
      <c r="C296" s="22" t="s">
        <v>550</v>
      </c>
      <c r="D296" s="22" t="s">
        <v>551</v>
      </c>
      <c r="E296" s="23">
        <v>2</v>
      </c>
      <c r="F296" s="22" t="s">
        <v>523</v>
      </c>
      <c r="G296" s="22" t="s">
        <v>552</v>
      </c>
      <c r="H296" s="22" t="s">
        <v>30</v>
      </c>
      <c r="I296" s="22" t="s">
        <v>556</v>
      </c>
      <c r="J296" s="22" t="s">
        <v>556</v>
      </c>
      <c r="K296" s="519" t="s">
        <v>1385</v>
      </c>
      <c r="L296" s="521" t="s">
        <v>1408</v>
      </c>
      <c r="M296" s="521" t="s">
        <v>1409</v>
      </c>
      <c r="N296" s="521" t="s">
        <v>815</v>
      </c>
      <c r="O296" s="22" t="s">
        <v>514</v>
      </c>
      <c r="P296" s="426">
        <v>2020</v>
      </c>
      <c r="Q296" s="414">
        <v>3959</v>
      </c>
      <c r="R296" s="335" t="str">
        <f t="shared" ca="1" si="13"/>
        <v>N/A</v>
      </c>
      <c r="S296" s="335" t="str">
        <f t="shared" ca="1" si="14"/>
        <v>N/A</v>
      </c>
      <c r="T296" s="429" t="s">
        <v>557</v>
      </c>
      <c r="U296" s="22" t="s">
        <v>558</v>
      </c>
      <c r="V296" s="24"/>
      <c r="W296" s="21"/>
      <c r="Y296" s="490"/>
    </row>
    <row r="297" spans="1:25" ht="75" hidden="1">
      <c r="A297" s="31">
        <v>294</v>
      </c>
      <c r="B297" s="22" t="s">
        <v>39</v>
      </c>
      <c r="C297" s="22" t="s">
        <v>550</v>
      </c>
      <c r="D297" s="22" t="s">
        <v>551</v>
      </c>
      <c r="E297" s="23">
        <v>3</v>
      </c>
      <c r="F297" s="22" t="s">
        <v>559</v>
      </c>
      <c r="G297" s="22" t="s">
        <v>552</v>
      </c>
      <c r="H297" s="22" t="s">
        <v>30</v>
      </c>
      <c r="I297" s="22" t="s">
        <v>560</v>
      </c>
      <c r="J297" s="22" t="s">
        <v>560</v>
      </c>
      <c r="K297" s="519" t="s">
        <v>1385</v>
      </c>
      <c r="L297" s="521" t="s">
        <v>1410</v>
      </c>
      <c r="M297" s="521" t="s">
        <v>1411</v>
      </c>
      <c r="N297" s="521" t="s">
        <v>815</v>
      </c>
      <c r="O297" s="22" t="s">
        <v>514</v>
      </c>
      <c r="P297" s="426">
        <v>2020</v>
      </c>
      <c r="Q297" s="729">
        <v>0.27</v>
      </c>
      <c r="R297" s="335" t="str">
        <f t="shared" ca="1" si="13"/>
        <v>N/A</v>
      </c>
      <c r="S297" s="335" t="str">
        <f t="shared" ca="1" si="14"/>
        <v>N/A</v>
      </c>
      <c r="T297" s="429" t="s">
        <v>561</v>
      </c>
      <c r="U297" s="22" t="s">
        <v>562</v>
      </c>
      <c r="V297" s="24"/>
      <c r="W297" s="21"/>
      <c r="Y297" s="490"/>
    </row>
    <row r="298" spans="1:25" ht="60" hidden="1">
      <c r="A298" s="31">
        <v>295</v>
      </c>
      <c r="B298" s="22" t="s">
        <v>563</v>
      </c>
      <c r="C298" s="22" t="s">
        <v>550</v>
      </c>
      <c r="D298" s="22" t="s">
        <v>564</v>
      </c>
      <c r="E298" s="23">
        <v>1</v>
      </c>
      <c r="F298" s="22" t="s">
        <v>142</v>
      </c>
      <c r="G298" s="22" t="s">
        <v>552</v>
      </c>
      <c r="H298" s="22" t="s">
        <v>30</v>
      </c>
      <c r="I298" s="22" t="s">
        <v>565</v>
      </c>
      <c r="J298" s="22" t="s">
        <v>565</v>
      </c>
      <c r="K298" s="519" t="s">
        <v>1385</v>
      </c>
      <c r="L298" s="521" t="s">
        <v>1412</v>
      </c>
      <c r="M298" s="521" t="s">
        <v>1413</v>
      </c>
      <c r="N298" s="521" t="s">
        <v>815</v>
      </c>
      <c r="O298" s="22" t="s">
        <v>514</v>
      </c>
      <c r="P298" s="426">
        <v>2020</v>
      </c>
      <c r="Q298" s="533">
        <f t="shared" ca="1" si="12"/>
        <v>0</v>
      </c>
      <c r="R298" s="335" t="str">
        <f t="shared" ca="1" si="13"/>
        <v>N/A</v>
      </c>
      <c r="S298" s="335" t="str">
        <f t="shared" ca="1" si="14"/>
        <v>N/A</v>
      </c>
      <c r="T298" s="429" t="s">
        <v>566</v>
      </c>
      <c r="U298" s="22" t="s">
        <v>566</v>
      </c>
      <c r="V298" s="24"/>
      <c r="W298" s="21"/>
      <c r="Y298" s="490"/>
    </row>
    <row r="299" spans="1:25" ht="45" hidden="1">
      <c r="A299" s="31">
        <v>296</v>
      </c>
      <c r="B299" s="22" t="s">
        <v>563</v>
      </c>
      <c r="C299" s="22" t="s">
        <v>550</v>
      </c>
      <c r="D299" s="22" t="s">
        <v>567</v>
      </c>
      <c r="E299" s="23">
        <v>1</v>
      </c>
      <c r="F299" s="22" t="s">
        <v>523</v>
      </c>
      <c r="G299" s="22" t="s">
        <v>552</v>
      </c>
      <c r="H299" s="22" t="s">
        <v>164</v>
      </c>
      <c r="I299" s="22" t="s">
        <v>568</v>
      </c>
      <c r="J299" s="22" t="s">
        <v>568</v>
      </c>
      <c r="K299" s="519" t="s">
        <v>1385</v>
      </c>
      <c r="L299" s="521" t="s">
        <v>1415</v>
      </c>
      <c r="M299" s="521" t="s">
        <v>1416</v>
      </c>
      <c r="N299" s="521" t="s">
        <v>815</v>
      </c>
      <c r="O299" s="22" t="s">
        <v>514</v>
      </c>
      <c r="P299" s="426">
        <v>2020</v>
      </c>
      <c r="Q299" s="414">
        <f t="shared" ca="1" si="12"/>
        <v>0</v>
      </c>
      <c r="R299" s="335" t="str">
        <f t="shared" ca="1" si="13"/>
        <v>N/A</v>
      </c>
      <c r="S299" s="335" t="str">
        <f t="shared" ca="1" si="14"/>
        <v>N/A</v>
      </c>
      <c r="T299" s="429" t="s">
        <v>569</v>
      </c>
      <c r="U299" s="22" t="s">
        <v>569</v>
      </c>
      <c r="V299" s="24"/>
      <c r="W299" s="21"/>
      <c r="Y299" s="490"/>
    </row>
    <row r="300" spans="1:25" ht="45" hidden="1">
      <c r="A300" s="31">
        <v>297</v>
      </c>
      <c r="B300" s="22" t="s">
        <v>563</v>
      </c>
      <c r="C300" s="22" t="s">
        <v>550</v>
      </c>
      <c r="D300" s="22" t="s">
        <v>567</v>
      </c>
      <c r="E300" s="23">
        <v>1</v>
      </c>
      <c r="F300" s="22" t="s">
        <v>142</v>
      </c>
      <c r="G300" s="22" t="s">
        <v>552</v>
      </c>
      <c r="H300" s="22" t="s">
        <v>164</v>
      </c>
      <c r="I300" s="22" t="s">
        <v>568</v>
      </c>
      <c r="J300" s="22" t="s">
        <v>568</v>
      </c>
      <c r="K300" s="519" t="s">
        <v>1385</v>
      </c>
      <c r="L300" s="521" t="s">
        <v>1417</v>
      </c>
      <c r="M300" s="521" t="s">
        <v>1418</v>
      </c>
      <c r="N300" s="521" t="s">
        <v>815</v>
      </c>
      <c r="O300" s="22" t="s">
        <v>514</v>
      </c>
      <c r="P300" s="426">
        <v>2020</v>
      </c>
      <c r="Q300" s="533">
        <f t="shared" ca="1" si="12"/>
        <v>0</v>
      </c>
      <c r="R300" s="335" t="str">
        <f t="shared" ca="1" si="13"/>
        <v>N/A</v>
      </c>
      <c r="S300" s="335" t="str">
        <f t="shared" ca="1" si="14"/>
        <v>N/A</v>
      </c>
      <c r="T300" s="429" t="s">
        <v>569</v>
      </c>
      <c r="U300" s="22" t="s">
        <v>569</v>
      </c>
      <c r="V300" s="24"/>
      <c r="W300" s="21"/>
      <c r="Y300" s="490"/>
    </row>
    <row r="301" spans="1:25" ht="45" hidden="1">
      <c r="A301" s="31">
        <v>298</v>
      </c>
      <c r="B301" s="22" t="s">
        <v>563</v>
      </c>
      <c r="C301" s="22" t="s">
        <v>550</v>
      </c>
      <c r="D301" s="22" t="s">
        <v>567</v>
      </c>
      <c r="E301" s="23">
        <v>2</v>
      </c>
      <c r="F301" s="22" t="s">
        <v>523</v>
      </c>
      <c r="G301" s="22" t="s">
        <v>552</v>
      </c>
      <c r="H301" s="22" t="s">
        <v>164</v>
      </c>
      <c r="I301" s="22" t="s">
        <v>570</v>
      </c>
      <c r="J301" s="22" t="s">
        <v>570</v>
      </c>
      <c r="K301" s="519" t="s">
        <v>1385</v>
      </c>
      <c r="L301" s="521" t="s">
        <v>1419</v>
      </c>
      <c r="M301" s="521" t="s">
        <v>1420</v>
      </c>
      <c r="N301" s="521" t="s">
        <v>815</v>
      </c>
      <c r="O301" s="22" t="s">
        <v>514</v>
      </c>
      <c r="P301" s="426">
        <v>2020</v>
      </c>
      <c r="Q301" s="414">
        <f t="shared" ca="1" si="12"/>
        <v>0</v>
      </c>
      <c r="R301" s="335" t="str">
        <f t="shared" ca="1" si="13"/>
        <v>N/A</v>
      </c>
      <c r="S301" s="335" t="str">
        <f t="shared" ca="1" si="14"/>
        <v>N/A</v>
      </c>
      <c r="T301" s="429" t="s">
        <v>569</v>
      </c>
      <c r="U301" s="22" t="s">
        <v>569</v>
      </c>
      <c r="V301" s="24"/>
      <c r="W301" s="21"/>
      <c r="Y301" s="490"/>
    </row>
    <row r="302" spans="1:25" ht="45" hidden="1">
      <c r="A302" s="31">
        <v>299</v>
      </c>
      <c r="B302" s="22" t="s">
        <v>563</v>
      </c>
      <c r="C302" s="22" t="s">
        <v>550</v>
      </c>
      <c r="D302" s="22" t="s">
        <v>567</v>
      </c>
      <c r="E302" s="23">
        <v>2</v>
      </c>
      <c r="F302" s="22" t="s">
        <v>142</v>
      </c>
      <c r="G302" s="22" t="s">
        <v>552</v>
      </c>
      <c r="H302" s="22" t="s">
        <v>164</v>
      </c>
      <c r="I302" s="22" t="s">
        <v>570</v>
      </c>
      <c r="J302" s="22" t="s">
        <v>570</v>
      </c>
      <c r="K302" s="519" t="s">
        <v>1385</v>
      </c>
      <c r="L302" s="521" t="s">
        <v>1421</v>
      </c>
      <c r="M302" s="521" t="s">
        <v>1422</v>
      </c>
      <c r="N302" s="521" t="s">
        <v>815</v>
      </c>
      <c r="O302" s="22" t="s">
        <v>514</v>
      </c>
      <c r="P302" s="426">
        <v>2020</v>
      </c>
      <c r="Q302" s="533">
        <f t="shared" ca="1" si="12"/>
        <v>0</v>
      </c>
      <c r="R302" s="335" t="str">
        <f t="shared" ca="1" si="13"/>
        <v>N/A</v>
      </c>
      <c r="S302" s="335" t="str">
        <f t="shared" ca="1" si="14"/>
        <v>N/A</v>
      </c>
      <c r="T302" s="429" t="s">
        <v>569</v>
      </c>
      <c r="U302" s="22" t="s">
        <v>569</v>
      </c>
      <c r="V302" s="24"/>
      <c r="W302" s="21"/>
      <c r="Y302" s="490"/>
    </row>
    <row r="303" spans="1:25" ht="45" hidden="1">
      <c r="A303" s="31">
        <v>300</v>
      </c>
      <c r="B303" s="22" t="s">
        <v>563</v>
      </c>
      <c r="C303" s="22" t="s">
        <v>550</v>
      </c>
      <c r="D303" s="22" t="s">
        <v>567</v>
      </c>
      <c r="E303" s="23">
        <v>3</v>
      </c>
      <c r="F303" s="22" t="s">
        <v>523</v>
      </c>
      <c r="G303" s="22" t="s">
        <v>552</v>
      </c>
      <c r="H303" s="22" t="s">
        <v>164</v>
      </c>
      <c r="I303" s="22" t="s">
        <v>571</v>
      </c>
      <c r="J303" s="22" t="s">
        <v>571</v>
      </c>
      <c r="K303" s="519" t="s">
        <v>1385</v>
      </c>
      <c r="L303" s="521" t="s">
        <v>1423</v>
      </c>
      <c r="M303" s="521" t="s">
        <v>1424</v>
      </c>
      <c r="N303" s="521" t="s">
        <v>815</v>
      </c>
      <c r="O303" s="22" t="s">
        <v>514</v>
      </c>
      <c r="P303" s="426">
        <v>2020</v>
      </c>
      <c r="Q303" s="414">
        <f t="shared" ca="1" si="12"/>
        <v>0</v>
      </c>
      <c r="R303" s="335" t="str">
        <f t="shared" ca="1" si="13"/>
        <v>N/A</v>
      </c>
      <c r="S303" s="335" t="str">
        <f t="shared" ca="1" si="14"/>
        <v>N/A</v>
      </c>
      <c r="T303" s="429" t="s">
        <v>569</v>
      </c>
      <c r="U303" s="22" t="s">
        <v>569</v>
      </c>
      <c r="V303" s="24"/>
      <c r="W303" s="21"/>
      <c r="Y303" s="490"/>
    </row>
    <row r="304" spans="1:25" ht="60" hidden="1">
      <c r="A304" s="31">
        <v>301</v>
      </c>
      <c r="B304" s="22" t="s">
        <v>39</v>
      </c>
      <c r="C304" s="22" t="s">
        <v>572</v>
      </c>
      <c r="D304" s="22" t="s">
        <v>573</v>
      </c>
      <c r="E304" s="23">
        <v>1</v>
      </c>
      <c r="F304" s="22" t="s">
        <v>523</v>
      </c>
      <c r="G304" s="22" t="s">
        <v>574</v>
      </c>
      <c r="H304" s="22" t="s">
        <v>30</v>
      </c>
      <c r="I304" s="22" t="s">
        <v>575</v>
      </c>
      <c r="J304" s="22" t="s">
        <v>575</v>
      </c>
      <c r="K304" s="519" t="s">
        <v>1487</v>
      </c>
      <c r="L304" s="521" t="s">
        <v>1426</v>
      </c>
      <c r="M304" s="521" t="s">
        <v>1427</v>
      </c>
      <c r="N304" s="521" t="s">
        <v>815</v>
      </c>
      <c r="O304" s="22" t="s">
        <v>576</v>
      </c>
      <c r="P304" s="426">
        <v>2020</v>
      </c>
      <c r="Q304" s="414">
        <v>4</v>
      </c>
      <c r="R304" s="335" t="str">
        <f t="shared" ca="1" si="13"/>
        <v>N/A</v>
      </c>
      <c r="S304" s="335" t="str">
        <f t="shared" ca="1" si="14"/>
        <v>N/A</v>
      </c>
      <c r="T304" s="429" t="s">
        <v>577</v>
      </c>
      <c r="U304" s="22" t="s">
        <v>578</v>
      </c>
      <c r="V304" s="24"/>
      <c r="W304" s="21"/>
      <c r="Y304" s="490"/>
    </row>
    <row r="305" spans="1:25" ht="409.5" hidden="1" customHeight="1">
      <c r="A305" s="100">
        <v>302</v>
      </c>
      <c r="B305" s="101" t="s">
        <v>39</v>
      </c>
      <c r="C305" s="101" t="s">
        <v>572</v>
      </c>
      <c r="D305" s="101" t="s">
        <v>579</v>
      </c>
      <c r="E305" s="411">
        <v>1</v>
      </c>
      <c r="F305" s="101" t="s">
        <v>523</v>
      </c>
      <c r="G305" s="101" t="s">
        <v>580</v>
      </c>
      <c r="H305" s="101" t="s">
        <v>30</v>
      </c>
      <c r="I305" s="101" t="s">
        <v>581</v>
      </c>
      <c r="J305" s="101" t="s">
        <v>581</v>
      </c>
      <c r="K305" s="519" t="s">
        <v>1425</v>
      </c>
      <c r="L305" s="521" t="s">
        <v>1428</v>
      </c>
      <c r="M305" s="521" t="s">
        <v>1429</v>
      </c>
      <c r="N305" s="521" t="s">
        <v>815</v>
      </c>
      <c r="O305" s="101" t="s">
        <v>576</v>
      </c>
      <c r="P305" s="426">
        <v>2020</v>
      </c>
      <c r="Q305" s="530" t="s">
        <v>1875</v>
      </c>
      <c r="R305" s="335" t="str">
        <f t="shared" ca="1" si="13"/>
        <v>N/A</v>
      </c>
      <c r="S305" s="335" t="str">
        <f t="shared" ca="1" si="14"/>
        <v>N/A</v>
      </c>
      <c r="T305" s="429" t="s">
        <v>582</v>
      </c>
      <c r="U305" s="101" t="s">
        <v>583</v>
      </c>
      <c r="V305" s="24"/>
      <c r="W305" s="21"/>
      <c r="Y305" s="490"/>
    </row>
    <row r="306" spans="1:25" ht="180" hidden="1">
      <c r="A306" s="31">
        <v>303</v>
      </c>
      <c r="B306" s="22" t="s">
        <v>39</v>
      </c>
      <c r="C306" s="22" t="s">
        <v>572</v>
      </c>
      <c r="D306" s="22" t="s">
        <v>579</v>
      </c>
      <c r="E306" s="23">
        <v>1</v>
      </c>
      <c r="F306" s="22" t="s">
        <v>584</v>
      </c>
      <c r="G306" s="22" t="s">
        <v>580</v>
      </c>
      <c r="H306" s="22" t="s">
        <v>30</v>
      </c>
      <c r="I306" s="22" t="s">
        <v>585</v>
      </c>
      <c r="J306" s="22" t="s">
        <v>585</v>
      </c>
      <c r="K306" s="519" t="s">
        <v>1425</v>
      </c>
      <c r="L306" s="521" t="s">
        <v>1430</v>
      </c>
      <c r="M306" s="521" t="s">
        <v>1431</v>
      </c>
      <c r="N306" s="521" t="s">
        <v>815</v>
      </c>
      <c r="O306" s="22" t="s">
        <v>576</v>
      </c>
      <c r="P306" s="426">
        <v>2020</v>
      </c>
      <c r="Q306" s="534">
        <v>8.5300000000000001E-2</v>
      </c>
      <c r="R306" s="335">
        <v>2267</v>
      </c>
      <c r="S306" s="335">
        <v>26671</v>
      </c>
      <c r="T306" s="429" t="s">
        <v>586</v>
      </c>
      <c r="U306" s="22" t="s">
        <v>587</v>
      </c>
      <c r="V306" s="24"/>
      <c r="W306" s="21"/>
      <c r="Y306" s="490"/>
    </row>
    <row r="307" spans="1:25" ht="180" hidden="1">
      <c r="A307" s="31">
        <v>304</v>
      </c>
      <c r="B307" s="22" t="s">
        <v>39</v>
      </c>
      <c r="C307" s="22" t="s">
        <v>572</v>
      </c>
      <c r="D307" s="22" t="s">
        <v>588</v>
      </c>
      <c r="E307" s="23">
        <v>1</v>
      </c>
      <c r="F307" s="22" t="s">
        <v>584</v>
      </c>
      <c r="G307" s="22" t="s">
        <v>589</v>
      </c>
      <c r="H307" s="22" t="s">
        <v>30</v>
      </c>
      <c r="I307" s="22" t="s">
        <v>590</v>
      </c>
      <c r="J307" s="22" t="s">
        <v>590</v>
      </c>
      <c r="K307" s="519" t="s">
        <v>1425</v>
      </c>
      <c r="L307" s="521" t="s">
        <v>1432</v>
      </c>
      <c r="M307" s="521" t="s">
        <v>1433</v>
      </c>
      <c r="N307" s="521" t="s">
        <v>815</v>
      </c>
      <c r="O307" s="22" t="s">
        <v>576</v>
      </c>
      <c r="P307" s="426">
        <v>2020</v>
      </c>
      <c r="Q307" s="534">
        <v>0.31169999999999998</v>
      </c>
      <c r="R307" s="335">
        <v>2267</v>
      </c>
      <c r="S307" s="335">
        <v>26671</v>
      </c>
      <c r="T307" s="429" t="s">
        <v>591</v>
      </c>
      <c r="U307" s="22" t="s">
        <v>592</v>
      </c>
      <c r="V307" s="24"/>
      <c r="W307" s="21"/>
      <c r="Y307" s="490"/>
    </row>
    <row r="308" spans="1:25" ht="60.95" hidden="1" customHeight="1">
      <c r="A308" s="31">
        <v>305</v>
      </c>
      <c r="B308" s="22" t="s">
        <v>39</v>
      </c>
      <c r="C308" s="22" t="s">
        <v>572</v>
      </c>
      <c r="D308" s="22" t="s">
        <v>588</v>
      </c>
      <c r="E308" s="23">
        <v>1</v>
      </c>
      <c r="F308" s="22" t="s">
        <v>584</v>
      </c>
      <c r="G308" s="22" t="s">
        <v>589</v>
      </c>
      <c r="H308" s="22" t="s">
        <v>30</v>
      </c>
      <c r="I308" s="22" t="s">
        <v>593</v>
      </c>
      <c r="J308" s="22" t="s">
        <v>593</v>
      </c>
      <c r="K308" s="519" t="s">
        <v>1425</v>
      </c>
      <c r="L308" s="521" t="s">
        <v>1434</v>
      </c>
      <c r="M308" s="521" t="s">
        <v>1435</v>
      </c>
      <c r="N308" s="521" t="s">
        <v>815</v>
      </c>
      <c r="O308" s="22" t="s">
        <v>576</v>
      </c>
      <c r="P308" s="69" t="s">
        <v>59</v>
      </c>
      <c r="Q308" s="530" t="s">
        <v>59</v>
      </c>
      <c r="R308" s="335" t="str">
        <f t="shared" ref="R308:R316" ca="1" si="15">IF($N308 = "N","N/A",SUMIF(INDIRECT("'"&amp;K308&amp;"'!i:i"),L308,INDIRECT("'"&amp;K308&amp;"'!i:i")))</f>
        <v>N/A</v>
      </c>
      <c r="S308" s="335" t="str">
        <f t="shared" ref="S308:S316" ca="1" si="16">IF($N308 = "N","N/A",SUMIF(INDIRECT("'"&amp;K308&amp;"'!i:i"),M308,INDIRECT("'"&amp;K308&amp;"'!i:i")))</f>
        <v>N/A</v>
      </c>
      <c r="T308" s="429" t="s">
        <v>594</v>
      </c>
      <c r="U308" s="22" t="s">
        <v>595</v>
      </c>
      <c r="V308" s="24"/>
      <c r="W308" s="21"/>
      <c r="Y308" s="490"/>
    </row>
    <row r="309" spans="1:25" ht="60" hidden="1">
      <c r="A309" s="31">
        <v>306</v>
      </c>
      <c r="B309" s="22" t="s">
        <v>39</v>
      </c>
      <c r="C309" s="22" t="s">
        <v>572</v>
      </c>
      <c r="D309" s="22" t="s">
        <v>596</v>
      </c>
      <c r="E309" s="23">
        <v>1</v>
      </c>
      <c r="F309" s="22" t="s">
        <v>523</v>
      </c>
      <c r="G309" s="22" t="s">
        <v>589</v>
      </c>
      <c r="H309" s="22" t="s">
        <v>164</v>
      </c>
      <c r="I309" s="22" t="s">
        <v>597</v>
      </c>
      <c r="J309" s="22" t="s">
        <v>597</v>
      </c>
      <c r="K309" s="519" t="s">
        <v>1425</v>
      </c>
      <c r="L309" s="521" t="s">
        <v>1436</v>
      </c>
      <c r="M309" s="521" t="s">
        <v>1437</v>
      </c>
      <c r="N309" s="521" t="s">
        <v>815</v>
      </c>
      <c r="O309" s="22" t="s">
        <v>576</v>
      </c>
      <c r="P309" s="69" t="s">
        <v>167</v>
      </c>
      <c r="Q309" s="529" t="s">
        <v>59</v>
      </c>
      <c r="R309" s="335" t="str">
        <f t="shared" ca="1" si="15"/>
        <v>N/A</v>
      </c>
      <c r="S309" s="335" t="str">
        <f t="shared" ca="1" si="16"/>
        <v>N/A</v>
      </c>
      <c r="T309" s="429" t="s">
        <v>598</v>
      </c>
      <c r="U309" s="22" t="s">
        <v>59</v>
      </c>
      <c r="V309" s="24"/>
      <c r="W309" s="21"/>
      <c r="Y309" s="490"/>
    </row>
    <row r="310" spans="1:25" ht="60" hidden="1">
      <c r="A310" s="31">
        <v>307</v>
      </c>
      <c r="B310" s="22" t="s">
        <v>39</v>
      </c>
      <c r="C310" s="22" t="s">
        <v>599</v>
      </c>
      <c r="D310" s="22" t="s">
        <v>600</v>
      </c>
      <c r="E310" s="23">
        <v>1</v>
      </c>
      <c r="F310" s="22" t="s">
        <v>523</v>
      </c>
      <c r="G310" s="22" t="s">
        <v>601</v>
      </c>
      <c r="H310" s="22" t="s">
        <v>30</v>
      </c>
      <c r="I310" s="22" t="s">
        <v>602</v>
      </c>
      <c r="J310" s="22" t="s">
        <v>603</v>
      </c>
      <c r="K310" s="519" t="s">
        <v>1438</v>
      </c>
      <c r="L310" s="521" t="s">
        <v>1439</v>
      </c>
      <c r="M310" s="521" t="s">
        <v>1440</v>
      </c>
      <c r="N310" s="521" t="s">
        <v>815</v>
      </c>
      <c r="O310" s="22" t="s">
        <v>604</v>
      </c>
      <c r="P310" s="69" t="s">
        <v>59</v>
      </c>
      <c r="Q310" s="535" t="s">
        <v>1438</v>
      </c>
      <c r="R310" s="335" t="str">
        <f t="shared" ca="1" si="15"/>
        <v>N/A</v>
      </c>
      <c r="S310" s="335" t="str">
        <f t="shared" ca="1" si="16"/>
        <v>N/A</v>
      </c>
      <c r="T310" s="429" t="s">
        <v>608</v>
      </c>
      <c r="U310" s="22" t="s">
        <v>609</v>
      </c>
      <c r="V310" s="24"/>
      <c r="W310" s="21"/>
      <c r="Y310" s="490"/>
    </row>
    <row r="311" spans="1:25" ht="30" hidden="1">
      <c r="A311" s="31">
        <v>308</v>
      </c>
      <c r="B311" s="22" t="s">
        <v>39</v>
      </c>
      <c r="C311" s="22" t="s">
        <v>599</v>
      </c>
      <c r="D311" s="22" t="s">
        <v>610</v>
      </c>
      <c r="E311" s="23">
        <v>1</v>
      </c>
      <c r="F311" s="22" t="s">
        <v>611</v>
      </c>
      <c r="G311" s="22" t="s">
        <v>601</v>
      </c>
      <c r="H311" s="22" t="s">
        <v>30</v>
      </c>
      <c r="I311" s="22" t="s">
        <v>612</v>
      </c>
      <c r="J311" s="22" t="s">
        <v>613</v>
      </c>
      <c r="K311" s="519" t="s">
        <v>1438</v>
      </c>
      <c r="L311" s="521" t="s">
        <v>1441</v>
      </c>
      <c r="M311" s="521" t="s">
        <v>1442</v>
      </c>
      <c r="N311" s="521" t="s">
        <v>815</v>
      </c>
      <c r="O311" s="22" t="s">
        <v>604</v>
      </c>
      <c r="P311" s="69" t="s">
        <v>59</v>
      </c>
      <c r="Q311" s="529" t="s">
        <v>1438</v>
      </c>
      <c r="R311" s="335" t="str">
        <f t="shared" ca="1" si="15"/>
        <v>N/A</v>
      </c>
      <c r="S311" s="335" t="str">
        <f t="shared" ca="1" si="16"/>
        <v>N/A</v>
      </c>
      <c r="T311" s="429" t="s">
        <v>608</v>
      </c>
      <c r="U311" s="22" t="s">
        <v>614</v>
      </c>
      <c r="V311" s="24"/>
      <c r="W311" s="21"/>
      <c r="Y311" s="490"/>
    </row>
    <row r="312" spans="1:25" ht="45" hidden="1">
      <c r="A312" s="31">
        <v>309</v>
      </c>
      <c r="B312" s="22" t="s">
        <v>39</v>
      </c>
      <c r="C312" s="22" t="s">
        <v>599</v>
      </c>
      <c r="D312" s="22" t="s">
        <v>615</v>
      </c>
      <c r="E312" s="23">
        <v>1</v>
      </c>
      <c r="F312" s="22" t="s">
        <v>616</v>
      </c>
      <c r="G312" s="22" t="s">
        <v>617</v>
      </c>
      <c r="H312" s="22" t="s">
        <v>30</v>
      </c>
      <c r="I312" s="22" t="s">
        <v>618</v>
      </c>
      <c r="J312" s="22" t="s">
        <v>619</v>
      </c>
      <c r="K312" s="519" t="s">
        <v>1438</v>
      </c>
      <c r="L312" s="521" t="s">
        <v>1443</v>
      </c>
      <c r="M312" s="521" t="s">
        <v>1444</v>
      </c>
      <c r="N312" s="521" t="s">
        <v>815</v>
      </c>
      <c r="O312" s="22" t="s">
        <v>604</v>
      </c>
      <c r="P312" s="69" t="s">
        <v>620</v>
      </c>
      <c r="Q312" s="529" t="s">
        <v>1438</v>
      </c>
      <c r="R312" s="335" t="str">
        <f t="shared" ca="1" si="15"/>
        <v>N/A</v>
      </c>
      <c r="S312" s="335" t="str">
        <f t="shared" ca="1" si="16"/>
        <v>N/A</v>
      </c>
      <c r="T312" s="429" t="s">
        <v>608</v>
      </c>
      <c r="U312" s="22" t="s">
        <v>622</v>
      </c>
      <c r="V312" s="24"/>
      <c r="W312" s="21"/>
      <c r="Y312" s="490"/>
    </row>
    <row r="313" spans="1:25" ht="90" hidden="1">
      <c r="A313" s="31">
        <v>310</v>
      </c>
      <c r="B313" s="22" t="s">
        <v>39</v>
      </c>
      <c r="C313" s="22" t="s">
        <v>599</v>
      </c>
      <c r="D313" s="22" t="s">
        <v>623</v>
      </c>
      <c r="E313" s="23">
        <v>1</v>
      </c>
      <c r="F313" s="22" t="s">
        <v>624</v>
      </c>
      <c r="G313" s="22" t="s">
        <v>625</v>
      </c>
      <c r="H313" s="22" t="s">
        <v>30</v>
      </c>
      <c r="I313" s="22" t="s">
        <v>626</v>
      </c>
      <c r="J313" s="22" t="s">
        <v>627</v>
      </c>
      <c r="K313" s="519" t="s">
        <v>1438</v>
      </c>
      <c r="L313" s="521" t="s">
        <v>1445</v>
      </c>
      <c r="M313" s="521" t="s">
        <v>1446</v>
      </c>
      <c r="N313" s="521" t="s">
        <v>815</v>
      </c>
      <c r="O313" s="22" t="s">
        <v>604</v>
      </c>
      <c r="P313" s="69">
        <v>2017</v>
      </c>
      <c r="Q313" s="529" t="s">
        <v>1438</v>
      </c>
      <c r="R313" s="335" t="str">
        <f t="shared" ca="1" si="15"/>
        <v>N/A</v>
      </c>
      <c r="S313" s="335" t="str">
        <f t="shared" ca="1" si="16"/>
        <v>N/A</v>
      </c>
      <c r="T313" s="429" t="s">
        <v>1447</v>
      </c>
      <c r="U313" s="22" t="s">
        <v>630</v>
      </c>
      <c r="V313" s="24"/>
      <c r="W313" s="21"/>
      <c r="Y313" s="490"/>
    </row>
    <row r="314" spans="1:25" ht="90" hidden="1">
      <c r="A314" s="31">
        <v>311</v>
      </c>
      <c r="B314" s="22" t="s">
        <v>39</v>
      </c>
      <c r="C314" s="22" t="s">
        <v>599</v>
      </c>
      <c r="D314" s="22" t="s">
        <v>631</v>
      </c>
      <c r="E314" s="23">
        <v>1</v>
      </c>
      <c r="F314" s="22" t="s">
        <v>624</v>
      </c>
      <c r="G314" s="22" t="s">
        <v>625</v>
      </c>
      <c r="H314" s="22" t="s">
        <v>30</v>
      </c>
      <c r="I314" s="22" t="s">
        <v>632</v>
      </c>
      <c r="J314" s="22" t="s">
        <v>633</v>
      </c>
      <c r="K314" s="519" t="s">
        <v>1438</v>
      </c>
      <c r="L314" s="521" t="s">
        <v>1448</v>
      </c>
      <c r="M314" s="521" t="s">
        <v>1449</v>
      </c>
      <c r="N314" s="521" t="s">
        <v>815</v>
      </c>
      <c r="O314" s="22" t="s">
        <v>604</v>
      </c>
      <c r="P314" s="69" t="s">
        <v>634</v>
      </c>
      <c r="Q314" s="529" t="s">
        <v>1438</v>
      </c>
      <c r="R314" s="335" t="str">
        <f t="shared" ca="1" si="15"/>
        <v>N/A</v>
      </c>
      <c r="S314" s="335" t="str">
        <f t="shared" ca="1" si="16"/>
        <v>N/A</v>
      </c>
      <c r="T314" s="429" t="s">
        <v>1450</v>
      </c>
      <c r="U314" s="22" t="s">
        <v>636</v>
      </c>
      <c r="V314" s="24"/>
      <c r="W314" s="21"/>
      <c r="Y314" s="490"/>
    </row>
    <row r="315" spans="1:25" ht="60" hidden="1">
      <c r="A315" s="31">
        <v>312</v>
      </c>
      <c r="B315" s="22" t="s">
        <v>39</v>
      </c>
      <c r="C315" s="22" t="s">
        <v>637</v>
      </c>
      <c r="D315" s="22" t="s">
        <v>638</v>
      </c>
      <c r="E315" s="23">
        <v>1</v>
      </c>
      <c r="F315" s="22" t="s">
        <v>639</v>
      </c>
      <c r="G315" s="22" t="s">
        <v>640</v>
      </c>
      <c r="H315" s="22" t="s">
        <v>30</v>
      </c>
      <c r="I315" s="22" t="s">
        <v>641</v>
      </c>
      <c r="J315" s="22" t="s">
        <v>642</v>
      </c>
      <c r="K315" s="519" t="s">
        <v>1438</v>
      </c>
      <c r="L315" s="521" t="s">
        <v>1451</v>
      </c>
      <c r="M315" s="521" t="s">
        <v>1452</v>
      </c>
      <c r="N315" s="521" t="s">
        <v>815</v>
      </c>
      <c r="O315" s="22" t="s">
        <v>604</v>
      </c>
      <c r="P315" s="69" t="s">
        <v>59</v>
      </c>
      <c r="Q315" s="529" t="s">
        <v>1438</v>
      </c>
      <c r="R315" s="335" t="str">
        <f t="shared" ca="1" si="15"/>
        <v>N/A</v>
      </c>
      <c r="S315" s="335" t="str">
        <f t="shared" ca="1" si="16"/>
        <v>N/A</v>
      </c>
      <c r="T315" s="429" t="s">
        <v>645</v>
      </c>
      <c r="U315" s="22" t="s">
        <v>646</v>
      </c>
      <c r="V315" s="24"/>
      <c r="W315" s="21"/>
      <c r="Y315" s="490"/>
    </row>
    <row r="316" spans="1:25" ht="105" hidden="1">
      <c r="A316" s="31">
        <v>313</v>
      </c>
      <c r="B316" s="22" t="s">
        <v>39</v>
      </c>
      <c r="C316" s="22" t="s">
        <v>637</v>
      </c>
      <c r="D316" s="22" t="s">
        <v>647</v>
      </c>
      <c r="E316" s="23">
        <v>1</v>
      </c>
      <c r="F316" s="22" t="s">
        <v>639</v>
      </c>
      <c r="G316" s="22" t="s">
        <v>640</v>
      </c>
      <c r="H316" s="22" t="s">
        <v>30</v>
      </c>
      <c r="I316" s="22" t="s">
        <v>648</v>
      </c>
      <c r="J316" s="22" t="s">
        <v>649</v>
      </c>
      <c r="K316" s="519" t="s">
        <v>1438</v>
      </c>
      <c r="L316" s="521" t="s">
        <v>1453</v>
      </c>
      <c r="M316" s="521" t="s">
        <v>1454</v>
      </c>
      <c r="N316" s="521" t="s">
        <v>815</v>
      </c>
      <c r="O316" s="22" t="s">
        <v>604</v>
      </c>
      <c r="P316" s="69" t="s">
        <v>59</v>
      </c>
      <c r="Q316" s="529" t="s">
        <v>1438</v>
      </c>
      <c r="R316" s="335" t="str">
        <f t="shared" ca="1" si="15"/>
        <v>N/A</v>
      </c>
      <c r="S316" s="335" t="str">
        <f t="shared" ca="1" si="16"/>
        <v>N/A</v>
      </c>
      <c r="T316" s="429" t="s">
        <v>608</v>
      </c>
      <c r="U316" s="22" t="s">
        <v>650</v>
      </c>
      <c r="V316" s="24"/>
      <c r="W316" s="21"/>
      <c r="Y316" s="490"/>
    </row>
    <row r="317" spans="1:25" ht="135" hidden="1">
      <c r="A317" s="31">
        <v>314</v>
      </c>
      <c r="B317" s="22" t="s">
        <v>39</v>
      </c>
      <c r="C317" s="22" t="s">
        <v>651</v>
      </c>
      <c r="D317" s="22" t="s">
        <v>652</v>
      </c>
      <c r="E317" s="23">
        <v>1</v>
      </c>
      <c r="F317" s="22" t="s">
        <v>653</v>
      </c>
      <c r="G317" s="22" t="s">
        <v>654</v>
      </c>
      <c r="H317" s="22" t="s">
        <v>30</v>
      </c>
      <c r="I317" s="22" t="s">
        <v>655</v>
      </c>
      <c r="J317" s="22" t="s">
        <v>656</v>
      </c>
      <c r="K317" s="519" t="s">
        <v>1438</v>
      </c>
      <c r="L317" s="521" t="s">
        <v>1455</v>
      </c>
      <c r="M317" s="521" t="s">
        <v>1456</v>
      </c>
      <c r="N317" s="521" t="s">
        <v>815</v>
      </c>
      <c r="O317" s="22" t="s">
        <v>604</v>
      </c>
      <c r="P317" s="69" t="s">
        <v>59</v>
      </c>
      <c r="Q317" s="537" t="s">
        <v>657</v>
      </c>
      <c r="R317" s="335" t="str">
        <f t="shared" ref="R317:R332" ca="1" si="17">IF($N317 = "N","N/A",SUMIF(INDIRECT("'"&amp;K317&amp;"'!i:i"),L317,INDIRECT("'"&amp;K317&amp;"'!o:o")))</f>
        <v>N/A</v>
      </c>
      <c r="S317" s="335" t="str">
        <f t="shared" ref="S317:S332" ca="1" si="18">IF($N317 = "N","N/A",SUMIF(INDIRECT("'"&amp;K317&amp;"'!i:i"),M317,INDIRECT("'"&amp;K317&amp;"'!o:o")))</f>
        <v>N/A</v>
      </c>
      <c r="T317" s="429" t="s">
        <v>658</v>
      </c>
      <c r="U317" s="22" t="s">
        <v>659</v>
      </c>
      <c r="V317" s="24"/>
      <c r="W317" s="21"/>
      <c r="Y317" s="490"/>
    </row>
    <row r="318" spans="1:25" ht="105" hidden="1">
      <c r="A318" s="31">
        <v>315</v>
      </c>
      <c r="B318" s="22" t="s">
        <v>39</v>
      </c>
      <c r="C318" s="22" t="s">
        <v>651</v>
      </c>
      <c r="D318" s="22" t="s">
        <v>660</v>
      </c>
      <c r="E318" s="23">
        <v>1</v>
      </c>
      <c r="F318" s="22" t="s">
        <v>661</v>
      </c>
      <c r="G318" s="22" t="s">
        <v>654</v>
      </c>
      <c r="H318" s="22" t="s">
        <v>30</v>
      </c>
      <c r="I318" s="22" t="s">
        <v>662</v>
      </c>
      <c r="J318" s="22" t="s">
        <v>663</v>
      </c>
      <c r="K318" s="519" t="s">
        <v>1438</v>
      </c>
      <c r="L318" s="521" t="s">
        <v>1457</v>
      </c>
      <c r="M318" s="521" t="s">
        <v>1458</v>
      </c>
      <c r="N318" s="521" t="s">
        <v>815</v>
      </c>
      <c r="O318" s="22" t="s">
        <v>604</v>
      </c>
      <c r="P318" s="69" t="s">
        <v>59</v>
      </c>
      <c r="Q318" s="537" t="s">
        <v>657</v>
      </c>
      <c r="R318" s="335" t="str">
        <f t="shared" ca="1" si="17"/>
        <v>N/A</v>
      </c>
      <c r="S318" s="335" t="str">
        <f t="shared" ca="1" si="18"/>
        <v>N/A</v>
      </c>
      <c r="T318" s="429" t="s">
        <v>664</v>
      </c>
      <c r="U318" s="22" t="s">
        <v>659</v>
      </c>
      <c r="V318" s="24"/>
      <c r="W318" s="21"/>
      <c r="Y318" s="490"/>
    </row>
    <row r="319" spans="1:25" ht="90" hidden="1">
      <c r="A319" s="31">
        <v>316</v>
      </c>
      <c r="B319" s="22" t="s">
        <v>39</v>
      </c>
      <c r="C319" s="22" t="s">
        <v>651</v>
      </c>
      <c r="D319" s="22" t="s">
        <v>665</v>
      </c>
      <c r="E319" s="23">
        <v>1</v>
      </c>
      <c r="F319" s="22" t="s">
        <v>142</v>
      </c>
      <c r="G319" s="22" t="s">
        <v>654</v>
      </c>
      <c r="H319" s="22" t="s">
        <v>30</v>
      </c>
      <c r="I319" s="22" t="s">
        <v>666</v>
      </c>
      <c r="J319" s="22" t="s">
        <v>667</v>
      </c>
      <c r="K319" s="519" t="s">
        <v>1438</v>
      </c>
      <c r="L319" s="521" t="s">
        <v>1459</v>
      </c>
      <c r="M319" s="521" t="s">
        <v>1460</v>
      </c>
      <c r="N319" s="521" t="s">
        <v>815</v>
      </c>
      <c r="O319" s="22" t="s">
        <v>604</v>
      </c>
      <c r="P319" s="69" t="s">
        <v>59</v>
      </c>
      <c r="Q319" s="537" t="s">
        <v>657</v>
      </c>
      <c r="R319" s="335" t="str">
        <f t="shared" ca="1" si="17"/>
        <v>N/A</v>
      </c>
      <c r="S319" s="335" t="str">
        <f t="shared" ca="1" si="18"/>
        <v>N/A</v>
      </c>
      <c r="T319" s="429" t="s">
        <v>668</v>
      </c>
      <c r="U319" s="22" t="s">
        <v>659</v>
      </c>
      <c r="V319" s="24"/>
      <c r="W319" s="21"/>
      <c r="Y319" s="490"/>
    </row>
    <row r="320" spans="1:25" ht="135" hidden="1">
      <c r="A320" s="31">
        <v>317</v>
      </c>
      <c r="B320" s="22" t="s">
        <v>39</v>
      </c>
      <c r="C320" s="22" t="s">
        <v>651</v>
      </c>
      <c r="D320" s="22" t="s">
        <v>669</v>
      </c>
      <c r="E320" s="23">
        <v>1</v>
      </c>
      <c r="F320" s="22" t="s">
        <v>523</v>
      </c>
      <c r="G320" s="22" t="s">
        <v>654</v>
      </c>
      <c r="H320" s="22" t="s">
        <v>30</v>
      </c>
      <c r="I320" s="22" t="s">
        <v>670</v>
      </c>
      <c r="J320" s="22" t="s">
        <v>671</v>
      </c>
      <c r="K320" s="519" t="s">
        <v>1438</v>
      </c>
      <c r="L320" s="521" t="s">
        <v>1461</v>
      </c>
      <c r="M320" s="521" t="s">
        <v>1462</v>
      </c>
      <c r="N320" s="521" t="s">
        <v>815</v>
      </c>
      <c r="O320" s="22" t="s">
        <v>604</v>
      </c>
      <c r="P320" s="69" t="s">
        <v>59</v>
      </c>
      <c r="Q320" s="537" t="s">
        <v>657</v>
      </c>
      <c r="R320" s="335" t="str">
        <f t="shared" ca="1" si="17"/>
        <v>N/A</v>
      </c>
      <c r="S320" s="335" t="str">
        <f t="shared" ca="1" si="18"/>
        <v>N/A</v>
      </c>
      <c r="T320" s="429" t="s">
        <v>672</v>
      </c>
      <c r="U320" s="22" t="s">
        <v>673</v>
      </c>
      <c r="V320" s="24"/>
      <c r="W320" s="21"/>
      <c r="Y320" s="490"/>
    </row>
    <row r="321" spans="1:25" ht="105" hidden="1">
      <c r="A321" s="31">
        <v>318</v>
      </c>
      <c r="B321" s="22" t="s">
        <v>39</v>
      </c>
      <c r="C321" s="22" t="s">
        <v>651</v>
      </c>
      <c r="D321" s="22" t="s">
        <v>674</v>
      </c>
      <c r="E321" s="23">
        <v>1</v>
      </c>
      <c r="F321" s="22" t="s">
        <v>675</v>
      </c>
      <c r="G321" s="22" t="s">
        <v>676</v>
      </c>
      <c r="H321" s="22" t="s">
        <v>30</v>
      </c>
      <c r="I321" s="22" t="s">
        <v>677</v>
      </c>
      <c r="J321" s="22" t="s">
        <v>678</v>
      </c>
      <c r="K321" s="519" t="s">
        <v>1438</v>
      </c>
      <c r="L321" s="521" t="s">
        <v>1463</v>
      </c>
      <c r="M321" s="521" t="s">
        <v>1464</v>
      </c>
      <c r="N321" s="521" t="s">
        <v>815</v>
      </c>
      <c r="O321" s="22" t="s">
        <v>604</v>
      </c>
      <c r="P321" s="69" t="s">
        <v>59</v>
      </c>
      <c r="Q321" s="537" t="s">
        <v>657</v>
      </c>
      <c r="R321" s="335" t="str">
        <f t="shared" ca="1" si="17"/>
        <v>N/A</v>
      </c>
      <c r="S321" s="335" t="str">
        <f t="shared" ca="1" si="18"/>
        <v>N/A</v>
      </c>
      <c r="T321" s="429" t="s">
        <v>679</v>
      </c>
      <c r="U321" s="22" t="s">
        <v>680</v>
      </c>
      <c r="V321" s="24"/>
      <c r="W321" s="21"/>
      <c r="Y321" s="490"/>
    </row>
    <row r="322" spans="1:25" ht="105" hidden="1">
      <c r="A322" s="31">
        <v>319</v>
      </c>
      <c r="B322" s="22" t="s">
        <v>39</v>
      </c>
      <c r="C322" s="22" t="s">
        <v>651</v>
      </c>
      <c r="D322" s="22" t="s">
        <v>681</v>
      </c>
      <c r="E322" s="23">
        <v>1</v>
      </c>
      <c r="F322" s="22" t="s">
        <v>682</v>
      </c>
      <c r="G322" s="22" t="s">
        <v>676</v>
      </c>
      <c r="H322" s="22" t="s">
        <v>30</v>
      </c>
      <c r="I322" s="22" t="s">
        <v>683</v>
      </c>
      <c r="J322" s="22" t="s">
        <v>684</v>
      </c>
      <c r="K322" s="519" t="s">
        <v>1438</v>
      </c>
      <c r="L322" s="521" t="s">
        <v>1465</v>
      </c>
      <c r="M322" s="521" t="s">
        <v>1466</v>
      </c>
      <c r="N322" s="521" t="s">
        <v>815</v>
      </c>
      <c r="O322" s="22" t="s">
        <v>604</v>
      </c>
      <c r="P322" s="69" t="s">
        <v>59</v>
      </c>
      <c r="Q322" s="537" t="s">
        <v>657</v>
      </c>
      <c r="R322" s="335" t="str">
        <f t="shared" ca="1" si="17"/>
        <v>N/A</v>
      </c>
      <c r="S322" s="335" t="str">
        <f t="shared" ca="1" si="18"/>
        <v>N/A</v>
      </c>
      <c r="T322" s="429" t="s">
        <v>679</v>
      </c>
      <c r="U322" s="22" t="s">
        <v>680</v>
      </c>
      <c r="V322" s="24"/>
      <c r="W322" s="21"/>
      <c r="Y322" s="490"/>
    </row>
    <row r="323" spans="1:25" ht="105" hidden="1">
      <c r="A323" s="31">
        <v>320</v>
      </c>
      <c r="B323" s="22" t="s">
        <v>39</v>
      </c>
      <c r="C323" s="22" t="s">
        <v>651</v>
      </c>
      <c r="D323" s="22" t="s">
        <v>685</v>
      </c>
      <c r="E323" s="23">
        <v>1</v>
      </c>
      <c r="F323" s="22" t="s">
        <v>686</v>
      </c>
      <c r="G323" s="22" t="s">
        <v>676</v>
      </c>
      <c r="H323" s="22" t="s">
        <v>30</v>
      </c>
      <c r="I323" s="22" t="s">
        <v>687</v>
      </c>
      <c r="J323" s="22" t="s">
        <v>688</v>
      </c>
      <c r="K323" s="519" t="s">
        <v>1438</v>
      </c>
      <c r="L323" s="521" t="s">
        <v>1467</v>
      </c>
      <c r="M323" s="521" t="s">
        <v>1468</v>
      </c>
      <c r="N323" s="521" t="s">
        <v>815</v>
      </c>
      <c r="O323" s="22" t="s">
        <v>604</v>
      </c>
      <c r="P323" s="69" t="s">
        <v>59</v>
      </c>
      <c r="Q323" s="537" t="s">
        <v>657</v>
      </c>
      <c r="R323" s="335" t="str">
        <f t="shared" ca="1" si="17"/>
        <v>N/A</v>
      </c>
      <c r="S323" s="335" t="str">
        <f t="shared" ca="1" si="18"/>
        <v>N/A</v>
      </c>
      <c r="T323" s="429" t="s">
        <v>679</v>
      </c>
      <c r="U323" s="22" t="s">
        <v>680</v>
      </c>
      <c r="V323" s="24"/>
      <c r="W323" s="21"/>
      <c r="Y323" s="490"/>
    </row>
    <row r="324" spans="1:25" ht="165" hidden="1">
      <c r="A324" s="31">
        <v>321</v>
      </c>
      <c r="B324" s="22" t="s">
        <v>39</v>
      </c>
      <c r="C324" s="22" t="s">
        <v>651</v>
      </c>
      <c r="D324" s="22" t="s">
        <v>689</v>
      </c>
      <c r="E324" s="23">
        <v>1</v>
      </c>
      <c r="F324" s="22" t="s">
        <v>690</v>
      </c>
      <c r="G324" s="22" t="s">
        <v>691</v>
      </c>
      <c r="H324" s="22" t="s">
        <v>30</v>
      </c>
      <c r="I324" s="22" t="s">
        <v>692</v>
      </c>
      <c r="J324" s="22" t="s">
        <v>693</v>
      </c>
      <c r="K324" s="519" t="s">
        <v>1438</v>
      </c>
      <c r="L324" s="521" t="s">
        <v>1469</v>
      </c>
      <c r="M324" s="521" t="s">
        <v>1470</v>
      </c>
      <c r="N324" s="521" t="s">
        <v>815</v>
      </c>
      <c r="O324" s="22" t="s">
        <v>604</v>
      </c>
      <c r="P324" s="69" t="s">
        <v>59</v>
      </c>
      <c r="Q324" s="537" t="s">
        <v>657</v>
      </c>
      <c r="R324" s="335" t="str">
        <f t="shared" ca="1" si="17"/>
        <v>N/A</v>
      </c>
      <c r="S324" s="335" t="str">
        <f t="shared" ca="1" si="18"/>
        <v>N/A</v>
      </c>
      <c r="T324" s="429" t="s">
        <v>694</v>
      </c>
      <c r="U324" s="22" t="s">
        <v>695</v>
      </c>
      <c r="V324" s="24"/>
      <c r="W324" s="21"/>
      <c r="Y324" s="490"/>
    </row>
    <row r="325" spans="1:25" ht="165" hidden="1">
      <c r="A325" s="31">
        <v>322</v>
      </c>
      <c r="B325" s="22" t="s">
        <v>39</v>
      </c>
      <c r="C325" s="22" t="s">
        <v>651</v>
      </c>
      <c r="D325" s="22" t="s">
        <v>696</v>
      </c>
      <c r="E325" s="23">
        <v>1</v>
      </c>
      <c r="F325" s="22" t="s">
        <v>697</v>
      </c>
      <c r="G325" s="22" t="s">
        <v>691</v>
      </c>
      <c r="H325" s="22" t="s">
        <v>30</v>
      </c>
      <c r="I325" s="22" t="s">
        <v>698</v>
      </c>
      <c r="J325" s="22" t="s">
        <v>699</v>
      </c>
      <c r="K325" s="519" t="s">
        <v>1438</v>
      </c>
      <c r="L325" s="521" t="s">
        <v>1471</v>
      </c>
      <c r="M325" s="521" t="s">
        <v>1472</v>
      </c>
      <c r="N325" s="521" t="s">
        <v>815</v>
      </c>
      <c r="O325" s="22" t="s">
        <v>604</v>
      </c>
      <c r="P325" s="69" t="s">
        <v>59</v>
      </c>
      <c r="Q325" s="537" t="s">
        <v>1438</v>
      </c>
      <c r="R325" s="335" t="str">
        <f t="shared" ca="1" si="17"/>
        <v>N/A</v>
      </c>
      <c r="S325" s="335" t="str">
        <f t="shared" ca="1" si="18"/>
        <v>N/A</v>
      </c>
      <c r="T325" s="429" t="s">
        <v>694</v>
      </c>
      <c r="U325" s="22" t="s">
        <v>695</v>
      </c>
      <c r="V325" s="24"/>
      <c r="W325" s="21"/>
      <c r="Y325" s="490"/>
    </row>
    <row r="326" spans="1:25" ht="165" hidden="1">
      <c r="A326" s="31">
        <v>323</v>
      </c>
      <c r="B326" s="22" t="s">
        <v>39</v>
      </c>
      <c r="C326" s="22" t="s">
        <v>651</v>
      </c>
      <c r="D326" s="22" t="s">
        <v>700</v>
      </c>
      <c r="E326" s="23">
        <v>1</v>
      </c>
      <c r="F326" s="22" t="s">
        <v>701</v>
      </c>
      <c r="G326" s="22" t="s">
        <v>691</v>
      </c>
      <c r="H326" s="22" t="s">
        <v>30</v>
      </c>
      <c r="I326" s="22" t="s">
        <v>702</v>
      </c>
      <c r="J326" s="22" t="s">
        <v>703</v>
      </c>
      <c r="K326" s="519" t="s">
        <v>1438</v>
      </c>
      <c r="L326" s="521" t="s">
        <v>1473</v>
      </c>
      <c r="M326" s="521" t="s">
        <v>1474</v>
      </c>
      <c r="N326" s="521" t="s">
        <v>815</v>
      </c>
      <c r="O326" s="22" t="s">
        <v>604</v>
      </c>
      <c r="P326" s="69" t="s">
        <v>59</v>
      </c>
      <c r="Q326" s="537" t="s">
        <v>1438</v>
      </c>
      <c r="R326" s="335" t="str">
        <f t="shared" ca="1" si="17"/>
        <v>N/A</v>
      </c>
      <c r="S326" s="335" t="str">
        <f t="shared" ca="1" si="18"/>
        <v>N/A</v>
      </c>
      <c r="T326" s="429" t="s">
        <v>694</v>
      </c>
      <c r="U326" s="22" t="s">
        <v>695</v>
      </c>
      <c r="V326" s="24"/>
      <c r="W326" s="21"/>
      <c r="Y326" s="490"/>
    </row>
    <row r="327" spans="1:25" ht="165" hidden="1">
      <c r="A327" s="31">
        <v>324</v>
      </c>
      <c r="B327" s="22" t="s">
        <v>39</v>
      </c>
      <c r="C327" s="22" t="s">
        <v>651</v>
      </c>
      <c r="D327" s="22" t="s">
        <v>704</v>
      </c>
      <c r="E327" s="23">
        <v>1</v>
      </c>
      <c r="F327" s="22" t="s">
        <v>705</v>
      </c>
      <c r="G327" s="22" t="s">
        <v>691</v>
      </c>
      <c r="H327" s="22" t="s">
        <v>30</v>
      </c>
      <c r="I327" s="22" t="s">
        <v>706</v>
      </c>
      <c r="J327" s="22" t="s">
        <v>707</v>
      </c>
      <c r="K327" s="519" t="s">
        <v>1438</v>
      </c>
      <c r="L327" s="521" t="s">
        <v>1475</v>
      </c>
      <c r="M327" s="521" t="s">
        <v>1476</v>
      </c>
      <c r="N327" s="521" t="s">
        <v>815</v>
      </c>
      <c r="O327" s="22" t="s">
        <v>604</v>
      </c>
      <c r="P327" s="69" t="s">
        <v>59</v>
      </c>
      <c r="Q327" s="537" t="s">
        <v>1438</v>
      </c>
      <c r="R327" s="335" t="str">
        <f t="shared" ca="1" si="17"/>
        <v>N/A</v>
      </c>
      <c r="S327" s="335" t="str">
        <f t="shared" ca="1" si="18"/>
        <v>N/A</v>
      </c>
      <c r="T327" s="429" t="s">
        <v>694</v>
      </c>
      <c r="U327" s="22" t="s">
        <v>708</v>
      </c>
      <c r="V327" s="24"/>
      <c r="W327" s="21"/>
      <c r="Y327" s="490"/>
    </row>
    <row r="328" spans="1:25" ht="165" hidden="1">
      <c r="A328" s="31">
        <v>325</v>
      </c>
      <c r="B328" s="22" t="s">
        <v>39</v>
      </c>
      <c r="C328" s="22" t="s">
        <v>651</v>
      </c>
      <c r="D328" s="22" t="s">
        <v>709</v>
      </c>
      <c r="E328" s="23">
        <v>1</v>
      </c>
      <c r="F328" s="22" t="s">
        <v>690</v>
      </c>
      <c r="G328" s="22" t="s">
        <v>691</v>
      </c>
      <c r="H328" s="22" t="s">
        <v>30</v>
      </c>
      <c r="I328" s="22" t="s">
        <v>710</v>
      </c>
      <c r="J328" s="22" t="s">
        <v>711</v>
      </c>
      <c r="K328" s="519" t="s">
        <v>1438</v>
      </c>
      <c r="L328" s="521" t="s">
        <v>1477</v>
      </c>
      <c r="M328" s="521" t="s">
        <v>1478</v>
      </c>
      <c r="N328" s="521" t="s">
        <v>815</v>
      </c>
      <c r="O328" s="22" t="s">
        <v>604</v>
      </c>
      <c r="P328" s="69" t="s">
        <v>59</v>
      </c>
      <c r="Q328" s="537" t="s">
        <v>1438</v>
      </c>
      <c r="R328" s="335" t="str">
        <f t="shared" ca="1" si="17"/>
        <v>N/A</v>
      </c>
      <c r="S328" s="335" t="str">
        <f t="shared" ca="1" si="18"/>
        <v>N/A</v>
      </c>
      <c r="T328" s="429" t="s">
        <v>712</v>
      </c>
      <c r="U328" s="22" t="s">
        <v>695</v>
      </c>
      <c r="V328" s="24"/>
      <c r="W328" s="21"/>
      <c r="Y328" s="490"/>
    </row>
    <row r="329" spans="1:25" ht="165" hidden="1">
      <c r="A329" s="31">
        <v>326</v>
      </c>
      <c r="B329" s="22" t="s">
        <v>39</v>
      </c>
      <c r="C329" s="22" t="s">
        <v>651</v>
      </c>
      <c r="D329" s="22" t="s">
        <v>713</v>
      </c>
      <c r="E329" s="23">
        <v>1</v>
      </c>
      <c r="F329" s="22" t="s">
        <v>697</v>
      </c>
      <c r="G329" s="22" t="s">
        <v>691</v>
      </c>
      <c r="H329" s="22" t="s">
        <v>30</v>
      </c>
      <c r="I329" s="22" t="s">
        <v>714</v>
      </c>
      <c r="J329" s="22" t="s">
        <v>715</v>
      </c>
      <c r="K329" s="519" t="s">
        <v>1438</v>
      </c>
      <c r="L329" s="521" t="s">
        <v>1479</v>
      </c>
      <c r="M329" s="521" t="s">
        <v>1480</v>
      </c>
      <c r="N329" s="521" t="s">
        <v>815</v>
      </c>
      <c r="O329" s="22" t="s">
        <v>604</v>
      </c>
      <c r="P329" s="69" t="s">
        <v>59</v>
      </c>
      <c r="Q329" s="537" t="s">
        <v>1438</v>
      </c>
      <c r="R329" s="335" t="str">
        <f t="shared" ca="1" si="17"/>
        <v>N/A</v>
      </c>
      <c r="S329" s="335" t="str">
        <f t="shared" ca="1" si="18"/>
        <v>N/A</v>
      </c>
      <c r="T329" s="429" t="s">
        <v>712</v>
      </c>
      <c r="U329" s="22" t="s">
        <v>695</v>
      </c>
      <c r="V329" s="24"/>
      <c r="W329" s="21"/>
      <c r="Y329" s="490"/>
    </row>
    <row r="330" spans="1:25" ht="165" hidden="1">
      <c r="A330" s="31">
        <v>327</v>
      </c>
      <c r="B330" s="22" t="s">
        <v>39</v>
      </c>
      <c r="C330" s="22" t="s">
        <v>651</v>
      </c>
      <c r="D330" s="22" t="s">
        <v>716</v>
      </c>
      <c r="E330" s="23">
        <v>1</v>
      </c>
      <c r="F330" s="22" t="s">
        <v>701</v>
      </c>
      <c r="G330" s="22" t="s">
        <v>691</v>
      </c>
      <c r="H330" s="22" t="s">
        <v>30</v>
      </c>
      <c r="I330" s="22" t="s">
        <v>717</v>
      </c>
      <c r="J330" s="22" t="s">
        <v>718</v>
      </c>
      <c r="K330" s="519" t="s">
        <v>1438</v>
      </c>
      <c r="L330" s="521" t="s">
        <v>1481</v>
      </c>
      <c r="M330" s="521" t="s">
        <v>1482</v>
      </c>
      <c r="N330" s="521" t="s">
        <v>815</v>
      </c>
      <c r="O330" s="22" t="s">
        <v>604</v>
      </c>
      <c r="P330" s="69" t="s">
        <v>59</v>
      </c>
      <c r="Q330" s="537" t="s">
        <v>1438</v>
      </c>
      <c r="R330" s="335" t="str">
        <f t="shared" ca="1" si="17"/>
        <v>N/A</v>
      </c>
      <c r="S330" s="335" t="str">
        <f t="shared" ca="1" si="18"/>
        <v>N/A</v>
      </c>
      <c r="T330" s="429" t="s">
        <v>712</v>
      </c>
      <c r="U330" s="22" t="s">
        <v>695</v>
      </c>
      <c r="V330" s="24"/>
      <c r="W330" s="21"/>
      <c r="Y330" s="490"/>
    </row>
    <row r="331" spans="1:25" ht="165" hidden="1">
      <c r="A331" s="31">
        <v>328</v>
      </c>
      <c r="B331" s="22" t="s">
        <v>39</v>
      </c>
      <c r="C331" s="22" t="s">
        <v>651</v>
      </c>
      <c r="D331" s="22" t="s">
        <v>719</v>
      </c>
      <c r="E331" s="23">
        <v>1</v>
      </c>
      <c r="F331" s="22" t="s">
        <v>705</v>
      </c>
      <c r="G331" s="22" t="s">
        <v>691</v>
      </c>
      <c r="H331" s="22" t="s">
        <v>30</v>
      </c>
      <c r="I331" s="22" t="s">
        <v>720</v>
      </c>
      <c r="J331" s="22" t="s">
        <v>721</v>
      </c>
      <c r="K331" s="519" t="s">
        <v>1438</v>
      </c>
      <c r="L331" s="521" t="s">
        <v>1483</v>
      </c>
      <c r="M331" s="521" t="s">
        <v>1484</v>
      </c>
      <c r="N331" s="521" t="s">
        <v>815</v>
      </c>
      <c r="O331" s="22" t="s">
        <v>604</v>
      </c>
      <c r="P331" s="69" t="s">
        <v>59</v>
      </c>
      <c r="Q331" s="537" t="s">
        <v>1438</v>
      </c>
      <c r="R331" s="335" t="str">
        <f t="shared" ca="1" si="17"/>
        <v>N/A</v>
      </c>
      <c r="S331" s="335" t="str">
        <f t="shared" ca="1" si="18"/>
        <v>N/A</v>
      </c>
      <c r="T331" s="429" t="s">
        <v>712</v>
      </c>
      <c r="U331" s="22" t="s">
        <v>695</v>
      </c>
      <c r="V331" s="24"/>
      <c r="W331" s="21"/>
      <c r="Y331" s="490"/>
    </row>
    <row r="332" spans="1:25" ht="150" hidden="1">
      <c r="A332" s="32">
        <v>329</v>
      </c>
      <c r="B332" s="25" t="s">
        <v>39</v>
      </c>
      <c r="C332" s="25" t="s">
        <v>722</v>
      </c>
      <c r="D332" s="25" t="s">
        <v>723</v>
      </c>
      <c r="E332" s="26">
        <v>1</v>
      </c>
      <c r="F332" s="25" t="s">
        <v>724</v>
      </c>
      <c r="G332" s="25" t="s">
        <v>725</v>
      </c>
      <c r="H332" s="25" t="s">
        <v>30</v>
      </c>
      <c r="I332" s="25" t="s">
        <v>726</v>
      </c>
      <c r="J332" s="25" t="s">
        <v>727</v>
      </c>
      <c r="K332" s="519" t="s">
        <v>1438</v>
      </c>
      <c r="L332" s="521" t="s">
        <v>1485</v>
      </c>
      <c r="M332" s="521" t="s">
        <v>1486</v>
      </c>
      <c r="N332" s="523" t="s">
        <v>815</v>
      </c>
      <c r="O332" s="25" t="s">
        <v>604</v>
      </c>
      <c r="P332" s="69" t="s">
        <v>59</v>
      </c>
      <c r="Q332" s="538" t="s">
        <v>1438</v>
      </c>
      <c r="R332" s="335" t="str">
        <f t="shared" ca="1" si="17"/>
        <v>N/A</v>
      </c>
      <c r="S332" s="335" t="str">
        <f t="shared" ca="1" si="18"/>
        <v>N/A</v>
      </c>
      <c r="T332" s="27" t="s">
        <v>730</v>
      </c>
      <c r="U332" s="25" t="s">
        <v>731</v>
      </c>
      <c r="V332" s="28"/>
      <c r="W332" s="27"/>
      <c r="Y332" s="490"/>
    </row>
  </sheetData>
  <autoFilter ref="A2:W332" xr:uid="{DBF9CB31-CDA7-429E-AD0F-4469299D3D09}">
    <filterColumn colId="13">
      <filters>
        <filter val="Y"/>
      </filters>
    </filterColumn>
  </autoFilter>
  <mergeCells count="2">
    <mergeCell ref="A1:A2"/>
    <mergeCell ref="P1:S1"/>
  </mergeCells>
  <printOptions horizontalCentered="1"/>
  <pageMargins left="0.2" right="0.2" top="0.75" bottom="0.75" header="0.3" footer="0.3"/>
  <pageSetup scale="28" fitToHeight="0" orientation="landscape" r:id="rId1"/>
  <headerFooter>
    <oddFooter>&amp;RMay 1, 2019</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2625-2FFE-4D73-B946-0368D2113E98}">
  <sheetPr filterMode="1">
    <tabColor rgb="FF00B0F0"/>
    <pageSetUpPr fitToPage="1"/>
  </sheetPr>
  <dimension ref="A1:T333"/>
  <sheetViews>
    <sheetView showGridLines="0" zoomScale="70" zoomScaleNormal="70" zoomScaleSheetLayoutView="100" workbookViewId="0">
      <pane xSplit="9" ySplit="2" topLeftCell="J332" activePane="bottomRight" state="frozen"/>
      <selection activeCell="F32" sqref="F32"/>
      <selection pane="topRight" activeCell="F32" sqref="F32"/>
      <selection pane="bottomLeft" activeCell="F32" sqref="F32"/>
      <selection pane="bottomRight" activeCell="N314" sqref="N314"/>
    </sheetView>
  </sheetViews>
  <sheetFormatPr defaultColWidth="49.7109375" defaultRowHeight="15"/>
  <cols>
    <col min="1" max="1" width="13.42578125" style="15" customWidth="1"/>
    <col min="2" max="2" width="6.7109375" style="13" customWidth="1"/>
    <col min="3" max="3" width="5.28515625" style="13" customWidth="1"/>
    <col min="4" max="4" width="6.85546875" style="13" customWidth="1"/>
    <col min="5" max="5" width="7.28515625" style="15" customWidth="1"/>
    <col min="6" max="6" width="14.7109375" style="15" customWidth="1"/>
    <col min="7" max="7" width="20.7109375" style="13" customWidth="1"/>
    <col min="8" max="8" width="11.7109375" style="13" customWidth="1"/>
    <col min="9" max="9" width="46.85546875" style="13" customWidth="1"/>
    <col min="10" max="10" width="32.85546875" style="13" customWidth="1"/>
    <col min="11" max="11" width="21.85546875" style="750" customWidth="1"/>
    <col min="12" max="12" width="21.85546875" style="13" customWidth="1"/>
    <col min="13" max="13" width="11.85546875" style="16" customWidth="1"/>
    <col min="14" max="14" width="24" style="762" customWidth="1"/>
    <col min="15" max="15" width="20.42578125" style="428" customWidth="1"/>
    <col min="16" max="16" width="20.42578125" style="527" customWidth="1"/>
    <col min="17" max="17" width="45.28515625" style="16" customWidth="1"/>
    <col min="18" max="18" width="34.140625" style="13" customWidth="1"/>
    <col min="19" max="19" width="25.7109375" style="13" customWidth="1"/>
    <col min="20" max="20" width="10.42578125" style="13" customWidth="1"/>
    <col min="21" max="16384" width="49.7109375" style="14"/>
  </cols>
  <sheetData>
    <row r="1" spans="1:20" ht="15" customHeight="1">
      <c r="A1" s="763" t="s">
        <v>16</v>
      </c>
      <c r="M1" s="764"/>
      <c r="N1" s="765"/>
      <c r="O1" s="766"/>
      <c r="P1" s="767"/>
    </row>
    <row r="2" spans="1:20" s="18" customFormat="1" ht="34.5">
      <c r="A2" s="763"/>
      <c r="B2" s="749" t="s">
        <v>22</v>
      </c>
      <c r="C2" s="749" t="s">
        <v>23</v>
      </c>
      <c r="D2" s="749" t="s">
        <v>24</v>
      </c>
      <c r="E2" s="333" t="s">
        <v>25</v>
      </c>
      <c r="F2" s="333" t="s">
        <v>26</v>
      </c>
      <c r="G2" s="333" t="s">
        <v>27</v>
      </c>
      <c r="H2" s="333" t="s">
        <v>28</v>
      </c>
      <c r="I2" s="333" t="s">
        <v>29</v>
      </c>
      <c r="J2" s="333" t="s">
        <v>30</v>
      </c>
      <c r="K2" s="751" t="s">
        <v>807</v>
      </c>
      <c r="L2" s="752" t="s">
        <v>31</v>
      </c>
      <c r="M2" s="753" t="s">
        <v>32</v>
      </c>
      <c r="N2" s="754" t="s">
        <v>2144</v>
      </c>
      <c r="O2" s="370" t="s">
        <v>2145</v>
      </c>
      <c r="P2" s="525" t="s">
        <v>2146</v>
      </c>
      <c r="Q2" s="333" t="s">
        <v>35</v>
      </c>
      <c r="R2" s="333" t="s">
        <v>36</v>
      </c>
      <c r="S2" s="333" t="s">
        <v>37</v>
      </c>
      <c r="T2" s="334" t="s">
        <v>38</v>
      </c>
    </row>
    <row r="3" spans="1:20" s="18" customFormat="1" ht="45" hidden="1">
      <c r="A3" s="30">
        <v>0</v>
      </c>
      <c r="B3" s="19" t="s">
        <v>39</v>
      </c>
      <c r="C3" s="19" t="s">
        <v>40</v>
      </c>
      <c r="D3" s="19" t="s">
        <v>41</v>
      </c>
      <c r="E3" s="20" t="s">
        <v>42</v>
      </c>
      <c r="F3" s="19" t="s">
        <v>43</v>
      </c>
      <c r="G3" s="19" t="s">
        <v>44</v>
      </c>
      <c r="H3" s="19" t="s">
        <v>30</v>
      </c>
      <c r="I3" s="19" t="s">
        <v>45</v>
      </c>
      <c r="J3" s="19" t="s">
        <v>46</v>
      </c>
      <c r="K3" s="755" t="s">
        <v>2107</v>
      </c>
      <c r="L3" s="19" t="s">
        <v>47</v>
      </c>
      <c r="M3" s="429">
        <v>2021</v>
      </c>
      <c r="N3" s="780">
        <v>13909.089690152905</v>
      </c>
      <c r="O3" s="756">
        <v>0</v>
      </c>
      <c r="P3" s="335">
        <v>0</v>
      </c>
      <c r="Q3" s="19"/>
      <c r="R3" s="19" t="s">
        <v>49</v>
      </c>
      <c r="S3" s="24" t="s">
        <v>2108</v>
      </c>
      <c r="T3" s="21"/>
    </row>
    <row r="4" spans="1:20" ht="45" hidden="1">
      <c r="A4" s="30">
        <v>1</v>
      </c>
      <c r="B4" s="19" t="s">
        <v>39</v>
      </c>
      <c r="C4" s="19" t="s">
        <v>50</v>
      </c>
      <c r="D4" s="19" t="s">
        <v>41</v>
      </c>
      <c r="E4" s="20" t="s">
        <v>51</v>
      </c>
      <c r="F4" s="19" t="s">
        <v>52</v>
      </c>
      <c r="G4" s="19" t="s">
        <v>53</v>
      </c>
      <c r="H4" s="19" t="s">
        <v>30</v>
      </c>
      <c r="I4" s="19" t="s">
        <v>54</v>
      </c>
      <c r="J4" s="22" t="s">
        <v>52</v>
      </c>
      <c r="K4" s="755" t="s">
        <v>2109</v>
      </c>
      <c r="L4" s="19" t="s">
        <v>47</v>
      </c>
      <c r="M4" s="429">
        <v>2021</v>
      </c>
      <c r="N4" s="780">
        <v>15503.688943589319</v>
      </c>
      <c r="O4" s="756">
        <v>0</v>
      </c>
      <c r="P4" s="335">
        <v>0</v>
      </c>
      <c r="Q4" s="22" t="s">
        <v>48</v>
      </c>
      <c r="R4" s="19"/>
      <c r="S4" s="29"/>
      <c r="T4" s="21"/>
    </row>
    <row r="5" spans="1:20" ht="45" hidden="1">
      <c r="A5" s="31">
        <v>2</v>
      </c>
      <c r="B5" s="22" t="s">
        <v>39</v>
      </c>
      <c r="C5" s="22" t="s">
        <v>50</v>
      </c>
      <c r="D5" s="22" t="s">
        <v>41</v>
      </c>
      <c r="E5" s="23" t="s">
        <v>51</v>
      </c>
      <c r="F5" s="22" t="s">
        <v>55</v>
      </c>
      <c r="G5" s="22" t="s">
        <v>53</v>
      </c>
      <c r="H5" s="22" t="s">
        <v>30</v>
      </c>
      <c r="I5" s="22" t="s">
        <v>54</v>
      </c>
      <c r="J5" s="22" t="s">
        <v>55</v>
      </c>
      <c r="K5" s="755" t="s">
        <v>2109</v>
      </c>
      <c r="L5" s="22" t="s">
        <v>47</v>
      </c>
      <c r="M5" s="429">
        <v>2021</v>
      </c>
      <c r="N5" s="780">
        <v>13165.070359019179</v>
      </c>
      <c r="O5" s="756">
        <v>0</v>
      </c>
      <c r="P5" s="335">
        <v>0</v>
      </c>
      <c r="Q5" s="22" t="s">
        <v>48</v>
      </c>
      <c r="R5" s="22"/>
      <c r="S5" s="24"/>
      <c r="T5" s="21"/>
    </row>
    <row r="6" spans="1:20" ht="45" hidden="1">
      <c r="A6" s="31">
        <v>3</v>
      </c>
      <c r="B6" s="22" t="s">
        <v>39</v>
      </c>
      <c r="C6" s="22" t="s">
        <v>50</v>
      </c>
      <c r="D6" s="22" t="s">
        <v>41</v>
      </c>
      <c r="E6" s="23" t="s">
        <v>51</v>
      </c>
      <c r="F6" s="22" t="s">
        <v>56</v>
      </c>
      <c r="G6" s="22" t="s">
        <v>53</v>
      </c>
      <c r="H6" s="22" t="s">
        <v>30</v>
      </c>
      <c r="I6" s="22" t="s">
        <v>54</v>
      </c>
      <c r="J6" s="22" t="s">
        <v>56</v>
      </c>
      <c r="K6" s="755" t="s">
        <v>2109</v>
      </c>
      <c r="L6" s="22" t="s">
        <v>47</v>
      </c>
      <c r="M6" s="429">
        <v>2021</v>
      </c>
      <c r="N6" s="780">
        <v>83775915.125015244</v>
      </c>
      <c r="O6" s="756">
        <v>0</v>
      </c>
      <c r="P6" s="335">
        <v>0</v>
      </c>
      <c r="Q6" s="22" t="s">
        <v>48</v>
      </c>
      <c r="R6" s="22"/>
      <c r="S6" s="24"/>
      <c r="T6" s="21"/>
    </row>
    <row r="7" spans="1:20" ht="45" hidden="1">
      <c r="A7" s="31">
        <v>4</v>
      </c>
      <c r="B7" s="22" t="s">
        <v>39</v>
      </c>
      <c r="C7" s="22" t="s">
        <v>50</v>
      </c>
      <c r="D7" s="22" t="s">
        <v>41</v>
      </c>
      <c r="E7" s="23" t="s">
        <v>51</v>
      </c>
      <c r="F7" s="22" t="s">
        <v>57</v>
      </c>
      <c r="G7" s="22" t="s">
        <v>53</v>
      </c>
      <c r="H7" s="22" t="s">
        <v>30</v>
      </c>
      <c r="I7" s="22" t="s">
        <v>54</v>
      </c>
      <c r="J7" s="22" t="s">
        <v>57</v>
      </c>
      <c r="K7" s="755" t="s">
        <v>2109</v>
      </c>
      <c r="L7" s="22" t="s">
        <v>47</v>
      </c>
      <c r="M7" s="429">
        <v>2021</v>
      </c>
      <c r="N7" s="780">
        <v>74953647.643607348</v>
      </c>
      <c r="O7" s="756">
        <v>0</v>
      </c>
      <c r="P7" s="335">
        <v>0</v>
      </c>
      <c r="Q7" s="22" t="s">
        <v>48</v>
      </c>
      <c r="R7" s="22"/>
      <c r="S7" s="24"/>
      <c r="T7" s="21"/>
    </row>
    <row r="8" spans="1:20" ht="45" hidden="1">
      <c r="A8" s="31">
        <v>5</v>
      </c>
      <c r="B8" s="22" t="s">
        <v>39</v>
      </c>
      <c r="C8" s="22" t="s">
        <v>50</v>
      </c>
      <c r="D8" s="22" t="s">
        <v>41</v>
      </c>
      <c r="E8" s="23" t="s">
        <v>51</v>
      </c>
      <c r="F8" s="22" t="s">
        <v>58</v>
      </c>
      <c r="G8" s="22" t="s">
        <v>53</v>
      </c>
      <c r="H8" s="22" t="s">
        <v>30</v>
      </c>
      <c r="I8" s="22" t="s">
        <v>54</v>
      </c>
      <c r="J8" s="22" t="s">
        <v>58</v>
      </c>
      <c r="K8" s="755" t="s">
        <v>2109</v>
      </c>
      <c r="L8" s="22" t="s">
        <v>47</v>
      </c>
      <c r="M8" s="429">
        <v>2021</v>
      </c>
      <c r="N8" s="780">
        <v>3628218.8727099746</v>
      </c>
      <c r="O8" s="66">
        <v>0</v>
      </c>
      <c r="P8" s="67">
        <v>0</v>
      </c>
      <c r="Q8" s="22" t="s">
        <v>48</v>
      </c>
      <c r="R8" s="22" t="s">
        <v>49</v>
      </c>
      <c r="S8" s="24"/>
      <c r="T8" s="21"/>
    </row>
    <row r="9" spans="1:20" ht="45" hidden="1">
      <c r="A9" s="31">
        <v>6</v>
      </c>
      <c r="B9" s="22" t="s">
        <v>39</v>
      </c>
      <c r="C9" s="22" t="s">
        <v>50</v>
      </c>
      <c r="D9" s="22" t="s">
        <v>41</v>
      </c>
      <c r="E9" s="23" t="s">
        <v>51</v>
      </c>
      <c r="F9" s="22" t="s">
        <v>60</v>
      </c>
      <c r="G9" s="22" t="s">
        <v>53</v>
      </c>
      <c r="H9" s="22" t="s">
        <v>30</v>
      </c>
      <c r="I9" s="22" t="s">
        <v>54</v>
      </c>
      <c r="J9" s="22" t="s">
        <v>60</v>
      </c>
      <c r="K9" s="755" t="s">
        <v>2109</v>
      </c>
      <c r="L9" s="22" t="s">
        <v>47</v>
      </c>
      <c r="M9" s="429">
        <v>2021</v>
      </c>
      <c r="N9" s="780">
        <v>2801901.2312931735</v>
      </c>
      <c r="O9" s="66">
        <v>0</v>
      </c>
      <c r="P9" s="67">
        <v>0</v>
      </c>
      <c r="Q9" s="22" t="s">
        <v>48</v>
      </c>
      <c r="R9" s="22" t="s">
        <v>49</v>
      </c>
      <c r="S9" s="24"/>
      <c r="T9" s="21"/>
    </row>
    <row r="10" spans="1:20" ht="45" hidden="1">
      <c r="A10" s="31">
        <v>7</v>
      </c>
      <c r="B10" s="22" t="s">
        <v>39</v>
      </c>
      <c r="C10" s="22" t="s">
        <v>50</v>
      </c>
      <c r="D10" s="22" t="s">
        <v>41</v>
      </c>
      <c r="E10" s="23" t="s">
        <v>51</v>
      </c>
      <c r="F10" s="22" t="s">
        <v>61</v>
      </c>
      <c r="G10" s="22" t="s">
        <v>53</v>
      </c>
      <c r="H10" s="22" t="s">
        <v>30</v>
      </c>
      <c r="I10" s="22" t="s">
        <v>54</v>
      </c>
      <c r="J10" s="22" t="s">
        <v>61</v>
      </c>
      <c r="K10" s="755" t="s">
        <v>2109</v>
      </c>
      <c r="L10" s="22" t="s">
        <v>47</v>
      </c>
      <c r="M10" s="429">
        <v>2021</v>
      </c>
      <c r="N10" s="780">
        <v>113656.46164690032</v>
      </c>
      <c r="O10" s="756">
        <v>0</v>
      </c>
      <c r="P10" s="335">
        <v>0</v>
      </c>
      <c r="Q10" s="22" t="s">
        <v>48</v>
      </c>
      <c r="R10" s="22"/>
      <c r="S10" s="24"/>
      <c r="T10" s="21"/>
    </row>
    <row r="11" spans="1:20" ht="45" hidden="1">
      <c r="A11" s="31">
        <v>8</v>
      </c>
      <c r="B11" s="22" t="s">
        <v>39</v>
      </c>
      <c r="C11" s="22" t="s">
        <v>50</v>
      </c>
      <c r="D11" s="22" t="s">
        <v>41</v>
      </c>
      <c r="E11" s="23" t="s">
        <v>51</v>
      </c>
      <c r="F11" s="22" t="s">
        <v>62</v>
      </c>
      <c r="G11" s="22" t="s">
        <v>53</v>
      </c>
      <c r="H11" s="22" t="s">
        <v>30</v>
      </c>
      <c r="I11" s="22" t="s">
        <v>54</v>
      </c>
      <c r="J11" s="22" t="s">
        <v>62</v>
      </c>
      <c r="K11" s="755" t="s">
        <v>2109</v>
      </c>
      <c r="L11" s="22" t="s">
        <v>47</v>
      </c>
      <c r="M11" s="429">
        <v>2021</v>
      </c>
      <c r="N11" s="780">
        <v>82591.919571197563</v>
      </c>
      <c r="O11" s="756">
        <v>0</v>
      </c>
      <c r="P11" s="335">
        <v>0</v>
      </c>
      <c r="Q11" s="22" t="s">
        <v>48</v>
      </c>
      <c r="R11" s="22"/>
      <c r="S11" s="24"/>
      <c r="T11" s="21"/>
    </row>
    <row r="12" spans="1:20" ht="45" hidden="1">
      <c r="A12" s="31">
        <v>9</v>
      </c>
      <c r="B12" s="22" t="s">
        <v>39</v>
      </c>
      <c r="C12" s="22" t="s">
        <v>50</v>
      </c>
      <c r="D12" s="22" t="s">
        <v>41</v>
      </c>
      <c r="E12" s="23" t="s">
        <v>51</v>
      </c>
      <c r="F12" s="22" t="s">
        <v>63</v>
      </c>
      <c r="G12" s="22" t="s">
        <v>53</v>
      </c>
      <c r="H12" s="22" t="s">
        <v>30</v>
      </c>
      <c r="I12" s="22" t="s">
        <v>54</v>
      </c>
      <c r="J12" s="22" t="s">
        <v>63</v>
      </c>
      <c r="K12" s="755" t="s">
        <v>2109</v>
      </c>
      <c r="L12" s="22" t="s">
        <v>47</v>
      </c>
      <c r="M12" s="429">
        <v>2021</v>
      </c>
      <c r="N12" s="780">
        <v>417357893.1534391</v>
      </c>
      <c r="O12" s="756">
        <v>0</v>
      </c>
      <c r="P12" s="335">
        <v>0</v>
      </c>
      <c r="Q12" s="22" t="s">
        <v>48</v>
      </c>
      <c r="R12" s="22"/>
      <c r="S12" s="24"/>
      <c r="T12" s="21"/>
    </row>
    <row r="13" spans="1:20" ht="45" hidden="1">
      <c r="A13" s="31">
        <v>10</v>
      </c>
      <c r="B13" s="22" t="s">
        <v>39</v>
      </c>
      <c r="C13" s="22" t="s">
        <v>50</v>
      </c>
      <c r="D13" s="22" t="s">
        <v>41</v>
      </c>
      <c r="E13" s="23" t="s">
        <v>51</v>
      </c>
      <c r="F13" s="22" t="s">
        <v>64</v>
      </c>
      <c r="G13" s="22" t="s">
        <v>53</v>
      </c>
      <c r="H13" s="22" t="s">
        <v>30</v>
      </c>
      <c r="I13" s="22" t="s">
        <v>54</v>
      </c>
      <c r="J13" s="22" t="s">
        <v>64</v>
      </c>
      <c r="K13" s="755" t="s">
        <v>2109</v>
      </c>
      <c r="L13" s="22" t="s">
        <v>47</v>
      </c>
      <c r="M13" s="429">
        <v>2021</v>
      </c>
      <c r="N13" s="780">
        <v>317861282.74625093</v>
      </c>
      <c r="O13" s="756">
        <v>0</v>
      </c>
      <c r="P13" s="335">
        <v>0</v>
      </c>
      <c r="Q13" s="22" t="s">
        <v>48</v>
      </c>
      <c r="R13" s="22"/>
      <c r="S13" s="24"/>
      <c r="T13" s="21"/>
    </row>
    <row r="14" spans="1:20" ht="45" hidden="1">
      <c r="A14" s="31">
        <v>11</v>
      </c>
      <c r="B14" s="22" t="s">
        <v>39</v>
      </c>
      <c r="C14" s="22" t="s">
        <v>50</v>
      </c>
      <c r="D14" s="22" t="s">
        <v>41</v>
      </c>
      <c r="E14" s="23" t="s">
        <v>51</v>
      </c>
      <c r="F14" s="22" t="s">
        <v>65</v>
      </c>
      <c r="G14" s="22" t="s">
        <v>53</v>
      </c>
      <c r="H14" s="22" t="s">
        <v>30</v>
      </c>
      <c r="I14" s="22" t="s">
        <v>54</v>
      </c>
      <c r="J14" s="22" t="s">
        <v>65</v>
      </c>
      <c r="K14" s="755" t="s">
        <v>2109</v>
      </c>
      <c r="L14" s="22" t="s">
        <v>47</v>
      </c>
      <c r="M14" s="429">
        <v>2021</v>
      </c>
      <c r="N14" s="780">
        <v>26799047.356759451</v>
      </c>
      <c r="O14" s="66">
        <v>0</v>
      </c>
      <c r="P14" s="67">
        <v>0</v>
      </c>
      <c r="Q14" s="22" t="s">
        <v>48</v>
      </c>
      <c r="R14" s="22" t="s">
        <v>49</v>
      </c>
      <c r="S14" s="24"/>
      <c r="T14" s="21"/>
    </row>
    <row r="15" spans="1:20" ht="45" hidden="1">
      <c r="A15" s="31">
        <v>12</v>
      </c>
      <c r="B15" s="22" t="s">
        <v>39</v>
      </c>
      <c r="C15" s="22" t="s">
        <v>50</v>
      </c>
      <c r="D15" s="22" t="s">
        <v>41</v>
      </c>
      <c r="E15" s="23" t="s">
        <v>51</v>
      </c>
      <c r="F15" s="22" t="s">
        <v>66</v>
      </c>
      <c r="G15" s="22" t="s">
        <v>53</v>
      </c>
      <c r="H15" s="22" t="s">
        <v>30</v>
      </c>
      <c r="I15" s="22" t="s">
        <v>54</v>
      </c>
      <c r="J15" s="22" t="s">
        <v>66</v>
      </c>
      <c r="K15" s="755" t="s">
        <v>2109</v>
      </c>
      <c r="L15" s="22" t="s">
        <v>47</v>
      </c>
      <c r="M15" s="429">
        <v>2021</v>
      </c>
      <c r="N15" s="780">
        <v>18119908.611436103</v>
      </c>
      <c r="O15" s="66">
        <v>0</v>
      </c>
      <c r="P15" s="67">
        <v>0</v>
      </c>
      <c r="Q15" s="22" t="s">
        <v>48</v>
      </c>
      <c r="R15" s="22" t="s">
        <v>49</v>
      </c>
      <c r="S15" s="24"/>
      <c r="T15" s="21"/>
    </row>
    <row r="16" spans="1:20" ht="45" hidden="1">
      <c r="A16" s="31">
        <v>13</v>
      </c>
      <c r="B16" s="22" t="s">
        <v>39</v>
      </c>
      <c r="C16" s="22" t="s">
        <v>50</v>
      </c>
      <c r="D16" s="22" t="s">
        <v>67</v>
      </c>
      <c r="E16" s="23" t="s">
        <v>68</v>
      </c>
      <c r="F16" s="22" t="s">
        <v>52</v>
      </c>
      <c r="G16" s="22" t="s">
        <v>69</v>
      </c>
      <c r="H16" s="22" t="s">
        <v>30</v>
      </c>
      <c r="I16" s="22" t="s">
        <v>70</v>
      </c>
      <c r="J16" s="22" t="s">
        <v>71</v>
      </c>
      <c r="K16" s="755" t="s">
        <v>2110</v>
      </c>
      <c r="L16" s="22" t="s">
        <v>47</v>
      </c>
      <c r="M16" s="429">
        <v>2021</v>
      </c>
      <c r="N16" s="780">
        <v>119.86782892385489</v>
      </c>
      <c r="O16" s="756">
        <v>0</v>
      </c>
      <c r="P16" s="335">
        <v>0</v>
      </c>
      <c r="Q16" s="22"/>
      <c r="R16" s="22"/>
      <c r="S16" s="24"/>
      <c r="T16" s="21"/>
    </row>
    <row r="17" spans="1:20" ht="45" hidden="1">
      <c r="A17" s="31">
        <v>14</v>
      </c>
      <c r="B17" s="22" t="s">
        <v>39</v>
      </c>
      <c r="C17" s="22" t="s">
        <v>50</v>
      </c>
      <c r="D17" s="22" t="s">
        <v>67</v>
      </c>
      <c r="E17" s="23" t="s">
        <v>68</v>
      </c>
      <c r="F17" s="22" t="s">
        <v>55</v>
      </c>
      <c r="G17" s="22" t="s">
        <v>69</v>
      </c>
      <c r="H17" s="22" t="s">
        <v>30</v>
      </c>
      <c r="I17" s="22" t="s">
        <v>70</v>
      </c>
      <c r="J17" s="22" t="s">
        <v>72</v>
      </c>
      <c r="K17" s="755" t="s">
        <v>2110</v>
      </c>
      <c r="L17" s="22" t="s">
        <v>47</v>
      </c>
      <c r="M17" s="429">
        <v>2021</v>
      </c>
      <c r="N17" s="780">
        <v>98.268089910008712</v>
      </c>
      <c r="O17" s="756">
        <v>0</v>
      </c>
      <c r="P17" s="335">
        <v>0</v>
      </c>
      <c r="Q17" s="22"/>
      <c r="R17" s="22"/>
      <c r="S17" s="24"/>
      <c r="T17" s="21"/>
    </row>
    <row r="18" spans="1:20" ht="45" hidden="1">
      <c r="A18" s="31">
        <v>15</v>
      </c>
      <c r="B18" s="22" t="s">
        <v>39</v>
      </c>
      <c r="C18" s="22" t="s">
        <v>50</v>
      </c>
      <c r="D18" s="22" t="s">
        <v>67</v>
      </c>
      <c r="E18" s="23" t="s">
        <v>68</v>
      </c>
      <c r="F18" s="22" t="s">
        <v>56</v>
      </c>
      <c r="G18" s="22" t="s">
        <v>69</v>
      </c>
      <c r="H18" s="22" t="s">
        <v>30</v>
      </c>
      <c r="I18" s="22" t="s">
        <v>70</v>
      </c>
      <c r="J18" s="22" t="s">
        <v>73</v>
      </c>
      <c r="K18" s="755" t="s">
        <v>2110</v>
      </c>
      <c r="L18" s="22" t="s">
        <v>47</v>
      </c>
      <c r="M18" s="429">
        <v>2021</v>
      </c>
      <c r="N18" s="780">
        <v>952500.30260660627</v>
      </c>
      <c r="O18" s="756">
        <v>0</v>
      </c>
      <c r="P18" s="335">
        <v>0</v>
      </c>
      <c r="Q18" s="22"/>
      <c r="R18" s="22"/>
      <c r="S18" s="24"/>
      <c r="T18" s="21"/>
    </row>
    <row r="19" spans="1:20" ht="45" hidden="1">
      <c r="A19" s="31">
        <v>16</v>
      </c>
      <c r="B19" s="22" t="s">
        <v>39</v>
      </c>
      <c r="C19" s="22" t="s">
        <v>50</v>
      </c>
      <c r="D19" s="22" t="s">
        <v>67</v>
      </c>
      <c r="E19" s="23" t="s">
        <v>68</v>
      </c>
      <c r="F19" s="22" t="s">
        <v>57</v>
      </c>
      <c r="G19" s="22" t="s">
        <v>69</v>
      </c>
      <c r="H19" s="22" t="s">
        <v>30</v>
      </c>
      <c r="I19" s="22" t="s">
        <v>70</v>
      </c>
      <c r="J19" s="22" t="s">
        <v>74</v>
      </c>
      <c r="K19" s="755" t="s">
        <v>2110</v>
      </c>
      <c r="L19" s="22" t="s">
        <v>47</v>
      </c>
      <c r="M19" s="429">
        <v>2021</v>
      </c>
      <c r="N19" s="780">
        <v>798826.68871966167</v>
      </c>
      <c r="O19" s="756">
        <v>0</v>
      </c>
      <c r="P19" s="335">
        <v>0</v>
      </c>
      <c r="Q19" s="22"/>
      <c r="R19" s="22"/>
      <c r="S19" s="24"/>
      <c r="T19" s="21"/>
    </row>
    <row r="20" spans="1:20" ht="60" hidden="1">
      <c r="A20" s="31">
        <v>17</v>
      </c>
      <c r="B20" s="22" t="s">
        <v>39</v>
      </c>
      <c r="C20" s="22" t="s">
        <v>50</v>
      </c>
      <c r="D20" s="22" t="s">
        <v>67</v>
      </c>
      <c r="E20" s="23" t="s">
        <v>68</v>
      </c>
      <c r="F20" s="22" t="s">
        <v>58</v>
      </c>
      <c r="G20" s="22" t="s">
        <v>69</v>
      </c>
      <c r="H20" s="22" t="s">
        <v>30</v>
      </c>
      <c r="I20" s="22" t="s">
        <v>70</v>
      </c>
      <c r="J20" s="22" t="s">
        <v>75</v>
      </c>
      <c r="K20" s="755" t="s">
        <v>2110</v>
      </c>
      <c r="L20" s="22" t="s">
        <v>47</v>
      </c>
      <c r="M20" s="429">
        <v>2021</v>
      </c>
      <c r="N20" s="780">
        <v>44926.468624972251</v>
      </c>
      <c r="O20" s="66">
        <v>0</v>
      </c>
      <c r="P20" s="67">
        <v>0</v>
      </c>
      <c r="Q20" s="22" t="s">
        <v>59</v>
      </c>
      <c r="R20" s="22" t="s">
        <v>1497</v>
      </c>
      <c r="S20" s="24"/>
      <c r="T20" s="21"/>
    </row>
    <row r="21" spans="1:20" ht="60" hidden="1">
      <c r="A21" s="31">
        <v>18</v>
      </c>
      <c r="B21" s="22" t="s">
        <v>39</v>
      </c>
      <c r="C21" s="22" t="s">
        <v>50</v>
      </c>
      <c r="D21" s="22" t="s">
        <v>67</v>
      </c>
      <c r="E21" s="23" t="s">
        <v>68</v>
      </c>
      <c r="F21" s="22" t="s">
        <v>60</v>
      </c>
      <c r="G21" s="22" t="s">
        <v>69</v>
      </c>
      <c r="H21" s="22" t="s">
        <v>30</v>
      </c>
      <c r="I21" s="22" t="s">
        <v>70</v>
      </c>
      <c r="J21" s="22" t="s">
        <v>76</v>
      </c>
      <c r="K21" s="755" t="s">
        <v>2110</v>
      </c>
      <c r="L21" s="22" t="s">
        <v>47</v>
      </c>
      <c r="M21" s="429">
        <v>2021</v>
      </c>
      <c r="N21" s="780">
        <v>40823.678343138941</v>
      </c>
      <c r="O21" s="66">
        <v>0</v>
      </c>
      <c r="P21" s="67">
        <v>0</v>
      </c>
      <c r="Q21" s="22" t="s">
        <v>59</v>
      </c>
      <c r="R21" s="22" t="s">
        <v>1497</v>
      </c>
      <c r="S21" s="24"/>
      <c r="T21" s="21"/>
    </row>
    <row r="22" spans="1:20" ht="45" hidden="1">
      <c r="A22" s="31">
        <v>19</v>
      </c>
      <c r="B22" s="22" t="s">
        <v>39</v>
      </c>
      <c r="C22" s="22" t="s">
        <v>50</v>
      </c>
      <c r="D22" s="22" t="s">
        <v>67</v>
      </c>
      <c r="E22" s="23" t="s">
        <v>68</v>
      </c>
      <c r="F22" s="22" t="s">
        <v>61</v>
      </c>
      <c r="G22" s="22" t="s">
        <v>69</v>
      </c>
      <c r="H22" s="22" t="s">
        <v>30</v>
      </c>
      <c r="I22" s="22" t="s">
        <v>70</v>
      </c>
      <c r="J22" s="22" t="s">
        <v>77</v>
      </c>
      <c r="K22" s="755" t="s">
        <v>2110</v>
      </c>
      <c r="L22" s="22" t="s">
        <v>47</v>
      </c>
      <c r="M22" s="429">
        <v>2021</v>
      </c>
      <c r="N22" s="780">
        <v>715.69793776193637</v>
      </c>
      <c r="O22" s="756">
        <v>0</v>
      </c>
      <c r="P22" s="335">
        <v>0</v>
      </c>
      <c r="Q22" s="22"/>
      <c r="R22" s="22"/>
      <c r="S22" s="24"/>
      <c r="T22" s="21"/>
    </row>
    <row r="23" spans="1:20" ht="45" hidden="1">
      <c r="A23" s="31">
        <v>20</v>
      </c>
      <c r="B23" s="22" t="s">
        <v>39</v>
      </c>
      <c r="C23" s="22" t="s">
        <v>50</v>
      </c>
      <c r="D23" s="22" t="s">
        <v>67</v>
      </c>
      <c r="E23" s="23" t="s">
        <v>68</v>
      </c>
      <c r="F23" s="22" t="s">
        <v>62</v>
      </c>
      <c r="G23" s="22" t="s">
        <v>69</v>
      </c>
      <c r="H23" s="22" t="s">
        <v>30</v>
      </c>
      <c r="I23" s="22" t="s">
        <v>70</v>
      </c>
      <c r="J23" s="22" t="s">
        <v>78</v>
      </c>
      <c r="K23" s="755" t="s">
        <v>2110</v>
      </c>
      <c r="L23" s="22" t="s">
        <v>47</v>
      </c>
      <c r="M23" s="429">
        <v>2021</v>
      </c>
      <c r="N23" s="780">
        <v>589.1050072071248</v>
      </c>
      <c r="O23" s="756">
        <v>0</v>
      </c>
      <c r="P23" s="335">
        <v>0</v>
      </c>
      <c r="Q23" s="22"/>
      <c r="R23" s="22"/>
      <c r="S23" s="24"/>
      <c r="T23" s="21"/>
    </row>
    <row r="24" spans="1:20" ht="45" hidden="1">
      <c r="A24" s="31">
        <v>21</v>
      </c>
      <c r="B24" s="22" t="s">
        <v>39</v>
      </c>
      <c r="C24" s="22" t="s">
        <v>50</v>
      </c>
      <c r="D24" s="22" t="s">
        <v>67</v>
      </c>
      <c r="E24" s="23" t="s">
        <v>68</v>
      </c>
      <c r="F24" s="22" t="s">
        <v>63</v>
      </c>
      <c r="G24" s="22" t="s">
        <v>69</v>
      </c>
      <c r="H24" s="22" t="s">
        <v>30</v>
      </c>
      <c r="I24" s="22" t="s">
        <v>70</v>
      </c>
      <c r="J24" s="22" t="s">
        <v>79</v>
      </c>
      <c r="K24" s="755" t="s">
        <v>2110</v>
      </c>
      <c r="L24" s="22" t="s">
        <v>47</v>
      </c>
      <c r="M24" s="429">
        <v>2021</v>
      </c>
      <c r="N24" s="780">
        <v>5055362.0642964551</v>
      </c>
      <c r="O24" s="756">
        <v>0</v>
      </c>
      <c r="P24" s="335">
        <v>0</v>
      </c>
      <c r="Q24" s="22"/>
      <c r="R24" s="22"/>
      <c r="S24" s="24"/>
      <c r="T24" s="21"/>
    </row>
    <row r="25" spans="1:20" ht="45" hidden="1">
      <c r="A25" s="31">
        <v>22</v>
      </c>
      <c r="B25" s="22" t="s">
        <v>39</v>
      </c>
      <c r="C25" s="22" t="s">
        <v>50</v>
      </c>
      <c r="D25" s="22" t="s">
        <v>67</v>
      </c>
      <c r="E25" s="23" t="s">
        <v>68</v>
      </c>
      <c r="F25" s="22" t="s">
        <v>64</v>
      </c>
      <c r="G25" s="22" t="s">
        <v>69</v>
      </c>
      <c r="H25" s="22" t="s">
        <v>30</v>
      </c>
      <c r="I25" s="22" t="s">
        <v>70</v>
      </c>
      <c r="J25" s="22" t="s">
        <v>80</v>
      </c>
      <c r="K25" s="755" t="s">
        <v>2110</v>
      </c>
      <c r="L25" s="22" t="s">
        <v>47</v>
      </c>
      <c r="M25" s="429">
        <v>2021</v>
      </c>
      <c r="N25" s="780">
        <v>4245994.4595415313</v>
      </c>
      <c r="O25" s="756">
        <v>0</v>
      </c>
      <c r="P25" s="335">
        <v>0</v>
      </c>
      <c r="Q25" s="22"/>
      <c r="R25" s="22"/>
      <c r="S25" s="24"/>
      <c r="T25" s="21"/>
    </row>
    <row r="26" spans="1:20" ht="60" hidden="1">
      <c r="A26" s="31">
        <v>23</v>
      </c>
      <c r="B26" s="22" t="s">
        <v>39</v>
      </c>
      <c r="C26" s="22" t="s">
        <v>50</v>
      </c>
      <c r="D26" s="22" t="s">
        <v>67</v>
      </c>
      <c r="E26" s="23" t="s">
        <v>68</v>
      </c>
      <c r="F26" s="22" t="s">
        <v>65</v>
      </c>
      <c r="G26" s="22" t="s">
        <v>69</v>
      </c>
      <c r="H26" s="22" t="s">
        <v>30</v>
      </c>
      <c r="I26" s="22" t="s">
        <v>70</v>
      </c>
      <c r="J26" s="22" t="s">
        <v>81</v>
      </c>
      <c r="K26" s="755" t="s">
        <v>2110</v>
      </c>
      <c r="L26" s="22" t="s">
        <v>47</v>
      </c>
      <c r="M26" s="429">
        <v>2021</v>
      </c>
      <c r="N26" s="780">
        <v>241039.21882535325</v>
      </c>
      <c r="O26" s="66">
        <v>0</v>
      </c>
      <c r="P26" s="67">
        <v>0</v>
      </c>
      <c r="Q26" s="22" t="s">
        <v>59</v>
      </c>
      <c r="R26" s="22" t="s">
        <v>1497</v>
      </c>
      <c r="S26" s="24"/>
      <c r="T26" s="21"/>
    </row>
    <row r="27" spans="1:20" ht="60" hidden="1">
      <c r="A27" s="31">
        <v>24</v>
      </c>
      <c r="B27" s="22" t="s">
        <v>39</v>
      </c>
      <c r="C27" s="22" t="s">
        <v>50</v>
      </c>
      <c r="D27" s="22" t="s">
        <v>67</v>
      </c>
      <c r="E27" s="23" t="s">
        <v>68</v>
      </c>
      <c r="F27" s="22" t="s">
        <v>66</v>
      </c>
      <c r="G27" s="22" t="s">
        <v>69</v>
      </c>
      <c r="H27" s="22" t="s">
        <v>30</v>
      </c>
      <c r="I27" s="22" t="s">
        <v>70</v>
      </c>
      <c r="J27" s="22" t="s">
        <v>82</v>
      </c>
      <c r="K27" s="755" t="s">
        <v>2110</v>
      </c>
      <c r="L27" s="22" t="s">
        <v>47</v>
      </c>
      <c r="M27" s="429">
        <v>2021</v>
      </c>
      <c r="N27" s="780">
        <v>218479.78036953663</v>
      </c>
      <c r="O27" s="66">
        <v>0</v>
      </c>
      <c r="P27" s="67">
        <v>0</v>
      </c>
      <c r="Q27" s="22" t="s">
        <v>59</v>
      </c>
      <c r="R27" s="22" t="s">
        <v>1497</v>
      </c>
      <c r="S27" s="24"/>
      <c r="T27" s="21"/>
    </row>
    <row r="28" spans="1:20" ht="45" hidden="1">
      <c r="A28" s="31">
        <v>25</v>
      </c>
      <c r="B28" s="22" t="s">
        <v>39</v>
      </c>
      <c r="C28" s="22" t="s">
        <v>50</v>
      </c>
      <c r="D28" s="22" t="s">
        <v>83</v>
      </c>
      <c r="E28" s="23" t="s">
        <v>84</v>
      </c>
      <c r="F28" s="22" t="s">
        <v>52</v>
      </c>
      <c r="G28" s="22" t="s">
        <v>85</v>
      </c>
      <c r="H28" s="22" t="s">
        <v>30</v>
      </c>
      <c r="I28" s="22" t="s">
        <v>86</v>
      </c>
      <c r="J28" s="22" t="s">
        <v>87</v>
      </c>
      <c r="K28" s="755" t="s">
        <v>2111</v>
      </c>
      <c r="L28" s="22" t="s">
        <v>47</v>
      </c>
      <c r="M28" s="429">
        <v>2021</v>
      </c>
      <c r="N28" s="780">
        <v>504.12470657915094</v>
      </c>
      <c r="O28" s="756">
        <v>0</v>
      </c>
      <c r="P28" s="335">
        <v>0</v>
      </c>
      <c r="Q28" s="22"/>
      <c r="R28" s="22"/>
      <c r="S28" s="24"/>
      <c r="T28" s="21"/>
    </row>
    <row r="29" spans="1:20" ht="45" hidden="1">
      <c r="A29" s="31">
        <v>26</v>
      </c>
      <c r="B29" s="22" t="s">
        <v>39</v>
      </c>
      <c r="C29" s="22" t="s">
        <v>50</v>
      </c>
      <c r="D29" s="22" t="s">
        <v>83</v>
      </c>
      <c r="E29" s="23" t="s">
        <v>84</v>
      </c>
      <c r="F29" s="22" t="s">
        <v>55</v>
      </c>
      <c r="G29" s="22" t="s">
        <v>85</v>
      </c>
      <c r="H29" s="22" t="s">
        <v>30</v>
      </c>
      <c r="I29" s="22" t="s">
        <v>86</v>
      </c>
      <c r="J29" s="22" t="s">
        <v>88</v>
      </c>
      <c r="K29" s="755" t="s">
        <v>2111</v>
      </c>
      <c r="L29" s="22" t="s">
        <v>47</v>
      </c>
      <c r="M29" s="429">
        <v>2021</v>
      </c>
      <c r="N29" s="780">
        <v>453.71224794050477</v>
      </c>
      <c r="O29" s="756">
        <v>0</v>
      </c>
      <c r="P29" s="335">
        <v>0</v>
      </c>
      <c r="Q29" s="22"/>
      <c r="R29" s="22"/>
      <c r="S29" s="24"/>
      <c r="T29" s="21"/>
    </row>
    <row r="30" spans="1:20" ht="45" hidden="1">
      <c r="A30" s="31">
        <v>27</v>
      </c>
      <c r="B30" s="22" t="s">
        <v>39</v>
      </c>
      <c r="C30" s="22" t="s">
        <v>50</v>
      </c>
      <c r="D30" s="22" t="s">
        <v>83</v>
      </c>
      <c r="E30" s="23" t="s">
        <v>84</v>
      </c>
      <c r="F30" s="22" t="s">
        <v>56</v>
      </c>
      <c r="G30" s="22" t="s">
        <v>85</v>
      </c>
      <c r="H30" s="22" t="s">
        <v>30</v>
      </c>
      <c r="I30" s="22" t="s">
        <v>86</v>
      </c>
      <c r="J30" s="22" t="s">
        <v>89</v>
      </c>
      <c r="K30" s="755" t="s">
        <v>2111</v>
      </c>
      <c r="L30" s="22" t="s">
        <v>47</v>
      </c>
      <c r="M30" s="429">
        <v>2021</v>
      </c>
      <c r="N30" s="780">
        <v>1894081.8274459834</v>
      </c>
      <c r="O30" s="756">
        <v>0</v>
      </c>
      <c r="P30" s="335">
        <v>0</v>
      </c>
      <c r="Q30" s="22"/>
      <c r="R30" s="22"/>
      <c r="S30" s="24"/>
      <c r="T30" s="21"/>
    </row>
    <row r="31" spans="1:20" ht="45" hidden="1">
      <c r="A31" s="31">
        <v>28</v>
      </c>
      <c r="B31" s="22" t="s">
        <v>39</v>
      </c>
      <c r="C31" s="22" t="s">
        <v>50</v>
      </c>
      <c r="D31" s="22" t="s">
        <v>83</v>
      </c>
      <c r="E31" s="23" t="s">
        <v>84</v>
      </c>
      <c r="F31" s="22" t="s">
        <v>57</v>
      </c>
      <c r="G31" s="22" t="s">
        <v>85</v>
      </c>
      <c r="H31" s="22" t="s">
        <v>30</v>
      </c>
      <c r="I31" s="22" t="s">
        <v>86</v>
      </c>
      <c r="J31" s="22" t="s">
        <v>57</v>
      </c>
      <c r="K31" s="755" t="s">
        <v>2111</v>
      </c>
      <c r="L31" s="22" t="s">
        <v>47</v>
      </c>
      <c r="M31" s="429">
        <v>2021</v>
      </c>
      <c r="N31" s="780">
        <v>1706087.5671114337</v>
      </c>
      <c r="O31" s="756">
        <v>0</v>
      </c>
      <c r="P31" s="335">
        <v>0</v>
      </c>
      <c r="Q31" s="22"/>
      <c r="R31" s="22"/>
      <c r="S31" s="24"/>
      <c r="T31" s="21"/>
    </row>
    <row r="32" spans="1:20" ht="180" hidden="1">
      <c r="A32" s="31">
        <v>29</v>
      </c>
      <c r="B32" s="22" t="s">
        <v>39</v>
      </c>
      <c r="C32" s="22" t="s">
        <v>50</v>
      </c>
      <c r="D32" s="22" t="s">
        <v>83</v>
      </c>
      <c r="E32" s="23" t="s">
        <v>84</v>
      </c>
      <c r="F32" s="22" t="s">
        <v>58</v>
      </c>
      <c r="G32" s="22" t="s">
        <v>85</v>
      </c>
      <c r="H32" s="22" t="s">
        <v>30</v>
      </c>
      <c r="I32" s="22" t="s">
        <v>86</v>
      </c>
      <c r="J32" s="22" t="s">
        <v>58</v>
      </c>
      <c r="K32" s="755" t="s">
        <v>2111</v>
      </c>
      <c r="L32" s="22" t="s">
        <v>47</v>
      </c>
      <c r="M32" s="429">
        <v>2021</v>
      </c>
      <c r="N32" s="780">
        <v>316804.82786543982</v>
      </c>
      <c r="O32" s="66">
        <v>0</v>
      </c>
      <c r="P32" s="67">
        <v>0</v>
      </c>
      <c r="Q32" s="22" t="s">
        <v>59</v>
      </c>
      <c r="R32" s="22" t="s">
        <v>1499</v>
      </c>
      <c r="S32" s="24"/>
      <c r="T32" s="21"/>
    </row>
    <row r="33" spans="1:20" ht="180" hidden="1">
      <c r="A33" s="31">
        <v>30</v>
      </c>
      <c r="B33" s="22" t="s">
        <v>39</v>
      </c>
      <c r="C33" s="22" t="s">
        <v>50</v>
      </c>
      <c r="D33" s="22" t="s">
        <v>83</v>
      </c>
      <c r="E33" s="23" t="s">
        <v>84</v>
      </c>
      <c r="F33" s="22" t="s">
        <v>60</v>
      </c>
      <c r="G33" s="22" t="s">
        <v>85</v>
      </c>
      <c r="H33" s="22" t="s">
        <v>30</v>
      </c>
      <c r="I33" s="22" t="s">
        <v>86</v>
      </c>
      <c r="J33" s="22" t="s">
        <v>60</v>
      </c>
      <c r="K33" s="755" t="s">
        <v>2111</v>
      </c>
      <c r="L33" s="22" t="s">
        <v>47</v>
      </c>
      <c r="M33" s="429">
        <v>2021</v>
      </c>
      <c r="N33" s="780">
        <v>285159.16539891221</v>
      </c>
      <c r="O33" s="66">
        <v>0</v>
      </c>
      <c r="P33" s="67">
        <v>0</v>
      </c>
      <c r="Q33" s="22" t="s">
        <v>59</v>
      </c>
      <c r="R33" s="22" t="s">
        <v>1499</v>
      </c>
      <c r="S33" s="24"/>
      <c r="T33" s="21"/>
    </row>
    <row r="34" spans="1:20" ht="45" hidden="1">
      <c r="A34" s="31">
        <v>31</v>
      </c>
      <c r="B34" s="22" t="s">
        <v>39</v>
      </c>
      <c r="C34" s="22" t="s">
        <v>50</v>
      </c>
      <c r="D34" s="22" t="s">
        <v>83</v>
      </c>
      <c r="E34" s="23" t="s">
        <v>84</v>
      </c>
      <c r="F34" s="22" t="s">
        <v>61</v>
      </c>
      <c r="G34" s="22" t="s">
        <v>85</v>
      </c>
      <c r="H34" s="22" t="s">
        <v>30</v>
      </c>
      <c r="I34" s="22" t="s">
        <v>86</v>
      </c>
      <c r="J34" s="22" t="s">
        <v>61</v>
      </c>
      <c r="K34" s="755" t="s">
        <v>2111</v>
      </c>
      <c r="L34" s="22" t="s">
        <v>47</v>
      </c>
      <c r="M34" s="429">
        <v>2021</v>
      </c>
      <c r="N34" s="780">
        <v>3358.5738937092729</v>
      </c>
      <c r="O34" s="756">
        <v>0</v>
      </c>
      <c r="P34" s="335">
        <v>0</v>
      </c>
      <c r="Q34" s="22"/>
      <c r="R34" s="22"/>
      <c r="S34" s="24"/>
      <c r="T34" s="21"/>
    </row>
    <row r="35" spans="1:20" ht="45" hidden="1">
      <c r="A35" s="31">
        <v>32</v>
      </c>
      <c r="B35" s="22" t="s">
        <v>39</v>
      </c>
      <c r="C35" s="22" t="s">
        <v>50</v>
      </c>
      <c r="D35" s="22" t="s">
        <v>83</v>
      </c>
      <c r="E35" s="23" t="s">
        <v>84</v>
      </c>
      <c r="F35" s="22" t="s">
        <v>62</v>
      </c>
      <c r="G35" s="22" t="s">
        <v>85</v>
      </c>
      <c r="H35" s="22" t="s">
        <v>30</v>
      </c>
      <c r="I35" s="22" t="s">
        <v>86</v>
      </c>
      <c r="J35" s="22" t="s">
        <v>62</v>
      </c>
      <c r="K35" s="755" t="s">
        <v>2111</v>
      </c>
      <c r="L35" s="22" t="s">
        <v>47</v>
      </c>
      <c r="M35" s="429">
        <v>2021</v>
      </c>
      <c r="N35" s="780">
        <v>3022.716584412984</v>
      </c>
      <c r="O35" s="756">
        <v>0</v>
      </c>
      <c r="P35" s="335">
        <v>0</v>
      </c>
      <c r="Q35" s="22"/>
      <c r="R35" s="22"/>
      <c r="S35" s="24"/>
      <c r="T35" s="21"/>
    </row>
    <row r="36" spans="1:20" ht="45" hidden="1">
      <c r="A36" s="31">
        <v>33</v>
      </c>
      <c r="B36" s="22" t="s">
        <v>39</v>
      </c>
      <c r="C36" s="22" t="s">
        <v>50</v>
      </c>
      <c r="D36" s="22" t="s">
        <v>83</v>
      </c>
      <c r="E36" s="23" t="s">
        <v>84</v>
      </c>
      <c r="F36" s="22" t="s">
        <v>63</v>
      </c>
      <c r="G36" s="22" t="s">
        <v>85</v>
      </c>
      <c r="H36" s="22" t="s">
        <v>30</v>
      </c>
      <c r="I36" s="22" t="s">
        <v>86</v>
      </c>
      <c r="J36" s="22" t="s">
        <v>63</v>
      </c>
      <c r="K36" s="755" t="s">
        <v>2111</v>
      </c>
      <c r="L36" s="22" t="s">
        <v>47</v>
      </c>
      <c r="M36" s="429">
        <v>2021</v>
      </c>
      <c r="N36" s="780">
        <v>11163490.502552707</v>
      </c>
      <c r="O36" s="756">
        <v>0</v>
      </c>
      <c r="P36" s="335">
        <v>0</v>
      </c>
      <c r="Q36" s="22"/>
      <c r="R36" s="22"/>
      <c r="S36" s="24"/>
      <c r="T36" s="21"/>
    </row>
    <row r="37" spans="1:20" ht="45" hidden="1">
      <c r="A37" s="31">
        <v>34</v>
      </c>
      <c r="B37" s="22" t="s">
        <v>39</v>
      </c>
      <c r="C37" s="22" t="s">
        <v>50</v>
      </c>
      <c r="D37" s="22" t="s">
        <v>83</v>
      </c>
      <c r="E37" s="23" t="s">
        <v>84</v>
      </c>
      <c r="F37" s="22" t="s">
        <v>64</v>
      </c>
      <c r="G37" s="22" t="s">
        <v>85</v>
      </c>
      <c r="H37" s="22" t="s">
        <v>30</v>
      </c>
      <c r="I37" s="22" t="s">
        <v>86</v>
      </c>
      <c r="J37" s="22" t="s">
        <v>64</v>
      </c>
      <c r="K37" s="755" t="s">
        <v>2111</v>
      </c>
      <c r="L37" s="22" t="s">
        <v>47</v>
      </c>
      <c r="M37" s="429">
        <v>2021</v>
      </c>
      <c r="N37" s="780">
        <v>10060008.001984902</v>
      </c>
      <c r="O37" s="756">
        <v>0</v>
      </c>
      <c r="P37" s="335">
        <v>0</v>
      </c>
      <c r="Q37" s="22"/>
      <c r="R37" s="22"/>
      <c r="S37" s="24"/>
      <c r="T37" s="21"/>
    </row>
    <row r="38" spans="1:20" ht="180" hidden="1">
      <c r="A38" s="31">
        <v>35</v>
      </c>
      <c r="B38" s="22" t="s">
        <v>39</v>
      </c>
      <c r="C38" s="22" t="s">
        <v>50</v>
      </c>
      <c r="D38" s="22" t="s">
        <v>83</v>
      </c>
      <c r="E38" s="23" t="s">
        <v>84</v>
      </c>
      <c r="F38" s="22" t="s">
        <v>65</v>
      </c>
      <c r="G38" s="22" t="s">
        <v>85</v>
      </c>
      <c r="H38" s="22" t="s">
        <v>30</v>
      </c>
      <c r="I38" s="22" t="s">
        <v>86</v>
      </c>
      <c r="J38" s="22" t="s">
        <v>65</v>
      </c>
      <c r="K38" s="755" t="s">
        <v>2111</v>
      </c>
      <c r="L38" s="22" t="s">
        <v>47</v>
      </c>
      <c r="M38" s="429">
        <v>2021</v>
      </c>
      <c r="N38" s="780">
        <v>1668284.4438924666</v>
      </c>
      <c r="O38" s="66">
        <v>0</v>
      </c>
      <c r="P38" s="67">
        <v>0</v>
      </c>
      <c r="Q38" s="22" t="s">
        <v>59</v>
      </c>
      <c r="R38" s="22" t="s">
        <v>1499</v>
      </c>
      <c r="S38" s="24"/>
      <c r="T38" s="21"/>
    </row>
    <row r="39" spans="1:20" ht="180" hidden="1">
      <c r="A39" s="31">
        <v>36</v>
      </c>
      <c r="B39" s="22" t="s">
        <v>39</v>
      </c>
      <c r="C39" s="22" t="s">
        <v>50</v>
      </c>
      <c r="D39" s="22" t="s">
        <v>83</v>
      </c>
      <c r="E39" s="23" t="s">
        <v>84</v>
      </c>
      <c r="F39" s="22" t="s">
        <v>66</v>
      </c>
      <c r="G39" s="22" t="s">
        <v>85</v>
      </c>
      <c r="H39" s="22" t="s">
        <v>30</v>
      </c>
      <c r="I39" s="22" t="s">
        <v>86</v>
      </c>
      <c r="J39" s="22" t="s">
        <v>66</v>
      </c>
      <c r="K39" s="755" t="s">
        <v>2111</v>
      </c>
      <c r="L39" s="22" t="s">
        <v>47</v>
      </c>
      <c r="M39" s="429">
        <v>2021</v>
      </c>
      <c r="N39" s="780">
        <v>1501772.8354693796</v>
      </c>
      <c r="O39" s="66">
        <v>0</v>
      </c>
      <c r="P39" s="67">
        <v>0</v>
      </c>
      <c r="Q39" s="22" t="s">
        <v>59</v>
      </c>
      <c r="R39" s="22" t="s">
        <v>1499</v>
      </c>
      <c r="S39" s="24"/>
      <c r="T39" s="21"/>
    </row>
    <row r="40" spans="1:20" ht="30" hidden="1">
      <c r="A40" s="31">
        <v>37</v>
      </c>
      <c r="B40" s="22" t="s">
        <v>39</v>
      </c>
      <c r="C40" s="22" t="s">
        <v>50</v>
      </c>
      <c r="D40" s="22" t="s">
        <v>90</v>
      </c>
      <c r="E40" s="23" t="s">
        <v>91</v>
      </c>
      <c r="F40" s="22" t="s">
        <v>92</v>
      </c>
      <c r="G40" s="22" t="s">
        <v>93</v>
      </c>
      <c r="H40" s="22" t="s">
        <v>30</v>
      </c>
      <c r="I40" s="22" t="s">
        <v>94</v>
      </c>
      <c r="J40" s="22" t="s">
        <v>92</v>
      </c>
      <c r="K40" s="755" t="s">
        <v>2112</v>
      </c>
      <c r="L40" s="22" t="s">
        <v>47</v>
      </c>
      <c r="M40" s="429">
        <v>2021</v>
      </c>
      <c r="N40" s="780">
        <v>155.4677341965868</v>
      </c>
      <c r="O40" s="335">
        <v>12471327.800627246</v>
      </c>
      <c r="P40" s="335">
        <v>80218.109983242088</v>
      </c>
      <c r="Q40" s="22"/>
      <c r="R40" s="22"/>
      <c r="S40" s="24"/>
      <c r="T40" s="21"/>
    </row>
    <row r="41" spans="1:20" ht="30" hidden="1">
      <c r="A41" s="31">
        <v>38</v>
      </c>
      <c r="B41" s="22" t="s">
        <v>39</v>
      </c>
      <c r="C41" s="22" t="s">
        <v>50</v>
      </c>
      <c r="D41" s="22" t="s">
        <v>90</v>
      </c>
      <c r="E41" s="23" t="s">
        <v>91</v>
      </c>
      <c r="F41" s="22" t="s">
        <v>95</v>
      </c>
      <c r="G41" s="22" t="s">
        <v>93</v>
      </c>
      <c r="H41" s="22" t="s">
        <v>30</v>
      </c>
      <c r="I41" s="22" t="s">
        <v>94</v>
      </c>
      <c r="J41" s="22" t="s">
        <v>95</v>
      </c>
      <c r="K41" s="755" t="s">
        <v>2112</v>
      </c>
      <c r="L41" s="22" t="s">
        <v>47</v>
      </c>
      <c r="M41" s="429">
        <v>2021</v>
      </c>
      <c r="N41" s="780">
        <v>4.1299315466679955E-2</v>
      </c>
      <c r="O41" s="335">
        <v>12471327.800627246</v>
      </c>
      <c r="P41" s="335">
        <v>301974201.25980151</v>
      </c>
      <c r="Q41" s="22"/>
      <c r="R41" s="22"/>
      <c r="S41" s="24"/>
      <c r="T41" s="21"/>
    </row>
    <row r="42" spans="1:20" ht="30" hidden="1">
      <c r="A42" s="31">
        <v>39</v>
      </c>
      <c r="B42" s="22" t="s">
        <v>39</v>
      </c>
      <c r="C42" s="22" t="s">
        <v>50</v>
      </c>
      <c r="D42" s="22" t="s">
        <v>90</v>
      </c>
      <c r="E42" s="23" t="s">
        <v>91</v>
      </c>
      <c r="F42" s="22" t="s">
        <v>96</v>
      </c>
      <c r="G42" s="22" t="s">
        <v>93</v>
      </c>
      <c r="H42" s="22" t="s">
        <v>30</v>
      </c>
      <c r="I42" s="22" t="s">
        <v>94</v>
      </c>
      <c r="J42" s="22" t="s">
        <v>96</v>
      </c>
      <c r="K42" s="755" t="s">
        <v>2112</v>
      </c>
      <c r="L42" s="22" t="s">
        <v>47</v>
      </c>
      <c r="M42" s="429">
        <v>2021</v>
      </c>
      <c r="N42" s="780">
        <v>0.41742786847022956</v>
      </c>
      <c r="O42" s="335">
        <v>7398391.5386358108</v>
      </c>
      <c r="P42" s="335">
        <v>17723760.432548732</v>
      </c>
      <c r="Q42" s="22" t="s">
        <v>48</v>
      </c>
      <c r="R42" s="22" t="s">
        <v>49</v>
      </c>
      <c r="S42" s="24"/>
      <c r="T42" s="21"/>
    </row>
    <row r="43" spans="1:20" ht="30" hidden="1">
      <c r="A43" s="31">
        <v>40</v>
      </c>
      <c r="B43" s="22" t="s">
        <v>39</v>
      </c>
      <c r="C43" s="22" t="s">
        <v>50</v>
      </c>
      <c r="D43" s="22" t="s">
        <v>90</v>
      </c>
      <c r="E43" s="23" t="s">
        <v>91</v>
      </c>
      <c r="F43" s="22" t="s">
        <v>97</v>
      </c>
      <c r="G43" s="22" t="s">
        <v>93</v>
      </c>
      <c r="H43" s="22" t="s">
        <v>30</v>
      </c>
      <c r="I43" s="22" t="s">
        <v>94</v>
      </c>
      <c r="J43" s="22" t="s">
        <v>97</v>
      </c>
      <c r="K43" s="755" t="s">
        <v>2112</v>
      </c>
      <c r="L43" s="22" t="s">
        <v>47</v>
      </c>
      <c r="M43" s="429">
        <v>2021</v>
      </c>
      <c r="N43" s="780">
        <v>190.80499152585656</v>
      </c>
      <c r="O43" s="335">
        <v>15306015.795572737</v>
      </c>
      <c r="P43" s="335">
        <v>80218.109983242088</v>
      </c>
      <c r="Q43" s="22"/>
      <c r="R43" s="22"/>
      <c r="S43" s="24"/>
      <c r="T43" s="21"/>
    </row>
    <row r="44" spans="1:20" ht="30" hidden="1">
      <c r="A44" s="31">
        <v>41</v>
      </c>
      <c r="B44" s="22" t="s">
        <v>39</v>
      </c>
      <c r="C44" s="22" t="s">
        <v>50</v>
      </c>
      <c r="D44" s="22" t="s">
        <v>90</v>
      </c>
      <c r="E44" s="23" t="s">
        <v>91</v>
      </c>
      <c r="F44" s="22" t="s">
        <v>98</v>
      </c>
      <c r="G44" s="22" t="s">
        <v>93</v>
      </c>
      <c r="H44" s="22" t="s">
        <v>30</v>
      </c>
      <c r="I44" s="22" t="s">
        <v>94</v>
      </c>
      <c r="J44" s="22" t="s">
        <v>98</v>
      </c>
      <c r="K44" s="755" t="s">
        <v>2112</v>
      </c>
      <c r="L44" s="22" t="s">
        <v>47</v>
      </c>
      <c r="M44" s="429">
        <v>2021</v>
      </c>
      <c r="N44" s="780">
        <v>5.0686501468396331E-2</v>
      </c>
      <c r="O44" s="335">
        <v>15306015.795572737</v>
      </c>
      <c r="P44" s="335">
        <v>301974201.25980151</v>
      </c>
      <c r="Q44" s="22"/>
      <c r="R44" s="22"/>
      <c r="S44" s="24"/>
      <c r="T44" s="21"/>
    </row>
    <row r="45" spans="1:20" ht="30" hidden="1">
      <c r="A45" s="31">
        <v>42</v>
      </c>
      <c r="B45" s="22" t="s">
        <v>39</v>
      </c>
      <c r="C45" s="22" t="s">
        <v>50</v>
      </c>
      <c r="D45" s="22" t="s">
        <v>90</v>
      </c>
      <c r="E45" s="23" t="s">
        <v>91</v>
      </c>
      <c r="F45" s="22" t="s">
        <v>99</v>
      </c>
      <c r="G45" s="22" t="s">
        <v>93</v>
      </c>
      <c r="H45" s="22" t="s">
        <v>30</v>
      </c>
      <c r="I45" s="22" t="s">
        <v>94</v>
      </c>
      <c r="J45" s="22" t="s">
        <v>99</v>
      </c>
      <c r="K45" s="755" t="s">
        <v>2112</v>
      </c>
      <c r="L45" s="22" t="s">
        <v>47</v>
      </c>
      <c r="M45" s="429">
        <v>2021</v>
      </c>
      <c r="N45" s="780">
        <v>0.51230772299933036</v>
      </c>
      <c r="O45" s="335">
        <v>9080019.3501846679</v>
      </c>
      <c r="P45" s="335">
        <v>17723760.432548732</v>
      </c>
      <c r="Q45" s="22" t="s">
        <v>48</v>
      </c>
      <c r="R45" s="22" t="s">
        <v>49</v>
      </c>
      <c r="S45" s="24"/>
      <c r="T45" s="21"/>
    </row>
    <row r="46" spans="1:20" ht="45" hidden="1">
      <c r="A46" s="31">
        <v>43</v>
      </c>
      <c r="B46" s="22" t="s">
        <v>39</v>
      </c>
      <c r="C46" s="22" t="s">
        <v>50</v>
      </c>
      <c r="D46" s="22" t="s">
        <v>100</v>
      </c>
      <c r="E46" s="23" t="s">
        <v>51</v>
      </c>
      <c r="F46" s="22" t="s">
        <v>52</v>
      </c>
      <c r="G46" s="22" t="s">
        <v>53</v>
      </c>
      <c r="H46" s="22" t="s">
        <v>30</v>
      </c>
      <c r="I46" s="22" t="s">
        <v>101</v>
      </c>
      <c r="J46" s="22" t="s">
        <v>52</v>
      </c>
      <c r="K46" s="755" t="s">
        <v>2109</v>
      </c>
      <c r="L46" s="22" t="s">
        <v>102</v>
      </c>
      <c r="M46" s="429">
        <v>2021</v>
      </c>
      <c r="N46" s="780">
        <v>4247.8978907279998</v>
      </c>
      <c r="O46" s="756">
        <v>0</v>
      </c>
      <c r="P46" s="335">
        <v>0</v>
      </c>
      <c r="Q46" s="22" t="s">
        <v>899</v>
      </c>
      <c r="R46" s="22"/>
      <c r="S46" s="24"/>
      <c r="T46" s="21"/>
    </row>
    <row r="47" spans="1:20" ht="45" hidden="1">
      <c r="A47" s="31">
        <v>44</v>
      </c>
      <c r="B47" s="22" t="s">
        <v>39</v>
      </c>
      <c r="C47" s="22" t="s">
        <v>50</v>
      </c>
      <c r="D47" s="22" t="s">
        <v>100</v>
      </c>
      <c r="E47" s="23" t="s">
        <v>51</v>
      </c>
      <c r="F47" s="22" t="s">
        <v>55</v>
      </c>
      <c r="G47" s="22" t="s">
        <v>53</v>
      </c>
      <c r="H47" s="22" t="s">
        <v>30</v>
      </c>
      <c r="I47" s="22" t="s">
        <v>101</v>
      </c>
      <c r="J47" s="22" t="s">
        <v>55</v>
      </c>
      <c r="K47" s="755" t="s">
        <v>2109</v>
      </c>
      <c r="L47" s="22" t="s">
        <v>102</v>
      </c>
      <c r="M47" s="429">
        <v>2021</v>
      </c>
      <c r="N47" s="780">
        <v>4404.9346867308886</v>
      </c>
      <c r="O47" s="66">
        <v>0</v>
      </c>
      <c r="P47" s="67">
        <v>0</v>
      </c>
      <c r="Q47" s="22" t="s">
        <v>899</v>
      </c>
      <c r="R47" s="22"/>
      <c r="S47" s="24"/>
      <c r="T47" s="21"/>
    </row>
    <row r="48" spans="1:20" ht="45" hidden="1">
      <c r="A48" s="31">
        <v>45</v>
      </c>
      <c r="B48" s="22" t="s">
        <v>39</v>
      </c>
      <c r="C48" s="22" t="s">
        <v>50</v>
      </c>
      <c r="D48" s="22" t="s">
        <v>100</v>
      </c>
      <c r="E48" s="23" t="s">
        <v>51</v>
      </c>
      <c r="F48" s="22" t="s">
        <v>56</v>
      </c>
      <c r="G48" s="22" t="s">
        <v>53</v>
      </c>
      <c r="H48" s="22" t="s">
        <v>30</v>
      </c>
      <c r="I48" s="22" t="s">
        <v>101</v>
      </c>
      <c r="J48" s="22" t="s">
        <v>56</v>
      </c>
      <c r="K48" s="755" t="s">
        <v>2109</v>
      </c>
      <c r="L48" s="22" t="s">
        <v>102</v>
      </c>
      <c r="M48" s="429">
        <v>2021</v>
      </c>
      <c r="N48" s="780">
        <v>28894933.882561199</v>
      </c>
      <c r="O48" s="66">
        <v>0</v>
      </c>
      <c r="P48" s="67">
        <v>0</v>
      </c>
      <c r="Q48" s="22" t="s">
        <v>899</v>
      </c>
      <c r="R48" s="22"/>
      <c r="S48" s="24"/>
      <c r="T48" s="21"/>
    </row>
    <row r="49" spans="1:20" ht="45" hidden="1">
      <c r="A49" s="31">
        <v>46</v>
      </c>
      <c r="B49" s="22" t="s">
        <v>39</v>
      </c>
      <c r="C49" s="22" t="s">
        <v>50</v>
      </c>
      <c r="D49" s="22" t="s">
        <v>100</v>
      </c>
      <c r="E49" s="23" t="s">
        <v>51</v>
      </c>
      <c r="F49" s="22" t="s">
        <v>57</v>
      </c>
      <c r="G49" s="22" t="s">
        <v>53</v>
      </c>
      <c r="H49" s="22" t="s">
        <v>30</v>
      </c>
      <c r="I49" s="22" t="s">
        <v>101</v>
      </c>
      <c r="J49" s="22" t="s">
        <v>57</v>
      </c>
      <c r="K49" s="755" t="s">
        <v>2109</v>
      </c>
      <c r="L49" s="22" t="s">
        <v>102</v>
      </c>
      <c r="M49" s="429">
        <v>2021</v>
      </c>
      <c r="N49" s="780">
        <v>29659939.295696195</v>
      </c>
      <c r="O49" s="66">
        <v>0</v>
      </c>
      <c r="P49" s="67">
        <v>0</v>
      </c>
      <c r="Q49" s="22" t="s">
        <v>899</v>
      </c>
      <c r="R49" s="22"/>
      <c r="S49" s="24"/>
      <c r="T49" s="21"/>
    </row>
    <row r="50" spans="1:20" ht="45" hidden="1">
      <c r="A50" s="31">
        <v>47</v>
      </c>
      <c r="B50" s="22" t="s">
        <v>39</v>
      </c>
      <c r="C50" s="22" t="s">
        <v>50</v>
      </c>
      <c r="D50" s="22" t="s">
        <v>100</v>
      </c>
      <c r="E50" s="23" t="s">
        <v>51</v>
      </c>
      <c r="F50" s="22" t="s">
        <v>58</v>
      </c>
      <c r="G50" s="22" t="s">
        <v>53</v>
      </c>
      <c r="H50" s="22" t="s">
        <v>30</v>
      </c>
      <c r="I50" s="22" t="s">
        <v>101</v>
      </c>
      <c r="J50" s="22" t="s">
        <v>58</v>
      </c>
      <c r="K50" s="755" t="s">
        <v>2109</v>
      </c>
      <c r="L50" s="22" t="s">
        <v>102</v>
      </c>
      <c r="M50" s="429">
        <v>2021</v>
      </c>
      <c r="N50" s="780">
        <v>463417.08028299303</v>
      </c>
      <c r="O50" s="66">
        <v>0</v>
      </c>
      <c r="P50" s="67">
        <v>0</v>
      </c>
      <c r="Q50" s="22" t="s">
        <v>899</v>
      </c>
      <c r="R50" s="22" t="s">
        <v>49</v>
      </c>
      <c r="S50" s="24"/>
      <c r="T50" s="21"/>
    </row>
    <row r="51" spans="1:20" ht="45" hidden="1">
      <c r="A51" s="31">
        <v>48</v>
      </c>
      <c r="B51" s="22" t="s">
        <v>39</v>
      </c>
      <c r="C51" s="22" t="s">
        <v>50</v>
      </c>
      <c r="D51" s="22" t="s">
        <v>100</v>
      </c>
      <c r="E51" s="23" t="s">
        <v>51</v>
      </c>
      <c r="F51" s="22" t="s">
        <v>60</v>
      </c>
      <c r="G51" s="22" t="s">
        <v>53</v>
      </c>
      <c r="H51" s="22" t="s">
        <v>30</v>
      </c>
      <c r="I51" s="22" t="s">
        <v>101</v>
      </c>
      <c r="J51" s="22" t="s">
        <v>60</v>
      </c>
      <c r="K51" s="755" t="s">
        <v>2109</v>
      </c>
      <c r="L51" s="22" t="s">
        <v>102</v>
      </c>
      <c r="M51" s="429">
        <v>2021</v>
      </c>
      <c r="N51" s="780">
        <v>477086.22954885225</v>
      </c>
      <c r="O51" s="66">
        <v>0</v>
      </c>
      <c r="P51" s="67">
        <v>0</v>
      </c>
      <c r="Q51" s="22" t="s">
        <v>899</v>
      </c>
      <c r="R51" s="22" t="s">
        <v>49</v>
      </c>
      <c r="S51" s="24"/>
      <c r="T51" s="21"/>
    </row>
    <row r="52" spans="1:20" ht="45" hidden="1">
      <c r="A52" s="31">
        <v>49</v>
      </c>
      <c r="B52" s="22" t="s">
        <v>39</v>
      </c>
      <c r="C52" s="22" t="s">
        <v>50</v>
      </c>
      <c r="D52" s="22" t="s">
        <v>100</v>
      </c>
      <c r="E52" s="23" t="s">
        <v>51</v>
      </c>
      <c r="F52" s="22" t="s">
        <v>61</v>
      </c>
      <c r="G52" s="22" t="s">
        <v>53</v>
      </c>
      <c r="H52" s="22" t="s">
        <v>30</v>
      </c>
      <c r="I52" s="22" t="s">
        <v>101</v>
      </c>
      <c r="J52" s="22" t="s">
        <v>61</v>
      </c>
      <c r="K52" s="755" t="s">
        <v>2109</v>
      </c>
      <c r="L52" s="22" t="s">
        <v>102</v>
      </c>
      <c r="M52" s="429">
        <v>2021</v>
      </c>
      <c r="N52" s="780">
        <v>5355.059890728</v>
      </c>
      <c r="O52" s="756">
        <v>0</v>
      </c>
      <c r="P52" s="335">
        <v>0</v>
      </c>
      <c r="Q52" s="22" t="s">
        <v>899</v>
      </c>
      <c r="R52" s="22"/>
      <c r="S52" s="24"/>
      <c r="T52" s="21"/>
    </row>
    <row r="53" spans="1:20" ht="45" hidden="1">
      <c r="A53" s="31">
        <v>50</v>
      </c>
      <c r="B53" s="22" t="s">
        <v>39</v>
      </c>
      <c r="C53" s="22" t="s">
        <v>50</v>
      </c>
      <c r="D53" s="22" t="s">
        <v>100</v>
      </c>
      <c r="E53" s="23" t="s">
        <v>51</v>
      </c>
      <c r="F53" s="22" t="s">
        <v>62</v>
      </c>
      <c r="G53" s="22" t="s">
        <v>53</v>
      </c>
      <c r="H53" s="22" t="s">
        <v>30</v>
      </c>
      <c r="I53" s="22" t="s">
        <v>101</v>
      </c>
      <c r="J53" s="22" t="s">
        <v>62</v>
      </c>
      <c r="K53" s="755" t="s">
        <v>2109</v>
      </c>
      <c r="L53" s="22" t="s">
        <v>102</v>
      </c>
      <c r="M53" s="429">
        <v>2021</v>
      </c>
      <c r="N53" s="780">
        <v>5069.2318999292884</v>
      </c>
      <c r="O53" s="756">
        <v>0</v>
      </c>
      <c r="P53" s="335">
        <v>0</v>
      </c>
      <c r="Q53" s="22" t="s">
        <v>899</v>
      </c>
      <c r="R53" s="22"/>
      <c r="S53" s="24"/>
      <c r="T53" s="21"/>
    </row>
    <row r="54" spans="1:20" ht="45" hidden="1">
      <c r="A54" s="31">
        <v>51</v>
      </c>
      <c r="B54" s="22" t="s">
        <v>39</v>
      </c>
      <c r="C54" s="22" t="s">
        <v>50</v>
      </c>
      <c r="D54" s="22" t="s">
        <v>100</v>
      </c>
      <c r="E54" s="23" t="s">
        <v>51</v>
      </c>
      <c r="F54" s="22" t="s">
        <v>63</v>
      </c>
      <c r="G54" s="22" t="s">
        <v>53</v>
      </c>
      <c r="H54" s="22" t="s">
        <v>30</v>
      </c>
      <c r="I54" s="22" t="s">
        <v>101</v>
      </c>
      <c r="J54" s="22" t="s">
        <v>63</v>
      </c>
      <c r="K54" s="755" t="s">
        <v>2109</v>
      </c>
      <c r="L54" s="22" t="s">
        <v>102</v>
      </c>
      <c r="M54" s="429">
        <v>2021</v>
      </c>
      <c r="N54" s="780">
        <v>42489759.862561196</v>
      </c>
      <c r="O54" s="756">
        <v>0</v>
      </c>
      <c r="P54" s="335">
        <v>0</v>
      </c>
      <c r="Q54" s="22" t="s">
        <v>899</v>
      </c>
      <c r="R54" s="22"/>
      <c r="S54" s="24"/>
      <c r="T54" s="21"/>
    </row>
    <row r="55" spans="1:20" ht="45" hidden="1">
      <c r="A55" s="31">
        <v>52</v>
      </c>
      <c r="B55" s="22" t="s">
        <v>39</v>
      </c>
      <c r="C55" s="22" t="s">
        <v>50</v>
      </c>
      <c r="D55" s="22" t="s">
        <v>100</v>
      </c>
      <c r="E55" s="23" t="s">
        <v>51</v>
      </c>
      <c r="F55" s="22" t="s">
        <v>64</v>
      </c>
      <c r="G55" s="22" t="s">
        <v>53</v>
      </c>
      <c r="H55" s="22" t="s">
        <v>30</v>
      </c>
      <c r="I55" s="22" t="s">
        <v>101</v>
      </c>
      <c r="J55" s="22" t="s">
        <v>64</v>
      </c>
      <c r="K55" s="755" t="s">
        <v>2109</v>
      </c>
      <c r="L55" s="22" t="s">
        <v>102</v>
      </c>
      <c r="M55" s="429">
        <v>2021</v>
      </c>
      <c r="N55" s="780">
        <v>37816835.045759149</v>
      </c>
      <c r="O55" s="756">
        <v>0</v>
      </c>
      <c r="P55" s="335">
        <v>0</v>
      </c>
      <c r="Q55" s="22" t="s">
        <v>899</v>
      </c>
      <c r="R55" s="22"/>
      <c r="S55" s="24"/>
      <c r="T55" s="21"/>
    </row>
    <row r="56" spans="1:20" ht="45" hidden="1">
      <c r="A56" s="31">
        <v>53</v>
      </c>
      <c r="B56" s="22" t="s">
        <v>39</v>
      </c>
      <c r="C56" s="22" t="s">
        <v>50</v>
      </c>
      <c r="D56" s="22" t="s">
        <v>100</v>
      </c>
      <c r="E56" s="23" t="s">
        <v>51</v>
      </c>
      <c r="F56" s="22" t="s">
        <v>65</v>
      </c>
      <c r="G56" s="22" t="s">
        <v>53</v>
      </c>
      <c r="H56" s="22" t="s">
        <v>30</v>
      </c>
      <c r="I56" s="22" t="s">
        <v>101</v>
      </c>
      <c r="J56" s="22" t="s">
        <v>65</v>
      </c>
      <c r="K56" s="755" t="s">
        <v>2109</v>
      </c>
      <c r="L56" s="22" t="s">
        <v>102</v>
      </c>
      <c r="M56" s="429">
        <v>2021</v>
      </c>
      <c r="N56" s="780">
        <v>674566.08028299303</v>
      </c>
      <c r="O56" s="66">
        <v>0</v>
      </c>
      <c r="P56" s="67">
        <v>0</v>
      </c>
      <c r="Q56" s="22" t="s">
        <v>899</v>
      </c>
      <c r="R56" s="22" t="s">
        <v>49</v>
      </c>
      <c r="S56" s="24"/>
      <c r="T56" s="21"/>
    </row>
    <row r="57" spans="1:20" ht="45" hidden="1">
      <c r="A57" s="31">
        <v>54</v>
      </c>
      <c r="B57" s="22" t="s">
        <v>39</v>
      </c>
      <c r="C57" s="22" t="s">
        <v>50</v>
      </c>
      <c r="D57" s="22" t="s">
        <v>100</v>
      </c>
      <c r="E57" s="23" t="s">
        <v>51</v>
      </c>
      <c r="F57" s="22" t="s">
        <v>66</v>
      </c>
      <c r="G57" s="22" t="s">
        <v>53</v>
      </c>
      <c r="H57" s="22" t="s">
        <v>30</v>
      </c>
      <c r="I57" s="22" t="s">
        <v>101</v>
      </c>
      <c r="J57" s="22" t="s">
        <v>66</v>
      </c>
      <c r="K57" s="755" t="s">
        <v>2109</v>
      </c>
      <c r="L57" s="22" t="s">
        <v>102</v>
      </c>
      <c r="M57" s="429">
        <v>2021</v>
      </c>
      <c r="N57" s="780">
        <v>603775.63206594472</v>
      </c>
      <c r="O57" s="66">
        <v>0</v>
      </c>
      <c r="P57" s="67">
        <v>0</v>
      </c>
      <c r="Q57" s="22" t="s">
        <v>899</v>
      </c>
      <c r="R57" s="22" t="s">
        <v>49</v>
      </c>
      <c r="S57" s="24"/>
      <c r="T57" s="21"/>
    </row>
    <row r="58" spans="1:20" ht="60" hidden="1">
      <c r="A58" s="31">
        <v>55</v>
      </c>
      <c r="B58" s="22" t="s">
        <v>39</v>
      </c>
      <c r="C58" s="22" t="s">
        <v>40</v>
      </c>
      <c r="D58" s="22" t="s">
        <v>103</v>
      </c>
      <c r="E58" s="23" t="s">
        <v>42</v>
      </c>
      <c r="F58" s="22" t="s">
        <v>43</v>
      </c>
      <c r="G58" s="22" t="s">
        <v>44</v>
      </c>
      <c r="H58" s="22" t="s">
        <v>30</v>
      </c>
      <c r="I58" s="22" t="s">
        <v>104</v>
      </c>
      <c r="J58" s="19" t="s">
        <v>46</v>
      </c>
      <c r="K58" s="755" t="s">
        <v>2107</v>
      </c>
      <c r="L58" s="22" t="s">
        <v>102</v>
      </c>
      <c r="M58" s="429">
        <v>2021</v>
      </c>
      <c r="N58" s="780">
        <v>6460.5659519101091</v>
      </c>
      <c r="O58" s="66">
        <v>0</v>
      </c>
      <c r="P58" s="67">
        <v>0</v>
      </c>
      <c r="Q58" s="22" t="s">
        <v>48</v>
      </c>
      <c r="R58" s="22" t="s">
        <v>105</v>
      </c>
      <c r="S58" s="24"/>
      <c r="T58" s="21"/>
    </row>
    <row r="59" spans="1:20" ht="60" hidden="1">
      <c r="A59" s="31">
        <v>56</v>
      </c>
      <c r="B59" s="22" t="s">
        <v>39</v>
      </c>
      <c r="C59" s="22" t="s">
        <v>40</v>
      </c>
      <c r="D59" s="22" t="s">
        <v>106</v>
      </c>
      <c r="E59" s="23" t="s">
        <v>107</v>
      </c>
      <c r="F59" s="22" t="s">
        <v>108</v>
      </c>
      <c r="G59" s="22" t="s">
        <v>109</v>
      </c>
      <c r="H59" s="22" t="s">
        <v>30</v>
      </c>
      <c r="I59" s="22" t="s">
        <v>110</v>
      </c>
      <c r="J59" s="22" t="s">
        <v>111</v>
      </c>
      <c r="K59" s="757" t="s">
        <v>2113</v>
      </c>
      <c r="L59" s="22" t="s">
        <v>102</v>
      </c>
      <c r="M59" s="429">
        <v>2021</v>
      </c>
      <c r="N59" s="780">
        <v>7.2833791665650693</v>
      </c>
      <c r="O59" s="335">
        <v>5069.2318999292884</v>
      </c>
      <c r="P59" s="335">
        <v>696</v>
      </c>
      <c r="Q59" s="22"/>
      <c r="R59" s="22"/>
      <c r="S59" s="24"/>
      <c r="T59" s="21"/>
    </row>
    <row r="60" spans="1:20" ht="60" hidden="1">
      <c r="A60" s="31">
        <v>57</v>
      </c>
      <c r="B60" s="22" t="s">
        <v>39</v>
      </c>
      <c r="C60" s="22" t="s">
        <v>40</v>
      </c>
      <c r="D60" s="22" t="s">
        <v>106</v>
      </c>
      <c r="E60" s="23" t="s">
        <v>107</v>
      </c>
      <c r="F60" s="22" t="s">
        <v>112</v>
      </c>
      <c r="G60" s="22" t="s">
        <v>109</v>
      </c>
      <c r="H60" s="22" t="s">
        <v>30</v>
      </c>
      <c r="I60" s="22" t="s">
        <v>110</v>
      </c>
      <c r="J60" s="22" t="s">
        <v>113</v>
      </c>
      <c r="K60" s="757" t="s">
        <v>2113</v>
      </c>
      <c r="L60" s="22" t="s">
        <v>102</v>
      </c>
      <c r="M60" s="429">
        <v>2021</v>
      </c>
      <c r="N60" s="780">
        <v>54334.533111722914</v>
      </c>
      <c r="O60" s="335">
        <v>37816835.045759149</v>
      </c>
      <c r="P60" s="335">
        <v>696</v>
      </c>
      <c r="Q60" s="22"/>
      <c r="R60" s="22"/>
      <c r="S60" s="24"/>
      <c r="T60" s="21"/>
    </row>
    <row r="61" spans="1:20" ht="60" hidden="1">
      <c r="A61" s="31">
        <v>58</v>
      </c>
      <c r="B61" s="22" t="s">
        <v>39</v>
      </c>
      <c r="C61" s="22" t="s">
        <v>40</v>
      </c>
      <c r="D61" s="22" t="s">
        <v>106</v>
      </c>
      <c r="E61" s="23" t="s">
        <v>107</v>
      </c>
      <c r="F61" s="22" t="s">
        <v>114</v>
      </c>
      <c r="G61" s="22" t="s">
        <v>109</v>
      </c>
      <c r="H61" s="22" t="s">
        <v>30</v>
      </c>
      <c r="I61" s="22" t="s">
        <v>110</v>
      </c>
      <c r="J61" s="22" t="s">
        <v>115</v>
      </c>
      <c r="K61" s="757" t="s">
        <v>2113</v>
      </c>
      <c r="L61" s="22" t="s">
        <v>102</v>
      </c>
      <c r="M61" s="429">
        <v>2021</v>
      </c>
      <c r="N61" s="780">
        <v>867.49372423267903</v>
      </c>
      <c r="O61" s="335">
        <v>603775.63206594461</v>
      </c>
      <c r="P61" s="335">
        <v>696</v>
      </c>
      <c r="Q61" s="22" t="s">
        <v>116</v>
      </c>
      <c r="R61" s="22" t="s">
        <v>117</v>
      </c>
      <c r="S61" s="24"/>
      <c r="T61" s="21"/>
    </row>
    <row r="62" spans="1:20" ht="60" hidden="1">
      <c r="A62" s="31">
        <v>59</v>
      </c>
      <c r="B62" s="22" t="s">
        <v>39</v>
      </c>
      <c r="C62" s="22" t="s">
        <v>40</v>
      </c>
      <c r="D62" s="22" t="s">
        <v>106</v>
      </c>
      <c r="E62" s="23" t="s">
        <v>118</v>
      </c>
      <c r="F62" s="22" t="s">
        <v>108</v>
      </c>
      <c r="G62" s="22" t="s">
        <v>119</v>
      </c>
      <c r="H62" s="22" t="s">
        <v>30</v>
      </c>
      <c r="I62" s="22" t="s">
        <v>120</v>
      </c>
      <c r="J62" s="22" t="s">
        <v>121</v>
      </c>
      <c r="K62" s="757" t="s">
        <v>2113</v>
      </c>
      <c r="L62" s="22" t="s">
        <v>102</v>
      </c>
      <c r="M62" s="429">
        <v>2021</v>
      </c>
      <c r="N62" s="780">
        <v>1.0620259203811342</v>
      </c>
      <c r="O62" s="335">
        <v>738.10801466488829</v>
      </c>
      <c r="P62" s="335">
        <v>695</v>
      </c>
      <c r="Q62" s="22"/>
      <c r="R62" s="22"/>
      <c r="S62" s="24"/>
      <c r="T62" s="21"/>
    </row>
    <row r="63" spans="1:20" ht="60" hidden="1">
      <c r="A63" s="31">
        <v>60</v>
      </c>
      <c r="B63" s="22" t="s">
        <v>39</v>
      </c>
      <c r="C63" s="22" t="s">
        <v>40</v>
      </c>
      <c r="D63" s="22" t="s">
        <v>106</v>
      </c>
      <c r="E63" s="23" t="s">
        <v>118</v>
      </c>
      <c r="F63" s="22" t="s">
        <v>112</v>
      </c>
      <c r="G63" s="22" t="s">
        <v>119</v>
      </c>
      <c r="H63" s="22" t="s">
        <v>30</v>
      </c>
      <c r="I63" s="22" t="s">
        <v>120</v>
      </c>
      <c r="J63" s="22" t="s">
        <v>122</v>
      </c>
      <c r="K63" s="757" t="s">
        <v>2113</v>
      </c>
      <c r="L63" s="22" t="s">
        <v>102</v>
      </c>
      <c r="M63" s="429">
        <v>2021</v>
      </c>
      <c r="N63" s="780">
        <v>13040.600719525108</v>
      </c>
      <c r="O63" s="335">
        <v>9063217.5000699498</v>
      </c>
      <c r="P63" s="335">
        <v>695</v>
      </c>
      <c r="Q63" s="22"/>
      <c r="R63" s="22"/>
      <c r="S63" s="24"/>
      <c r="T63" s="21"/>
    </row>
    <row r="64" spans="1:20" ht="60" hidden="1">
      <c r="A64" s="31">
        <v>61</v>
      </c>
      <c r="B64" s="22" t="s">
        <v>39</v>
      </c>
      <c r="C64" s="22" t="s">
        <v>40</v>
      </c>
      <c r="D64" s="22" t="s">
        <v>106</v>
      </c>
      <c r="E64" s="23" t="s">
        <v>118</v>
      </c>
      <c r="F64" s="22" t="s">
        <v>114</v>
      </c>
      <c r="G64" s="22" t="s">
        <v>119</v>
      </c>
      <c r="H64" s="22" t="s">
        <v>30</v>
      </c>
      <c r="I64" s="22" t="s">
        <v>120</v>
      </c>
      <c r="J64" s="22" t="s">
        <v>123</v>
      </c>
      <c r="K64" s="757" t="s">
        <v>2113</v>
      </c>
      <c r="L64" s="22" t="s">
        <v>102</v>
      </c>
      <c r="M64" s="429">
        <v>2021</v>
      </c>
      <c r="N64" s="780">
        <v>200.51560110618948</v>
      </c>
      <c r="O64" s="335">
        <v>139358.3427688017</v>
      </c>
      <c r="P64" s="335">
        <v>695</v>
      </c>
      <c r="Q64" s="22" t="s">
        <v>124</v>
      </c>
      <c r="R64" s="22" t="s">
        <v>117</v>
      </c>
      <c r="S64" s="24"/>
      <c r="T64" s="21"/>
    </row>
    <row r="65" spans="1:20" ht="60" hidden="1">
      <c r="A65" s="31">
        <v>62</v>
      </c>
      <c r="B65" s="22" t="s">
        <v>39</v>
      </c>
      <c r="C65" s="22" t="s">
        <v>40</v>
      </c>
      <c r="D65" s="22" t="s">
        <v>106</v>
      </c>
      <c r="E65" s="23" t="s">
        <v>125</v>
      </c>
      <c r="F65" s="22" t="s">
        <v>108</v>
      </c>
      <c r="G65" s="22" t="s">
        <v>126</v>
      </c>
      <c r="H65" s="22" t="s">
        <v>30</v>
      </c>
      <c r="I65" s="22" t="s">
        <v>127</v>
      </c>
      <c r="J65" s="22" t="s">
        <v>128</v>
      </c>
      <c r="K65" s="757" t="s">
        <v>2113</v>
      </c>
      <c r="L65" s="22" t="s">
        <v>102</v>
      </c>
      <c r="M65" s="429">
        <v>2021</v>
      </c>
      <c r="N65" s="780" t="s">
        <v>1613</v>
      </c>
      <c r="O65" s="335">
        <v>0</v>
      </c>
      <c r="P65" s="335">
        <v>0</v>
      </c>
      <c r="Q65" s="22"/>
      <c r="R65" s="22"/>
      <c r="S65" s="24"/>
      <c r="T65" s="21"/>
    </row>
    <row r="66" spans="1:20" ht="60" hidden="1">
      <c r="A66" s="31">
        <v>63</v>
      </c>
      <c r="B66" s="22" t="s">
        <v>39</v>
      </c>
      <c r="C66" s="22" t="s">
        <v>40</v>
      </c>
      <c r="D66" s="22" t="s">
        <v>106</v>
      </c>
      <c r="E66" s="23" t="s">
        <v>125</v>
      </c>
      <c r="F66" s="22" t="s">
        <v>112</v>
      </c>
      <c r="G66" s="22" t="s">
        <v>126</v>
      </c>
      <c r="H66" s="22" t="s">
        <v>30</v>
      </c>
      <c r="I66" s="22" t="s">
        <v>127</v>
      </c>
      <c r="J66" s="22" t="s">
        <v>129</v>
      </c>
      <c r="K66" s="757" t="s">
        <v>2113</v>
      </c>
      <c r="L66" s="22" t="s">
        <v>102</v>
      </c>
      <c r="M66" s="429">
        <v>2021</v>
      </c>
      <c r="N66" s="780" t="s">
        <v>1613</v>
      </c>
      <c r="O66" s="335">
        <v>0</v>
      </c>
      <c r="P66" s="335">
        <v>0</v>
      </c>
      <c r="Q66" s="22"/>
      <c r="R66" s="22"/>
      <c r="S66" s="24"/>
      <c r="T66" s="21"/>
    </row>
    <row r="67" spans="1:20" ht="90" hidden="1">
      <c r="A67" s="31">
        <v>64</v>
      </c>
      <c r="B67" s="22" t="s">
        <v>39</v>
      </c>
      <c r="C67" s="22" t="s">
        <v>40</v>
      </c>
      <c r="D67" s="22" t="s">
        <v>106</v>
      </c>
      <c r="E67" s="23" t="s">
        <v>125</v>
      </c>
      <c r="F67" s="22" t="s">
        <v>114</v>
      </c>
      <c r="G67" s="22" t="s">
        <v>126</v>
      </c>
      <c r="H67" s="22" t="s">
        <v>30</v>
      </c>
      <c r="I67" s="22" t="s">
        <v>127</v>
      </c>
      <c r="J67" s="22" t="s">
        <v>130</v>
      </c>
      <c r="K67" s="757" t="s">
        <v>2113</v>
      </c>
      <c r="L67" s="22" t="s">
        <v>102</v>
      </c>
      <c r="M67" s="429">
        <v>2021</v>
      </c>
      <c r="N67" s="780" t="s">
        <v>1613</v>
      </c>
      <c r="O67" s="335">
        <v>0</v>
      </c>
      <c r="P67" s="335">
        <v>0</v>
      </c>
      <c r="Q67" s="22" t="s">
        <v>131</v>
      </c>
      <c r="R67" s="22" t="s">
        <v>132</v>
      </c>
      <c r="S67" s="24"/>
      <c r="T67" s="21"/>
    </row>
    <row r="68" spans="1:20" ht="60" hidden="1">
      <c r="A68" s="31">
        <v>65</v>
      </c>
      <c r="B68" s="22" t="s">
        <v>39</v>
      </c>
      <c r="C68" s="22" t="s">
        <v>40</v>
      </c>
      <c r="D68" s="22" t="s">
        <v>106</v>
      </c>
      <c r="E68" s="23" t="s">
        <v>133</v>
      </c>
      <c r="F68" s="22" t="s">
        <v>108</v>
      </c>
      <c r="G68" s="22" t="s">
        <v>134</v>
      </c>
      <c r="H68" s="22" t="s">
        <v>30</v>
      </c>
      <c r="I68" s="22" t="s">
        <v>135</v>
      </c>
      <c r="J68" s="22" t="s">
        <v>136</v>
      </c>
      <c r="K68" s="757" t="s">
        <v>2113</v>
      </c>
      <c r="L68" s="22" t="s">
        <v>102</v>
      </c>
      <c r="M68" s="429">
        <v>2021</v>
      </c>
      <c r="N68" s="780">
        <v>1.0620259203811342</v>
      </c>
      <c r="O68" s="335">
        <v>738.10801466488829</v>
      </c>
      <c r="P68" s="335">
        <v>695</v>
      </c>
      <c r="Q68" s="22"/>
      <c r="R68" s="22"/>
      <c r="S68" s="24"/>
      <c r="T68" s="21"/>
    </row>
    <row r="69" spans="1:20" ht="60" hidden="1">
      <c r="A69" s="31">
        <v>66</v>
      </c>
      <c r="B69" s="22" t="s">
        <v>39</v>
      </c>
      <c r="C69" s="22" t="s">
        <v>40</v>
      </c>
      <c r="D69" s="22" t="s">
        <v>106</v>
      </c>
      <c r="E69" s="23" t="s">
        <v>133</v>
      </c>
      <c r="F69" s="22" t="s">
        <v>112</v>
      </c>
      <c r="G69" s="22" t="s">
        <v>134</v>
      </c>
      <c r="H69" s="22" t="s">
        <v>30</v>
      </c>
      <c r="I69" s="22" t="s">
        <v>135</v>
      </c>
      <c r="J69" s="22" t="s">
        <v>137</v>
      </c>
      <c r="K69" s="757" t="s">
        <v>2113</v>
      </c>
      <c r="L69" s="22" t="s">
        <v>102</v>
      </c>
      <c r="M69" s="429">
        <v>2021</v>
      </c>
      <c r="N69" s="780">
        <v>13040.600719525108</v>
      </c>
      <c r="O69" s="335">
        <v>9063217.5000699498</v>
      </c>
      <c r="P69" s="335">
        <v>695</v>
      </c>
      <c r="Q69" s="22"/>
      <c r="R69" s="22"/>
      <c r="S69" s="24"/>
      <c r="T69" s="21"/>
    </row>
    <row r="70" spans="1:20" ht="60" hidden="1">
      <c r="A70" s="31">
        <v>67</v>
      </c>
      <c r="B70" s="22" t="s">
        <v>39</v>
      </c>
      <c r="C70" s="22" t="s">
        <v>40</v>
      </c>
      <c r="D70" s="22" t="s">
        <v>106</v>
      </c>
      <c r="E70" s="23" t="s">
        <v>133</v>
      </c>
      <c r="F70" s="22" t="s">
        <v>114</v>
      </c>
      <c r="G70" s="22" t="s">
        <v>134</v>
      </c>
      <c r="H70" s="22" t="s">
        <v>30</v>
      </c>
      <c r="I70" s="22" t="s">
        <v>135</v>
      </c>
      <c r="J70" s="22" t="s">
        <v>138</v>
      </c>
      <c r="K70" s="757" t="s">
        <v>2113</v>
      </c>
      <c r="L70" s="22" t="s">
        <v>102</v>
      </c>
      <c r="M70" s="429">
        <v>2021</v>
      </c>
      <c r="N70" s="780">
        <v>200.51560110618948</v>
      </c>
      <c r="O70" s="335">
        <v>139358.3427688017</v>
      </c>
      <c r="P70" s="335">
        <v>695</v>
      </c>
      <c r="Q70" s="22" t="s">
        <v>139</v>
      </c>
      <c r="R70" s="22" t="s">
        <v>117</v>
      </c>
      <c r="S70" s="24"/>
      <c r="T70" s="21"/>
    </row>
    <row r="71" spans="1:20" ht="195" hidden="1">
      <c r="A71" s="31">
        <v>68</v>
      </c>
      <c r="B71" s="22" t="s">
        <v>39</v>
      </c>
      <c r="C71" s="22" t="s">
        <v>40</v>
      </c>
      <c r="D71" s="22" t="s">
        <v>140</v>
      </c>
      <c r="E71" s="23" t="s">
        <v>141</v>
      </c>
      <c r="F71" s="22" t="s">
        <v>142</v>
      </c>
      <c r="G71" s="22" t="s">
        <v>143</v>
      </c>
      <c r="H71" s="22" t="s">
        <v>30</v>
      </c>
      <c r="I71" s="22" t="s">
        <v>144</v>
      </c>
      <c r="J71" s="22" t="s">
        <v>145</v>
      </c>
      <c r="K71" s="757" t="s">
        <v>2113</v>
      </c>
      <c r="L71" s="22" t="s">
        <v>102</v>
      </c>
      <c r="M71" s="429">
        <v>2021</v>
      </c>
      <c r="N71" s="780">
        <v>7.1690051769281637E-4</v>
      </c>
      <c r="O71" s="335">
        <v>696</v>
      </c>
      <c r="P71" s="335">
        <v>970846</v>
      </c>
      <c r="Q71" s="22" t="s">
        <v>146</v>
      </c>
      <c r="R71" s="22" t="s">
        <v>147</v>
      </c>
      <c r="S71" s="24"/>
      <c r="T71" s="21"/>
    </row>
    <row r="72" spans="1:20" ht="60" hidden="1">
      <c r="A72" s="31">
        <v>69</v>
      </c>
      <c r="B72" s="22" t="s">
        <v>39</v>
      </c>
      <c r="C72" s="22" t="s">
        <v>40</v>
      </c>
      <c r="D72" s="22" t="s">
        <v>140</v>
      </c>
      <c r="E72" s="23" t="s">
        <v>148</v>
      </c>
      <c r="F72" s="22" t="s">
        <v>142</v>
      </c>
      <c r="G72" s="22" t="s">
        <v>149</v>
      </c>
      <c r="H72" s="22" t="s">
        <v>30</v>
      </c>
      <c r="I72" s="22" t="s">
        <v>150</v>
      </c>
      <c r="J72" s="22" t="s">
        <v>151</v>
      </c>
      <c r="K72" s="757" t="s">
        <v>2113</v>
      </c>
      <c r="L72" s="22" t="s">
        <v>102</v>
      </c>
      <c r="M72" s="429">
        <v>2021</v>
      </c>
      <c r="N72" s="780">
        <v>0</v>
      </c>
      <c r="O72" s="335">
        <v>0</v>
      </c>
      <c r="P72" s="335">
        <v>35888</v>
      </c>
      <c r="Q72" s="22" t="s">
        <v>152</v>
      </c>
      <c r="R72" s="22" t="s">
        <v>1497</v>
      </c>
      <c r="S72" s="24"/>
      <c r="T72" s="21"/>
    </row>
    <row r="73" spans="1:20" ht="180" hidden="1">
      <c r="A73" s="31">
        <v>70</v>
      </c>
      <c r="B73" s="22" t="s">
        <v>39</v>
      </c>
      <c r="C73" s="22" t="s">
        <v>40</v>
      </c>
      <c r="D73" s="22" t="s">
        <v>140</v>
      </c>
      <c r="E73" s="23" t="s">
        <v>153</v>
      </c>
      <c r="F73" s="22" t="s">
        <v>142</v>
      </c>
      <c r="G73" s="22" t="s">
        <v>154</v>
      </c>
      <c r="H73" s="22" t="s">
        <v>30</v>
      </c>
      <c r="I73" s="22" t="s">
        <v>155</v>
      </c>
      <c r="J73" s="22" t="s">
        <v>156</v>
      </c>
      <c r="K73" s="757" t="s">
        <v>2113</v>
      </c>
      <c r="L73" s="22" t="s">
        <v>102</v>
      </c>
      <c r="M73" s="429">
        <v>2021</v>
      </c>
      <c r="N73" s="780">
        <v>0</v>
      </c>
      <c r="O73" s="335">
        <v>0</v>
      </c>
      <c r="P73" s="335">
        <v>23549</v>
      </c>
      <c r="Q73" s="22" t="s">
        <v>157</v>
      </c>
      <c r="R73" s="22" t="s">
        <v>1499</v>
      </c>
      <c r="S73" s="24"/>
      <c r="T73" s="21"/>
    </row>
    <row r="74" spans="1:20" ht="30" hidden="1">
      <c r="A74" s="31">
        <v>71</v>
      </c>
      <c r="B74" s="22" t="s">
        <v>39</v>
      </c>
      <c r="C74" s="22" t="s">
        <v>40</v>
      </c>
      <c r="D74" s="22" t="s">
        <v>158</v>
      </c>
      <c r="E74" s="23" t="s">
        <v>91</v>
      </c>
      <c r="F74" s="22" t="s">
        <v>92</v>
      </c>
      <c r="G74" s="22" t="s">
        <v>93</v>
      </c>
      <c r="H74" s="22" t="s">
        <v>30</v>
      </c>
      <c r="I74" s="22" t="s">
        <v>159</v>
      </c>
      <c r="J74" s="22" t="s">
        <v>92</v>
      </c>
      <c r="K74" s="755" t="s">
        <v>2112</v>
      </c>
      <c r="L74" s="22" t="s">
        <v>102</v>
      </c>
      <c r="M74" s="429">
        <v>2021</v>
      </c>
      <c r="N74" s="780">
        <v>605.54601756827196</v>
      </c>
      <c r="O74" s="335">
        <v>3069653.1891322257</v>
      </c>
      <c r="P74" s="335">
        <v>5069.2318999292884</v>
      </c>
      <c r="Q74" s="22"/>
      <c r="R74" s="22"/>
      <c r="S74" s="24"/>
      <c r="T74" s="21"/>
    </row>
    <row r="75" spans="1:20" ht="30" hidden="1">
      <c r="A75" s="31">
        <v>72</v>
      </c>
      <c r="B75" s="22" t="s">
        <v>39</v>
      </c>
      <c r="C75" s="22" t="s">
        <v>40</v>
      </c>
      <c r="D75" s="22" t="s">
        <v>158</v>
      </c>
      <c r="E75" s="23" t="s">
        <v>91</v>
      </c>
      <c r="F75" s="22" t="s">
        <v>95</v>
      </c>
      <c r="G75" s="22" t="s">
        <v>93</v>
      </c>
      <c r="H75" s="22" t="s">
        <v>30</v>
      </c>
      <c r="I75" s="22" t="s">
        <v>159</v>
      </c>
      <c r="J75" s="22" t="s">
        <v>95</v>
      </c>
      <c r="K75" s="755" t="s">
        <v>2112</v>
      </c>
      <c r="L75" s="22" t="s">
        <v>102</v>
      </c>
      <c r="M75" s="429">
        <v>2021</v>
      </c>
      <c r="N75" s="780">
        <v>8.117160480029284E-2</v>
      </c>
      <c r="O75" s="335">
        <v>3069653.1891322257</v>
      </c>
      <c r="P75" s="335">
        <v>37816835.045759149</v>
      </c>
      <c r="Q75" s="22"/>
      <c r="R75" s="22"/>
      <c r="S75" s="24"/>
      <c r="T75" s="21"/>
    </row>
    <row r="76" spans="1:20" ht="30" hidden="1">
      <c r="A76" s="31">
        <v>73</v>
      </c>
      <c r="B76" s="22" t="s">
        <v>39</v>
      </c>
      <c r="C76" s="22" t="s">
        <v>40</v>
      </c>
      <c r="D76" s="22" t="s">
        <v>158</v>
      </c>
      <c r="E76" s="23" t="s">
        <v>91</v>
      </c>
      <c r="F76" s="22" t="s">
        <v>96</v>
      </c>
      <c r="G76" s="22" t="s">
        <v>93</v>
      </c>
      <c r="H76" s="22" t="s">
        <v>30</v>
      </c>
      <c r="I76" s="22" t="s">
        <v>159</v>
      </c>
      <c r="J76" s="22" t="s">
        <v>96</v>
      </c>
      <c r="K76" s="755" t="s">
        <v>2112</v>
      </c>
      <c r="L76" s="22" t="s">
        <v>102</v>
      </c>
      <c r="M76" s="429">
        <v>2021</v>
      </c>
      <c r="N76" s="780">
        <v>0.93603902022142815</v>
      </c>
      <c r="O76" s="335">
        <v>565157.55107258039</v>
      </c>
      <c r="P76" s="335">
        <v>603775.63206594472</v>
      </c>
      <c r="Q76" s="22" t="s">
        <v>48</v>
      </c>
      <c r="R76" s="22" t="s">
        <v>49</v>
      </c>
      <c r="S76" s="24"/>
      <c r="T76" s="21"/>
    </row>
    <row r="77" spans="1:20" ht="30" hidden="1">
      <c r="A77" s="31">
        <v>74</v>
      </c>
      <c r="B77" s="22" t="s">
        <v>39</v>
      </c>
      <c r="C77" s="22" t="s">
        <v>40</v>
      </c>
      <c r="D77" s="22" t="s">
        <v>158</v>
      </c>
      <c r="E77" s="23" t="s">
        <v>91</v>
      </c>
      <c r="F77" s="22" t="s">
        <v>97</v>
      </c>
      <c r="G77" s="22" t="s">
        <v>93</v>
      </c>
      <c r="H77" s="22" t="s">
        <v>30</v>
      </c>
      <c r="I77" s="22" t="s">
        <v>159</v>
      </c>
      <c r="J77" s="22" t="s">
        <v>97</v>
      </c>
      <c r="K77" s="755" t="s">
        <v>2112</v>
      </c>
      <c r="L77" s="22" t="s">
        <v>102</v>
      </c>
      <c r="M77" s="429">
        <v>2021</v>
      </c>
      <c r="N77" s="780">
        <v>643.35594451469171</v>
      </c>
      <c r="O77" s="335">
        <v>3261320.4769430123</v>
      </c>
      <c r="P77" s="335">
        <v>5069.2318999292884</v>
      </c>
      <c r="Q77" s="22"/>
      <c r="R77" s="22"/>
      <c r="S77" s="24"/>
      <c r="T77" s="21"/>
    </row>
    <row r="78" spans="1:20" ht="30" hidden="1">
      <c r="A78" s="31">
        <v>75</v>
      </c>
      <c r="B78" s="22" t="s">
        <v>39</v>
      </c>
      <c r="C78" s="22" t="s">
        <v>40</v>
      </c>
      <c r="D78" s="22" t="s">
        <v>158</v>
      </c>
      <c r="E78" s="23" t="s">
        <v>91</v>
      </c>
      <c r="F78" s="22" t="s">
        <v>98</v>
      </c>
      <c r="G78" s="22" t="s">
        <v>93</v>
      </c>
      <c r="H78" s="22" t="s">
        <v>30</v>
      </c>
      <c r="I78" s="22" t="s">
        <v>159</v>
      </c>
      <c r="J78" s="22" t="s">
        <v>98</v>
      </c>
      <c r="K78" s="755" t="s">
        <v>2112</v>
      </c>
      <c r="L78" s="22" t="s">
        <v>102</v>
      </c>
      <c r="M78" s="429">
        <v>2021</v>
      </c>
      <c r="N78" s="780">
        <v>8.623991069048341E-2</v>
      </c>
      <c r="O78" s="335">
        <v>3261320.4769430123</v>
      </c>
      <c r="P78" s="335">
        <v>37816835.045759149</v>
      </c>
      <c r="Q78" s="22"/>
      <c r="R78" s="22"/>
      <c r="S78" s="24"/>
      <c r="T78" s="21"/>
    </row>
    <row r="79" spans="1:20" ht="30" hidden="1">
      <c r="A79" s="31">
        <v>76</v>
      </c>
      <c r="B79" s="22" t="s">
        <v>39</v>
      </c>
      <c r="C79" s="22" t="s">
        <v>40</v>
      </c>
      <c r="D79" s="22" t="s">
        <v>158</v>
      </c>
      <c r="E79" s="23" t="s">
        <v>91</v>
      </c>
      <c r="F79" s="22" t="s">
        <v>99</v>
      </c>
      <c r="G79" s="22" t="s">
        <v>93</v>
      </c>
      <c r="H79" s="22" t="s">
        <v>30</v>
      </c>
      <c r="I79" s="22" t="s">
        <v>159</v>
      </c>
      <c r="J79" s="22" t="s">
        <v>99</v>
      </c>
      <c r="K79" s="755" t="s">
        <v>2112</v>
      </c>
      <c r="L79" s="22" t="s">
        <v>102</v>
      </c>
      <c r="M79" s="429">
        <v>2021</v>
      </c>
      <c r="N79" s="780">
        <v>0.99448473028603168</v>
      </c>
      <c r="O79" s="335">
        <v>600445.64660837932</v>
      </c>
      <c r="P79" s="335">
        <v>603775.63206594472</v>
      </c>
      <c r="Q79" s="22" t="s">
        <v>48</v>
      </c>
      <c r="R79" s="22" t="s">
        <v>49</v>
      </c>
      <c r="S79" s="24"/>
      <c r="T79" s="21"/>
    </row>
    <row r="80" spans="1:20" ht="45" hidden="1">
      <c r="A80" s="31">
        <v>77</v>
      </c>
      <c r="B80" s="22" t="s">
        <v>39</v>
      </c>
      <c r="C80" s="22" t="s">
        <v>40</v>
      </c>
      <c r="D80" s="22" t="s">
        <v>160</v>
      </c>
      <c r="E80" s="23" t="s">
        <v>161</v>
      </c>
      <c r="F80" s="22" t="s">
        <v>162</v>
      </c>
      <c r="G80" s="22" t="s">
        <v>163</v>
      </c>
      <c r="H80" s="22" t="s">
        <v>164</v>
      </c>
      <c r="I80" s="22" t="s">
        <v>165</v>
      </c>
      <c r="J80" s="22" t="s">
        <v>166</v>
      </c>
      <c r="K80" s="757" t="s">
        <v>2114</v>
      </c>
      <c r="L80" s="22" t="s">
        <v>102</v>
      </c>
      <c r="M80" s="429">
        <v>2021</v>
      </c>
      <c r="N80" s="780">
        <v>36126.706568950249</v>
      </c>
      <c r="O80" s="67">
        <v>35073468565.639076</v>
      </c>
      <c r="P80" s="67">
        <v>970846</v>
      </c>
      <c r="Q80" s="22" t="s">
        <v>168</v>
      </c>
      <c r="R80" s="22" t="s">
        <v>169</v>
      </c>
      <c r="S80" s="24"/>
      <c r="T80" s="21"/>
    </row>
    <row r="81" spans="1:20" ht="60" hidden="1">
      <c r="A81" s="31">
        <v>78</v>
      </c>
      <c r="B81" s="22" t="s">
        <v>39</v>
      </c>
      <c r="C81" s="22" t="s">
        <v>40</v>
      </c>
      <c r="D81" s="22" t="s">
        <v>170</v>
      </c>
      <c r="E81" s="23" t="s">
        <v>171</v>
      </c>
      <c r="F81" s="22" t="s">
        <v>52</v>
      </c>
      <c r="G81" s="22" t="s">
        <v>53</v>
      </c>
      <c r="H81" s="22" t="s">
        <v>30</v>
      </c>
      <c r="I81" s="22" t="s">
        <v>172</v>
      </c>
      <c r="J81" s="22" t="s">
        <v>173</v>
      </c>
      <c r="K81" s="755" t="s">
        <v>2109</v>
      </c>
      <c r="L81" s="22" t="s">
        <v>174</v>
      </c>
      <c r="M81" s="429">
        <v>2021</v>
      </c>
      <c r="N81" s="780">
        <v>2272.6820359994967</v>
      </c>
      <c r="O81" s="756">
        <v>0</v>
      </c>
      <c r="P81" s="335">
        <v>0</v>
      </c>
      <c r="Q81" s="22" t="s">
        <v>899</v>
      </c>
      <c r="R81" s="22"/>
      <c r="S81" s="24"/>
      <c r="T81" s="21"/>
    </row>
    <row r="82" spans="1:20" ht="60" hidden="1">
      <c r="A82" s="31">
        <v>79</v>
      </c>
      <c r="B82" s="22" t="s">
        <v>39</v>
      </c>
      <c r="C82" s="22" t="s">
        <v>40</v>
      </c>
      <c r="D82" s="22" t="s">
        <v>170</v>
      </c>
      <c r="E82" s="23" t="s">
        <v>171</v>
      </c>
      <c r="F82" s="22" t="s">
        <v>55</v>
      </c>
      <c r="G82" s="22" t="s">
        <v>53</v>
      </c>
      <c r="H82" s="22" t="s">
        <v>30</v>
      </c>
      <c r="I82" s="22" t="s">
        <v>172</v>
      </c>
      <c r="J82" s="22" t="s">
        <v>175</v>
      </c>
      <c r="K82" s="755" t="s">
        <v>2109</v>
      </c>
      <c r="L82" s="22" t="s">
        <v>174</v>
      </c>
      <c r="M82" s="429">
        <v>2021</v>
      </c>
      <c r="N82" s="780">
        <v>2277.5363655269839</v>
      </c>
      <c r="O82" s="756">
        <v>0</v>
      </c>
      <c r="P82" s="335">
        <v>0</v>
      </c>
      <c r="Q82" s="22" t="s">
        <v>899</v>
      </c>
      <c r="R82" s="22"/>
      <c r="S82" s="24"/>
      <c r="T82" s="21"/>
    </row>
    <row r="83" spans="1:20" ht="60" hidden="1">
      <c r="A83" s="31">
        <v>80</v>
      </c>
      <c r="B83" s="22" t="s">
        <v>39</v>
      </c>
      <c r="C83" s="22" t="s">
        <v>40</v>
      </c>
      <c r="D83" s="22" t="s">
        <v>170</v>
      </c>
      <c r="E83" s="23" t="s">
        <v>171</v>
      </c>
      <c r="F83" s="22" t="s">
        <v>56</v>
      </c>
      <c r="G83" s="22" t="s">
        <v>53</v>
      </c>
      <c r="H83" s="22" t="s">
        <v>30</v>
      </c>
      <c r="I83" s="22" t="s">
        <v>172</v>
      </c>
      <c r="J83" s="22" t="s">
        <v>176</v>
      </c>
      <c r="K83" s="755" t="s">
        <v>2109</v>
      </c>
      <c r="L83" s="22" t="s">
        <v>174</v>
      </c>
      <c r="M83" s="429">
        <v>2021</v>
      </c>
      <c r="N83" s="780">
        <v>13909685.113864617</v>
      </c>
      <c r="O83" s="756">
        <v>0</v>
      </c>
      <c r="P83" s="335">
        <v>0</v>
      </c>
      <c r="Q83" s="22" t="s">
        <v>899</v>
      </c>
      <c r="R83" s="22"/>
      <c r="S83" s="24"/>
      <c r="T83" s="21"/>
    </row>
    <row r="84" spans="1:20" ht="60" hidden="1">
      <c r="A84" s="31">
        <v>81</v>
      </c>
      <c r="B84" s="22" t="s">
        <v>39</v>
      </c>
      <c r="C84" s="22" t="s">
        <v>40</v>
      </c>
      <c r="D84" s="22" t="s">
        <v>170</v>
      </c>
      <c r="E84" s="23" t="s">
        <v>171</v>
      </c>
      <c r="F84" s="22" t="s">
        <v>57</v>
      </c>
      <c r="G84" s="22" t="s">
        <v>53</v>
      </c>
      <c r="H84" s="22" t="s">
        <v>30</v>
      </c>
      <c r="I84" s="22" t="s">
        <v>172</v>
      </c>
      <c r="J84" s="22" t="s">
        <v>177</v>
      </c>
      <c r="K84" s="755" t="s">
        <v>2109</v>
      </c>
      <c r="L84" s="22" t="s">
        <v>174</v>
      </c>
      <c r="M84" s="429">
        <v>2021</v>
      </c>
      <c r="N84" s="780">
        <v>14235406.513566123</v>
      </c>
      <c r="O84" s="756">
        <v>0</v>
      </c>
      <c r="P84" s="335">
        <v>0</v>
      </c>
      <c r="Q84" s="22" t="s">
        <v>899</v>
      </c>
      <c r="R84" s="22"/>
      <c r="S84" s="24"/>
      <c r="T84" s="21"/>
    </row>
    <row r="85" spans="1:20" ht="60" hidden="1">
      <c r="A85" s="31">
        <v>82</v>
      </c>
      <c r="B85" s="22" t="s">
        <v>39</v>
      </c>
      <c r="C85" s="22" t="s">
        <v>40</v>
      </c>
      <c r="D85" s="22" t="s">
        <v>170</v>
      </c>
      <c r="E85" s="23" t="s">
        <v>171</v>
      </c>
      <c r="F85" s="22" t="s">
        <v>58</v>
      </c>
      <c r="G85" s="22" t="s">
        <v>53</v>
      </c>
      <c r="H85" s="22" t="s">
        <v>30</v>
      </c>
      <c r="I85" s="22" t="s">
        <v>172</v>
      </c>
      <c r="J85" s="22" t="s">
        <v>178</v>
      </c>
      <c r="K85" s="755" t="s">
        <v>2109</v>
      </c>
      <c r="L85" s="22" t="s">
        <v>174</v>
      </c>
      <c r="M85" s="429">
        <v>2021</v>
      </c>
      <c r="N85" s="780">
        <v>716248.89391560736</v>
      </c>
      <c r="O85" s="66">
        <v>0</v>
      </c>
      <c r="P85" s="67">
        <v>0</v>
      </c>
      <c r="Q85" s="22" t="s">
        <v>899</v>
      </c>
      <c r="R85" s="22" t="s">
        <v>1522</v>
      </c>
      <c r="S85" s="24"/>
      <c r="T85" s="21"/>
    </row>
    <row r="86" spans="1:20" ht="60" hidden="1">
      <c r="A86" s="31">
        <v>83</v>
      </c>
      <c r="B86" s="22" t="s">
        <v>39</v>
      </c>
      <c r="C86" s="22" t="s">
        <v>40</v>
      </c>
      <c r="D86" s="22" t="s">
        <v>170</v>
      </c>
      <c r="E86" s="23" t="s">
        <v>171</v>
      </c>
      <c r="F86" s="22" t="s">
        <v>60</v>
      </c>
      <c r="G86" s="22" t="s">
        <v>53</v>
      </c>
      <c r="H86" s="22" t="s">
        <v>30</v>
      </c>
      <c r="I86" s="22" t="s">
        <v>172</v>
      </c>
      <c r="J86" s="22" t="s">
        <v>180</v>
      </c>
      <c r="K86" s="755" t="s">
        <v>2109</v>
      </c>
      <c r="L86" s="22" t="s">
        <v>174</v>
      </c>
      <c r="M86" s="429">
        <v>2021</v>
      </c>
      <c r="N86" s="780">
        <v>551774.14396279259</v>
      </c>
      <c r="O86" s="66">
        <v>0</v>
      </c>
      <c r="P86" s="67">
        <v>0</v>
      </c>
      <c r="Q86" s="22" t="s">
        <v>899</v>
      </c>
      <c r="R86" s="22" t="s">
        <v>1522</v>
      </c>
      <c r="S86" s="24"/>
      <c r="T86" s="21"/>
    </row>
    <row r="87" spans="1:20" ht="60" hidden="1">
      <c r="A87" s="31">
        <v>84</v>
      </c>
      <c r="B87" s="22" t="s">
        <v>39</v>
      </c>
      <c r="C87" s="22" t="s">
        <v>40</v>
      </c>
      <c r="D87" s="22" t="s">
        <v>170</v>
      </c>
      <c r="E87" s="23" t="s">
        <v>171</v>
      </c>
      <c r="F87" s="22" t="s">
        <v>61</v>
      </c>
      <c r="G87" s="22" t="s">
        <v>53</v>
      </c>
      <c r="H87" s="22" t="s">
        <v>30</v>
      </c>
      <c r="I87" s="22" t="s">
        <v>172</v>
      </c>
      <c r="J87" s="22" t="s">
        <v>181</v>
      </c>
      <c r="K87" s="755" t="s">
        <v>2109</v>
      </c>
      <c r="L87" s="22" t="s">
        <v>174</v>
      </c>
      <c r="M87" s="429">
        <v>2021</v>
      </c>
      <c r="N87" s="780">
        <v>3860.1328062654202</v>
      </c>
      <c r="O87" s="756">
        <v>0</v>
      </c>
      <c r="P87" s="335">
        <v>0</v>
      </c>
      <c r="Q87" s="22" t="s">
        <v>899</v>
      </c>
      <c r="R87" s="22"/>
      <c r="S87" s="24"/>
      <c r="T87" s="21"/>
    </row>
    <row r="88" spans="1:20" ht="60" hidden="1">
      <c r="A88" s="31">
        <v>85</v>
      </c>
      <c r="B88" s="22" t="s">
        <v>39</v>
      </c>
      <c r="C88" s="22" t="s">
        <v>40</v>
      </c>
      <c r="D88" s="22" t="s">
        <v>170</v>
      </c>
      <c r="E88" s="23" t="s">
        <v>171</v>
      </c>
      <c r="F88" s="22" t="s">
        <v>62</v>
      </c>
      <c r="G88" s="22" t="s">
        <v>53</v>
      </c>
      <c r="H88" s="22" t="s">
        <v>30</v>
      </c>
      <c r="I88" s="22" t="s">
        <v>172</v>
      </c>
      <c r="J88" s="22" t="s">
        <v>182</v>
      </c>
      <c r="K88" s="755" t="s">
        <v>2109</v>
      </c>
      <c r="L88" s="22" t="s">
        <v>174</v>
      </c>
      <c r="M88" s="429">
        <v>2021</v>
      </c>
      <c r="N88" s="780">
        <v>3494.9754540435247</v>
      </c>
      <c r="O88" s="756">
        <v>0</v>
      </c>
      <c r="P88" s="335">
        <v>0</v>
      </c>
      <c r="Q88" s="22" t="s">
        <v>899</v>
      </c>
      <c r="R88" s="22"/>
      <c r="S88" s="24"/>
      <c r="T88" s="21"/>
    </row>
    <row r="89" spans="1:20" ht="60" hidden="1">
      <c r="A89" s="31">
        <v>86</v>
      </c>
      <c r="B89" s="22" t="s">
        <v>39</v>
      </c>
      <c r="C89" s="22" t="s">
        <v>40</v>
      </c>
      <c r="D89" s="22" t="s">
        <v>170</v>
      </c>
      <c r="E89" s="23" t="s">
        <v>171</v>
      </c>
      <c r="F89" s="22" t="s">
        <v>63</v>
      </c>
      <c r="G89" s="22" t="s">
        <v>53</v>
      </c>
      <c r="H89" s="22" t="s">
        <v>30</v>
      </c>
      <c r="I89" s="22" t="s">
        <v>172</v>
      </c>
      <c r="J89" s="22" t="s">
        <v>183</v>
      </c>
      <c r="K89" s="755" t="s">
        <v>2109</v>
      </c>
      <c r="L89" s="22" t="s">
        <v>174</v>
      </c>
      <c r="M89" s="429">
        <v>2021</v>
      </c>
      <c r="N89" s="780">
        <v>18795364.293484993</v>
      </c>
      <c r="O89" s="756">
        <v>0</v>
      </c>
      <c r="P89" s="335">
        <v>0</v>
      </c>
      <c r="Q89" s="22" t="s">
        <v>899</v>
      </c>
      <c r="R89" s="22"/>
      <c r="S89" s="24"/>
      <c r="T89" s="21"/>
    </row>
    <row r="90" spans="1:20" ht="60" hidden="1">
      <c r="A90" s="31">
        <v>87</v>
      </c>
      <c r="B90" s="22" t="s">
        <v>39</v>
      </c>
      <c r="C90" s="22" t="s">
        <v>40</v>
      </c>
      <c r="D90" s="22" t="s">
        <v>170</v>
      </c>
      <c r="E90" s="23" t="s">
        <v>171</v>
      </c>
      <c r="F90" s="22" t="s">
        <v>64</v>
      </c>
      <c r="G90" s="22" t="s">
        <v>53</v>
      </c>
      <c r="H90" s="22" t="s">
        <v>30</v>
      </c>
      <c r="I90" s="22" t="s">
        <v>172</v>
      </c>
      <c r="J90" s="22" t="s">
        <v>184</v>
      </c>
      <c r="K90" s="755" t="s">
        <v>2109</v>
      </c>
      <c r="L90" s="22" t="s">
        <v>174</v>
      </c>
      <c r="M90" s="429">
        <v>2021</v>
      </c>
      <c r="N90" s="780">
        <v>17778919.704575717</v>
      </c>
      <c r="O90" s="756">
        <v>0</v>
      </c>
      <c r="P90" s="335">
        <v>0</v>
      </c>
      <c r="Q90" s="22" t="s">
        <v>899</v>
      </c>
      <c r="R90" s="22"/>
      <c r="S90" s="24"/>
      <c r="T90" s="21"/>
    </row>
    <row r="91" spans="1:20" ht="60" hidden="1">
      <c r="A91" s="31">
        <v>88</v>
      </c>
      <c r="B91" s="22" t="s">
        <v>39</v>
      </c>
      <c r="C91" s="22" t="s">
        <v>40</v>
      </c>
      <c r="D91" s="22" t="s">
        <v>170</v>
      </c>
      <c r="E91" s="23" t="s">
        <v>171</v>
      </c>
      <c r="F91" s="22" t="s">
        <v>65</v>
      </c>
      <c r="G91" s="22" t="s">
        <v>53</v>
      </c>
      <c r="H91" s="22" t="s">
        <v>30</v>
      </c>
      <c r="I91" s="22" t="s">
        <v>172</v>
      </c>
      <c r="J91" s="22" t="s">
        <v>185</v>
      </c>
      <c r="K91" s="755" t="s">
        <v>2109</v>
      </c>
      <c r="L91" s="22" t="s">
        <v>174</v>
      </c>
      <c r="M91" s="429">
        <v>2021</v>
      </c>
      <c r="N91" s="780">
        <v>3000413.3257367313</v>
      </c>
      <c r="O91" s="66">
        <v>0</v>
      </c>
      <c r="P91" s="67">
        <v>0</v>
      </c>
      <c r="Q91" s="22" t="s">
        <v>899</v>
      </c>
      <c r="R91" s="22" t="s">
        <v>1522</v>
      </c>
      <c r="S91" s="24"/>
      <c r="T91" s="21"/>
    </row>
    <row r="92" spans="1:20" ht="60" hidden="1">
      <c r="A92" s="31">
        <v>89</v>
      </c>
      <c r="B92" s="22" t="s">
        <v>39</v>
      </c>
      <c r="C92" s="22" t="s">
        <v>40</v>
      </c>
      <c r="D92" s="22" t="s">
        <v>170</v>
      </c>
      <c r="E92" s="23" t="s">
        <v>171</v>
      </c>
      <c r="F92" s="22" t="s">
        <v>66</v>
      </c>
      <c r="G92" s="22" t="s">
        <v>53</v>
      </c>
      <c r="H92" s="22" t="s">
        <v>30</v>
      </c>
      <c r="I92" s="22" t="s">
        <v>172</v>
      </c>
      <c r="J92" s="22" t="s">
        <v>186</v>
      </c>
      <c r="K92" s="755" t="s">
        <v>2109</v>
      </c>
      <c r="L92" s="22" t="s">
        <v>174</v>
      </c>
      <c r="M92" s="429">
        <v>2021</v>
      </c>
      <c r="N92" s="780">
        <v>2029611.2909535102</v>
      </c>
      <c r="O92" s="66">
        <v>0</v>
      </c>
      <c r="P92" s="67">
        <v>0</v>
      </c>
      <c r="Q92" s="22" t="s">
        <v>899</v>
      </c>
      <c r="R92" s="22" t="s">
        <v>1522</v>
      </c>
      <c r="S92" s="24"/>
      <c r="T92" s="21"/>
    </row>
    <row r="93" spans="1:20" ht="60" hidden="1">
      <c r="A93" s="31">
        <v>90</v>
      </c>
      <c r="B93" s="22" t="s">
        <v>39</v>
      </c>
      <c r="C93" s="22" t="s">
        <v>40</v>
      </c>
      <c r="D93" s="22" t="s">
        <v>170</v>
      </c>
      <c r="E93" s="23" t="s">
        <v>187</v>
      </c>
      <c r="F93" s="22" t="s">
        <v>52</v>
      </c>
      <c r="G93" s="22" t="s">
        <v>53</v>
      </c>
      <c r="H93" s="22" t="s">
        <v>30</v>
      </c>
      <c r="I93" s="22" t="s">
        <v>172</v>
      </c>
      <c r="J93" s="22" t="s">
        <v>188</v>
      </c>
      <c r="K93" s="755" t="s">
        <v>2109</v>
      </c>
      <c r="L93" s="22" t="s">
        <v>174</v>
      </c>
      <c r="M93" s="429">
        <v>2021</v>
      </c>
      <c r="N93" s="780">
        <v>380.4376865724069</v>
      </c>
      <c r="O93" s="756">
        <v>0</v>
      </c>
      <c r="P93" s="335">
        <v>0</v>
      </c>
      <c r="Q93" s="22" t="s">
        <v>899</v>
      </c>
      <c r="R93" s="22"/>
      <c r="S93" s="24"/>
      <c r="T93" s="21"/>
    </row>
    <row r="94" spans="1:20" ht="60" hidden="1">
      <c r="A94" s="31">
        <v>91</v>
      </c>
      <c r="B94" s="22" t="s">
        <v>39</v>
      </c>
      <c r="C94" s="22" t="s">
        <v>40</v>
      </c>
      <c r="D94" s="22" t="s">
        <v>170</v>
      </c>
      <c r="E94" s="23" t="s">
        <v>187</v>
      </c>
      <c r="F94" s="22" t="s">
        <v>55</v>
      </c>
      <c r="G94" s="22" t="s">
        <v>53</v>
      </c>
      <c r="H94" s="22" t="s">
        <v>30</v>
      </c>
      <c r="I94" s="22" t="s">
        <v>172</v>
      </c>
      <c r="J94" s="22" t="s">
        <v>189</v>
      </c>
      <c r="K94" s="755" t="s">
        <v>2109</v>
      </c>
      <c r="L94" s="22" t="s">
        <v>174</v>
      </c>
      <c r="M94" s="429">
        <v>2021</v>
      </c>
      <c r="N94" s="780">
        <v>276.13149284606186</v>
      </c>
      <c r="O94" s="756">
        <v>0</v>
      </c>
      <c r="P94" s="335">
        <v>0</v>
      </c>
      <c r="Q94" s="22" t="s">
        <v>899</v>
      </c>
      <c r="R94" s="22"/>
      <c r="S94" s="24"/>
      <c r="T94" s="21"/>
    </row>
    <row r="95" spans="1:20" ht="60" hidden="1">
      <c r="A95" s="31">
        <v>92</v>
      </c>
      <c r="B95" s="22" t="s">
        <v>39</v>
      </c>
      <c r="C95" s="22" t="s">
        <v>40</v>
      </c>
      <c r="D95" s="22" t="s">
        <v>170</v>
      </c>
      <c r="E95" s="23" t="s">
        <v>187</v>
      </c>
      <c r="F95" s="22" t="s">
        <v>56</v>
      </c>
      <c r="G95" s="22" t="s">
        <v>53</v>
      </c>
      <c r="H95" s="22" t="s">
        <v>30</v>
      </c>
      <c r="I95" s="22" t="s">
        <v>172</v>
      </c>
      <c r="J95" s="22" t="s">
        <v>190</v>
      </c>
      <c r="K95" s="755" t="s">
        <v>2109</v>
      </c>
      <c r="L95" s="22" t="s">
        <v>174</v>
      </c>
      <c r="M95" s="429">
        <v>2021</v>
      </c>
      <c r="N95" s="780">
        <v>734784.67935567826</v>
      </c>
      <c r="O95" s="756">
        <v>0</v>
      </c>
      <c r="P95" s="335">
        <v>0</v>
      </c>
      <c r="Q95" s="22" t="s">
        <v>899</v>
      </c>
      <c r="R95" s="22"/>
      <c r="S95" s="24"/>
      <c r="T95" s="21"/>
    </row>
    <row r="96" spans="1:20" ht="60" hidden="1">
      <c r="A96" s="31">
        <v>93</v>
      </c>
      <c r="B96" s="22" t="s">
        <v>39</v>
      </c>
      <c r="C96" s="22" t="s">
        <v>40</v>
      </c>
      <c r="D96" s="22" t="s">
        <v>170</v>
      </c>
      <c r="E96" s="23" t="s">
        <v>187</v>
      </c>
      <c r="F96" s="22" t="s">
        <v>57</v>
      </c>
      <c r="G96" s="22" t="s">
        <v>53</v>
      </c>
      <c r="H96" s="22" t="s">
        <v>30</v>
      </c>
      <c r="I96" s="22" t="s">
        <v>172</v>
      </c>
      <c r="J96" s="22" t="s">
        <v>191</v>
      </c>
      <c r="K96" s="755" t="s">
        <v>2109</v>
      </c>
      <c r="L96" s="22" t="s">
        <v>174</v>
      </c>
      <c r="M96" s="429">
        <v>2021</v>
      </c>
      <c r="N96" s="780">
        <v>529642.82233990915</v>
      </c>
      <c r="O96" s="756">
        <v>0</v>
      </c>
      <c r="P96" s="335">
        <v>0</v>
      </c>
      <c r="Q96" s="22" t="s">
        <v>899</v>
      </c>
      <c r="R96" s="22"/>
      <c r="S96" s="24"/>
      <c r="T96" s="21"/>
    </row>
    <row r="97" spans="1:20" ht="90" hidden="1">
      <c r="A97" s="31">
        <v>94</v>
      </c>
      <c r="B97" s="22" t="s">
        <v>39</v>
      </c>
      <c r="C97" s="22" t="s">
        <v>40</v>
      </c>
      <c r="D97" s="22" t="s">
        <v>170</v>
      </c>
      <c r="E97" s="23" t="s">
        <v>187</v>
      </c>
      <c r="F97" s="22" t="s">
        <v>58</v>
      </c>
      <c r="G97" s="22" t="s">
        <v>53</v>
      </c>
      <c r="H97" s="22" t="s">
        <v>30</v>
      </c>
      <c r="I97" s="22" t="s">
        <v>172</v>
      </c>
      <c r="J97" s="22" t="s">
        <v>192</v>
      </c>
      <c r="K97" s="755" t="s">
        <v>2109</v>
      </c>
      <c r="L97" s="22" t="s">
        <v>174</v>
      </c>
      <c r="M97" s="429">
        <v>2021</v>
      </c>
      <c r="N97" s="780">
        <v>99922.819398759253</v>
      </c>
      <c r="O97" s="66">
        <v>0</v>
      </c>
      <c r="P97" s="67">
        <v>0</v>
      </c>
      <c r="Q97" s="22" t="s">
        <v>899</v>
      </c>
      <c r="R97" s="22" t="s">
        <v>1526</v>
      </c>
      <c r="S97" s="24"/>
      <c r="T97" s="21"/>
    </row>
    <row r="98" spans="1:20" ht="90" hidden="1">
      <c r="A98" s="31">
        <v>95</v>
      </c>
      <c r="B98" s="22" t="s">
        <v>39</v>
      </c>
      <c r="C98" s="22" t="s">
        <v>40</v>
      </c>
      <c r="D98" s="22" t="s">
        <v>170</v>
      </c>
      <c r="E98" s="23" t="s">
        <v>187</v>
      </c>
      <c r="F98" s="22" t="s">
        <v>60</v>
      </c>
      <c r="G98" s="22" t="s">
        <v>53</v>
      </c>
      <c r="H98" s="22" t="s">
        <v>30</v>
      </c>
      <c r="I98" s="22" t="s">
        <v>172</v>
      </c>
      <c r="J98" s="22" t="s">
        <v>193</v>
      </c>
      <c r="K98" s="755" t="s">
        <v>2109</v>
      </c>
      <c r="L98" s="22" t="s">
        <v>174</v>
      </c>
      <c r="M98" s="429">
        <v>2021</v>
      </c>
      <c r="N98" s="780">
        <v>66405.244734060951</v>
      </c>
      <c r="O98" s="66">
        <v>0</v>
      </c>
      <c r="P98" s="67">
        <v>0</v>
      </c>
      <c r="Q98" s="22" t="s">
        <v>899</v>
      </c>
      <c r="R98" s="22" t="s">
        <v>1526</v>
      </c>
      <c r="S98" s="24"/>
      <c r="T98" s="21"/>
    </row>
    <row r="99" spans="1:20" ht="60" hidden="1">
      <c r="A99" s="31">
        <v>96</v>
      </c>
      <c r="B99" s="22" t="s">
        <v>39</v>
      </c>
      <c r="C99" s="22" t="s">
        <v>40</v>
      </c>
      <c r="D99" s="22" t="s">
        <v>170</v>
      </c>
      <c r="E99" s="23" t="s">
        <v>187</v>
      </c>
      <c r="F99" s="22" t="s">
        <v>61</v>
      </c>
      <c r="G99" s="22" t="s">
        <v>53</v>
      </c>
      <c r="H99" s="22" t="s">
        <v>30</v>
      </c>
      <c r="I99" s="22" t="s">
        <v>172</v>
      </c>
      <c r="J99" s="22" t="s">
        <v>194</v>
      </c>
      <c r="K99" s="755" t="s">
        <v>2109</v>
      </c>
      <c r="L99" s="22" t="s">
        <v>174</v>
      </c>
      <c r="M99" s="429">
        <v>2021</v>
      </c>
      <c r="N99" s="780">
        <v>2459.6443148865246</v>
      </c>
      <c r="O99" s="756">
        <v>0</v>
      </c>
      <c r="P99" s="335">
        <v>0</v>
      </c>
      <c r="Q99" s="22" t="s">
        <v>899</v>
      </c>
      <c r="R99" s="22"/>
      <c r="S99" s="24"/>
      <c r="T99" s="21"/>
    </row>
    <row r="100" spans="1:20" ht="60" hidden="1">
      <c r="A100" s="31">
        <v>97</v>
      </c>
      <c r="B100" s="22" t="s">
        <v>39</v>
      </c>
      <c r="C100" s="22" t="s">
        <v>40</v>
      </c>
      <c r="D100" s="22" t="s">
        <v>170</v>
      </c>
      <c r="E100" s="23" t="s">
        <v>187</v>
      </c>
      <c r="F100" s="22" t="s">
        <v>62</v>
      </c>
      <c r="G100" s="22" t="s">
        <v>53</v>
      </c>
      <c r="H100" s="22" t="s">
        <v>30</v>
      </c>
      <c r="I100" s="22" t="s">
        <v>172</v>
      </c>
      <c r="J100" s="22" t="s">
        <v>195</v>
      </c>
      <c r="K100" s="755" t="s">
        <v>2109</v>
      </c>
      <c r="L100" s="22" t="s">
        <v>174</v>
      </c>
      <c r="M100" s="429">
        <v>2021</v>
      </c>
      <c r="N100" s="780">
        <v>1849.8460068207728</v>
      </c>
      <c r="O100" s="756">
        <v>0</v>
      </c>
      <c r="P100" s="335">
        <v>0</v>
      </c>
      <c r="Q100" s="22" t="s">
        <v>899</v>
      </c>
      <c r="R100" s="22"/>
      <c r="S100" s="24"/>
      <c r="T100" s="21"/>
    </row>
    <row r="101" spans="1:20" ht="60" hidden="1">
      <c r="A101" s="31">
        <v>98</v>
      </c>
      <c r="B101" s="22" t="s">
        <v>39</v>
      </c>
      <c r="C101" s="22" t="s">
        <v>40</v>
      </c>
      <c r="D101" s="22" t="s">
        <v>170</v>
      </c>
      <c r="E101" s="23" t="s">
        <v>187</v>
      </c>
      <c r="F101" s="22" t="s">
        <v>63</v>
      </c>
      <c r="G101" s="22" t="s">
        <v>53</v>
      </c>
      <c r="H101" s="22" t="s">
        <v>30</v>
      </c>
      <c r="I101" s="22" t="s">
        <v>172</v>
      </c>
      <c r="J101" s="22" t="s">
        <v>196</v>
      </c>
      <c r="K101" s="755" t="s">
        <v>2109</v>
      </c>
      <c r="L101" s="22" t="s">
        <v>174</v>
      </c>
      <c r="M101" s="429">
        <v>2021</v>
      </c>
      <c r="N101" s="780">
        <v>5040107.4109395761</v>
      </c>
      <c r="O101" s="756">
        <v>0</v>
      </c>
      <c r="P101" s="335">
        <v>0</v>
      </c>
      <c r="Q101" s="22" t="s">
        <v>899</v>
      </c>
      <c r="R101" s="22"/>
      <c r="S101" s="24"/>
      <c r="T101" s="21"/>
    </row>
    <row r="102" spans="1:20" ht="60" hidden="1">
      <c r="A102" s="31">
        <v>99</v>
      </c>
      <c r="B102" s="22" t="s">
        <v>39</v>
      </c>
      <c r="C102" s="22" t="s">
        <v>40</v>
      </c>
      <c r="D102" s="22" t="s">
        <v>170</v>
      </c>
      <c r="E102" s="23" t="s">
        <v>187</v>
      </c>
      <c r="F102" s="22" t="s">
        <v>64</v>
      </c>
      <c r="G102" s="22" t="s">
        <v>53</v>
      </c>
      <c r="H102" s="22" t="s">
        <v>30</v>
      </c>
      <c r="I102" s="22" t="s">
        <v>172</v>
      </c>
      <c r="J102" s="22" t="s">
        <v>197</v>
      </c>
      <c r="K102" s="755" t="s">
        <v>2109</v>
      </c>
      <c r="L102" s="22" t="s">
        <v>174</v>
      </c>
      <c r="M102" s="429">
        <v>2021</v>
      </c>
      <c r="N102" s="780">
        <v>3790112.9030206748</v>
      </c>
      <c r="O102" s="756">
        <v>0</v>
      </c>
      <c r="P102" s="335">
        <v>0</v>
      </c>
      <c r="Q102" s="22" t="s">
        <v>899</v>
      </c>
      <c r="R102" s="22"/>
      <c r="S102" s="24"/>
      <c r="T102" s="21"/>
    </row>
    <row r="103" spans="1:20" ht="90" hidden="1">
      <c r="A103" s="31">
        <v>100</v>
      </c>
      <c r="B103" s="22" t="s">
        <v>39</v>
      </c>
      <c r="C103" s="22" t="s">
        <v>40</v>
      </c>
      <c r="D103" s="22" t="s">
        <v>170</v>
      </c>
      <c r="E103" s="23" t="s">
        <v>187</v>
      </c>
      <c r="F103" s="22" t="s">
        <v>65</v>
      </c>
      <c r="G103" s="22" t="s">
        <v>53</v>
      </c>
      <c r="H103" s="22" t="s">
        <v>30</v>
      </c>
      <c r="I103" s="22" t="s">
        <v>172</v>
      </c>
      <c r="J103" s="22" t="s">
        <v>198</v>
      </c>
      <c r="K103" s="755" t="s">
        <v>2109</v>
      </c>
      <c r="L103" s="22" t="s">
        <v>174</v>
      </c>
      <c r="M103" s="429">
        <v>2021</v>
      </c>
      <c r="N103" s="780">
        <v>519048.23540548346</v>
      </c>
      <c r="O103" s="66">
        <v>0</v>
      </c>
      <c r="P103" s="67">
        <v>0</v>
      </c>
      <c r="Q103" s="22" t="s">
        <v>899</v>
      </c>
      <c r="R103" s="22" t="s">
        <v>1526</v>
      </c>
      <c r="S103" s="24"/>
      <c r="T103" s="21"/>
    </row>
    <row r="104" spans="1:20" ht="90" hidden="1">
      <c r="A104" s="31">
        <v>101</v>
      </c>
      <c r="B104" s="22" t="s">
        <v>39</v>
      </c>
      <c r="C104" s="22" t="s">
        <v>40</v>
      </c>
      <c r="D104" s="22" t="s">
        <v>170</v>
      </c>
      <c r="E104" s="23" t="s">
        <v>187</v>
      </c>
      <c r="F104" s="22" t="s">
        <v>66</v>
      </c>
      <c r="G104" s="22" t="s">
        <v>53</v>
      </c>
      <c r="H104" s="22" t="s">
        <v>30</v>
      </c>
      <c r="I104" s="22" t="s">
        <v>172</v>
      </c>
      <c r="J104" s="22" t="s">
        <v>199</v>
      </c>
      <c r="K104" s="755" t="s">
        <v>2109</v>
      </c>
      <c r="L104" s="22" t="s">
        <v>174</v>
      </c>
      <c r="M104" s="429">
        <v>2021</v>
      </c>
      <c r="N104" s="780">
        <v>345284.15011361399</v>
      </c>
      <c r="O104" s="66">
        <v>0</v>
      </c>
      <c r="P104" s="67">
        <v>0</v>
      </c>
      <c r="Q104" s="22" t="s">
        <v>899</v>
      </c>
      <c r="R104" s="22" t="s">
        <v>1526</v>
      </c>
      <c r="S104" s="24"/>
      <c r="T104" s="21"/>
    </row>
    <row r="105" spans="1:20" ht="60" hidden="1">
      <c r="A105" s="31">
        <v>102</v>
      </c>
      <c r="B105" s="22" t="s">
        <v>39</v>
      </c>
      <c r="C105" s="22" t="s">
        <v>40</v>
      </c>
      <c r="D105" s="22" t="s">
        <v>170</v>
      </c>
      <c r="E105" s="23" t="s">
        <v>200</v>
      </c>
      <c r="F105" s="22" t="s">
        <v>52</v>
      </c>
      <c r="G105" s="22" t="s">
        <v>53</v>
      </c>
      <c r="H105" s="22" t="s">
        <v>30</v>
      </c>
      <c r="I105" s="22" t="s">
        <v>172</v>
      </c>
      <c r="J105" s="22" t="s">
        <v>201</v>
      </c>
      <c r="K105" s="755" t="s">
        <v>2109</v>
      </c>
      <c r="L105" s="22" t="s">
        <v>174</v>
      </c>
      <c r="M105" s="429">
        <v>2021</v>
      </c>
      <c r="N105" s="780">
        <v>3.8511714363621001</v>
      </c>
      <c r="O105" s="756">
        <v>0</v>
      </c>
      <c r="P105" s="335">
        <v>0</v>
      </c>
      <c r="Q105" s="22" t="s">
        <v>899</v>
      </c>
      <c r="R105" s="22"/>
      <c r="S105" s="24"/>
      <c r="T105" s="21"/>
    </row>
    <row r="106" spans="1:20" ht="60" hidden="1">
      <c r="A106" s="31">
        <v>103</v>
      </c>
      <c r="B106" s="22" t="s">
        <v>39</v>
      </c>
      <c r="C106" s="22" t="s">
        <v>40</v>
      </c>
      <c r="D106" s="22" t="s">
        <v>170</v>
      </c>
      <c r="E106" s="23" t="s">
        <v>200</v>
      </c>
      <c r="F106" s="22" t="s">
        <v>55</v>
      </c>
      <c r="G106" s="22" t="s">
        <v>53</v>
      </c>
      <c r="H106" s="22" t="s">
        <v>30</v>
      </c>
      <c r="I106" s="22" t="s">
        <v>172</v>
      </c>
      <c r="J106" s="22" t="s">
        <v>202</v>
      </c>
      <c r="K106" s="755" t="s">
        <v>2109</v>
      </c>
      <c r="L106" s="22" t="s">
        <v>174</v>
      </c>
      <c r="M106" s="429">
        <v>2021</v>
      </c>
      <c r="N106" s="780">
        <v>2.3336229086375644</v>
      </c>
      <c r="O106" s="756">
        <v>0</v>
      </c>
      <c r="P106" s="335">
        <v>0</v>
      </c>
      <c r="Q106" s="22" t="s">
        <v>899</v>
      </c>
      <c r="R106" s="22"/>
      <c r="S106" s="24"/>
      <c r="T106" s="21"/>
    </row>
    <row r="107" spans="1:20" ht="60" hidden="1">
      <c r="A107" s="31">
        <v>104</v>
      </c>
      <c r="B107" s="22" t="s">
        <v>39</v>
      </c>
      <c r="C107" s="22" t="s">
        <v>40</v>
      </c>
      <c r="D107" s="22" t="s">
        <v>170</v>
      </c>
      <c r="E107" s="23" t="s">
        <v>200</v>
      </c>
      <c r="F107" s="22" t="s">
        <v>56</v>
      </c>
      <c r="G107" s="22" t="s">
        <v>53</v>
      </c>
      <c r="H107" s="22" t="s">
        <v>30</v>
      </c>
      <c r="I107" s="22" t="s">
        <v>172</v>
      </c>
      <c r="J107" s="22" t="s">
        <v>203</v>
      </c>
      <c r="K107" s="755" t="s">
        <v>2109</v>
      </c>
      <c r="L107" s="22" t="s">
        <v>174</v>
      </c>
      <c r="M107" s="429">
        <v>2021</v>
      </c>
      <c r="N107" s="780">
        <v>101612.7068885472</v>
      </c>
      <c r="O107" s="756">
        <v>0</v>
      </c>
      <c r="P107" s="335">
        <v>0</v>
      </c>
      <c r="Q107" s="22" t="s">
        <v>899</v>
      </c>
      <c r="R107" s="22"/>
      <c r="S107" s="24"/>
      <c r="T107" s="21"/>
    </row>
    <row r="108" spans="1:20" ht="60" hidden="1">
      <c r="A108" s="31">
        <v>105</v>
      </c>
      <c r="B108" s="22" t="s">
        <v>39</v>
      </c>
      <c r="C108" s="22" t="s">
        <v>40</v>
      </c>
      <c r="D108" s="22" t="s">
        <v>170</v>
      </c>
      <c r="E108" s="23" t="s">
        <v>200</v>
      </c>
      <c r="F108" s="22" t="s">
        <v>57</v>
      </c>
      <c r="G108" s="22" t="s">
        <v>53</v>
      </c>
      <c r="H108" s="22" t="s">
        <v>30</v>
      </c>
      <c r="I108" s="22" t="s">
        <v>172</v>
      </c>
      <c r="J108" s="22" t="s">
        <v>204</v>
      </c>
      <c r="K108" s="755" t="s">
        <v>2109</v>
      </c>
      <c r="L108" s="22" t="s">
        <v>174</v>
      </c>
      <c r="M108" s="429">
        <v>2021</v>
      </c>
      <c r="N108" s="780">
        <v>62569.561244542812</v>
      </c>
      <c r="O108" s="756">
        <v>0</v>
      </c>
      <c r="P108" s="335">
        <v>0</v>
      </c>
      <c r="Q108" s="22" t="s">
        <v>899</v>
      </c>
      <c r="R108" s="22"/>
      <c r="S108" s="24"/>
      <c r="T108" s="21"/>
    </row>
    <row r="109" spans="1:20" ht="75" hidden="1">
      <c r="A109" s="31">
        <v>106</v>
      </c>
      <c r="B109" s="22" t="s">
        <v>39</v>
      </c>
      <c r="C109" s="22" t="s">
        <v>40</v>
      </c>
      <c r="D109" s="22" t="s">
        <v>170</v>
      </c>
      <c r="E109" s="23" t="s">
        <v>200</v>
      </c>
      <c r="F109" s="22" t="s">
        <v>58</v>
      </c>
      <c r="G109" s="22" t="s">
        <v>53</v>
      </c>
      <c r="H109" s="22" t="s">
        <v>30</v>
      </c>
      <c r="I109" s="22" t="s">
        <v>172</v>
      </c>
      <c r="J109" s="22" t="s">
        <v>205</v>
      </c>
      <c r="K109" s="755" t="s">
        <v>2109</v>
      </c>
      <c r="L109" s="22" t="s">
        <v>174</v>
      </c>
      <c r="M109" s="429">
        <v>2021</v>
      </c>
      <c r="N109" s="780">
        <v>1103036.3876590251</v>
      </c>
      <c r="O109" s="66">
        <v>0</v>
      </c>
      <c r="P109" s="67">
        <v>0</v>
      </c>
      <c r="Q109" s="22" t="s">
        <v>899</v>
      </c>
      <c r="R109" s="22" t="s">
        <v>1524</v>
      </c>
      <c r="S109" s="24"/>
      <c r="T109" s="21"/>
    </row>
    <row r="110" spans="1:20" ht="75" hidden="1">
      <c r="A110" s="31">
        <v>107</v>
      </c>
      <c r="B110" s="22" t="s">
        <v>39</v>
      </c>
      <c r="C110" s="22" t="s">
        <v>40</v>
      </c>
      <c r="D110" s="22" t="s">
        <v>170</v>
      </c>
      <c r="E110" s="23" t="s">
        <v>200</v>
      </c>
      <c r="F110" s="22" t="s">
        <v>60</v>
      </c>
      <c r="G110" s="22" t="s">
        <v>53</v>
      </c>
      <c r="H110" s="22" t="s">
        <v>30</v>
      </c>
      <c r="I110" s="22" t="s">
        <v>172</v>
      </c>
      <c r="J110" s="22" t="s">
        <v>206</v>
      </c>
      <c r="K110" s="755" t="s">
        <v>2109</v>
      </c>
      <c r="L110" s="22" t="s">
        <v>174</v>
      </c>
      <c r="M110" s="429">
        <v>2021</v>
      </c>
      <c r="N110" s="780">
        <v>695116.59612550982</v>
      </c>
      <c r="O110" s="66">
        <v>0</v>
      </c>
      <c r="P110" s="67">
        <v>0</v>
      </c>
      <c r="Q110" s="22" t="s">
        <v>899</v>
      </c>
      <c r="R110" s="22" t="s">
        <v>1524</v>
      </c>
      <c r="S110" s="24"/>
      <c r="T110" s="21"/>
    </row>
    <row r="111" spans="1:20" ht="60" hidden="1">
      <c r="A111" s="31">
        <v>108</v>
      </c>
      <c r="B111" s="22" t="s">
        <v>39</v>
      </c>
      <c r="C111" s="22" t="s">
        <v>40</v>
      </c>
      <c r="D111" s="22" t="s">
        <v>170</v>
      </c>
      <c r="E111" s="23" t="s">
        <v>200</v>
      </c>
      <c r="F111" s="22" t="s">
        <v>61</v>
      </c>
      <c r="G111" s="22" t="s">
        <v>53</v>
      </c>
      <c r="H111" s="22" t="s">
        <v>30</v>
      </c>
      <c r="I111" s="22" t="s">
        <v>172</v>
      </c>
      <c r="J111" s="22" t="s">
        <v>207</v>
      </c>
      <c r="K111" s="755" t="s">
        <v>2109</v>
      </c>
      <c r="L111" s="22" t="s">
        <v>174</v>
      </c>
      <c r="M111" s="429">
        <v>2021</v>
      </c>
      <c r="N111" s="780">
        <v>14.635914309086299</v>
      </c>
      <c r="O111" s="756">
        <v>0</v>
      </c>
      <c r="P111" s="335">
        <v>0</v>
      </c>
      <c r="Q111" s="22" t="s">
        <v>899</v>
      </c>
      <c r="R111" s="22"/>
      <c r="S111" s="24"/>
      <c r="T111" s="21"/>
    </row>
    <row r="112" spans="1:20" ht="60" hidden="1">
      <c r="A112" s="31">
        <v>109</v>
      </c>
      <c r="B112" s="22" t="s">
        <v>39</v>
      </c>
      <c r="C112" s="22" t="s">
        <v>40</v>
      </c>
      <c r="D112" s="22" t="s">
        <v>170</v>
      </c>
      <c r="E112" s="23" t="s">
        <v>200</v>
      </c>
      <c r="F112" s="22" t="s">
        <v>62</v>
      </c>
      <c r="G112" s="22" t="s">
        <v>53</v>
      </c>
      <c r="H112" s="22" t="s">
        <v>30</v>
      </c>
      <c r="I112" s="22" t="s">
        <v>172</v>
      </c>
      <c r="J112" s="22" t="s">
        <v>208</v>
      </c>
      <c r="K112" s="755" t="s">
        <v>2109</v>
      </c>
      <c r="L112" s="22" t="s">
        <v>174</v>
      </c>
      <c r="M112" s="429">
        <v>2021</v>
      </c>
      <c r="N112" s="780">
        <v>8.8961487644792818</v>
      </c>
      <c r="O112" s="756">
        <v>0</v>
      </c>
      <c r="P112" s="335">
        <v>0</v>
      </c>
      <c r="Q112" s="22" t="s">
        <v>899</v>
      </c>
      <c r="R112" s="22"/>
      <c r="S112" s="24"/>
      <c r="T112" s="21"/>
    </row>
    <row r="113" spans="1:20" ht="60" hidden="1">
      <c r="A113" s="31">
        <v>110</v>
      </c>
      <c r="B113" s="22" t="s">
        <v>39</v>
      </c>
      <c r="C113" s="22" t="s">
        <v>40</v>
      </c>
      <c r="D113" s="22" t="s">
        <v>170</v>
      </c>
      <c r="E113" s="23" t="s">
        <v>200</v>
      </c>
      <c r="F113" s="22" t="s">
        <v>63</v>
      </c>
      <c r="G113" s="22" t="s">
        <v>53</v>
      </c>
      <c r="H113" s="22" t="s">
        <v>30</v>
      </c>
      <c r="I113" s="22" t="s">
        <v>172</v>
      </c>
      <c r="J113" s="22" t="s">
        <v>209</v>
      </c>
      <c r="K113" s="755" t="s">
        <v>2109</v>
      </c>
      <c r="L113" s="22" t="s">
        <v>174</v>
      </c>
      <c r="M113" s="429">
        <v>2021</v>
      </c>
      <c r="N113" s="780">
        <v>508730.49386977201</v>
      </c>
      <c r="O113" s="756">
        <v>0</v>
      </c>
      <c r="P113" s="335">
        <v>0</v>
      </c>
      <c r="Q113" s="22" t="s">
        <v>899</v>
      </c>
      <c r="R113" s="22"/>
      <c r="S113" s="24"/>
      <c r="T113" s="21"/>
    </row>
    <row r="114" spans="1:20" ht="60" hidden="1">
      <c r="A114" s="31">
        <v>111</v>
      </c>
      <c r="B114" s="22" t="s">
        <v>39</v>
      </c>
      <c r="C114" s="22" t="s">
        <v>40</v>
      </c>
      <c r="D114" s="22" t="s">
        <v>170</v>
      </c>
      <c r="E114" s="23" t="s">
        <v>200</v>
      </c>
      <c r="F114" s="22" t="s">
        <v>64</v>
      </c>
      <c r="G114" s="22" t="s">
        <v>53</v>
      </c>
      <c r="H114" s="22" t="s">
        <v>30</v>
      </c>
      <c r="I114" s="22" t="s">
        <v>172</v>
      </c>
      <c r="J114" s="22" t="s">
        <v>210</v>
      </c>
      <c r="K114" s="755" t="s">
        <v>2109</v>
      </c>
      <c r="L114" s="22" t="s">
        <v>174</v>
      </c>
      <c r="M114" s="429">
        <v>2021</v>
      </c>
      <c r="N114" s="780">
        <v>313639.69526830676</v>
      </c>
      <c r="O114" s="756">
        <v>0</v>
      </c>
      <c r="P114" s="335">
        <v>0</v>
      </c>
      <c r="Q114" s="22" t="s">
        <v>899</v>
      </c>
      <c r="R114" s="22"/>
      <c r="S114" s="24"/>
      <c r="T114" s="21"/>
    </row>
    <row r="115" spans="1:20" ht="75" hidden="1">
      <c r="A115" s="31">
        <v>112</v>
      </c>
      <c r="B115" s="22" t="s">
        <v>39</v>
      </c>
      <c r="C115" s="22" t="s">
        <v>40</v>
      </c>
      <c r="D115" s="22" t="s">
        <v>170</v>
      </c>
      <c r="E115" s="23" t="s">
        <v>200</v>
      </c>
      <c r="F115" s="22" t="s">
        <v>65</v>
      </c>
      <c r="G115" s="22" t="s">
        <v>53</v>
      </c>
      <c r="H115" s="22" t="s">
        <v>30</v>
      </c>
      <c r="I115" s="22" t="s">
        <v>172</v>
      </c>
      <c r="J115" s="22" t="s">
        <v>211</v>
      </c>
      <c r="K115" s="755" t="s">
        <v>2109</v>
      </c>
      <c r="L115" s="22" t="s">
        <v>174</v>
      </c>
      <c r="M115" s="429">
        <v>2021</v>
      </c>
      <c r="N115" s="780">
        <v>6041462.1890219823</v>
      </c>
      <c r="O115" s="66">
        <v>0</v>
      </c>
      <c r="P115" s="67">
        <v>0</v>
      </c>
      <c r="Q115" s="22" t="s">
        <v>899</v>
      </c>
      <c r="R115" s="22" t="s">
        <v>1524</v>
      </c>
      <c r="S115" s="24"/>
      <c r="T115" s="21"/>
    </row>
    <row r="116" spans="1:20" ht="75" hidden="1">
      <c r="A116" s="31">
        <v>113</v>
      </c>
      <c r="B116" s="22" t="s">
        <v>39</v>
      </c>
      <c r="C116" s="22" t="s">
        <v>40</v>
      </c>
      <c r="D116" s="22" t="s">
        <v>170</v>
      </c>
      <c r="E116" s="23" t="s">
        <v>200</v>
      </c>
      <c r="F116" s="22" t="s">
        <v>66</v>
      </c>
      <c r="G116" s="22" t="s">
        <v>53</v>
      </c>
      <c r="H116" s="22" t="s">
        <v>30</v>
      </c>
      <c r="I116" s="22" t="s">
        <v>172</v>
      </c>
      <c r="J116" s="22" t="s">
        <v>212</v>
      </c>
      <c r="K116" s="755" t="s">
        <v>2109</v>
      </c>
      <c r="L116" s="22" t="s">
        <v>174</v>
      </c>
      <c r="M116" s="429">
        <v>2021</v>
      </c>
      <c r="N116" s="780">
        <v>3736840.4938877062</v>
      </c>
      <c r="O116" s="66">
        <v>0</v>
      </c>
      <c r="P116" s="67">
        <v>0</v>
      </c>
      <c r="Q116" s="22" t="s">
        <v>899</v>
      </c>
      <c r="R116" s="22" t="s">
        <v>1524</v>
      </c>
      <c r="S116" s="24"/>
      <c r="T116" s="21"/>
    </row>
    <row r="117" spans="1:20" ht="45" hidden="1">
      <c r="A117" s="31">
        <v>114</v>
      </c>
      <c r="B117" s="22" t="s">
        <v>39</v>
      </c>
      <c r="C117" s="22" t="s">
        <v>40</v>
      </c>
      <c r="D117" s="22" t="s">
        <v>213</v>
      </c>
      <c r="E117" s="23" t="s">
        <v>42</v>
      </c>
      <c r="F117" s="22" t="s">
        <v>43</v>
      </c>
      <c r="G117" s="22" t="s">
        <v>44</v>
      </c>
      <c r="H117" s="22" t="s">
        <v>30</v>
      </c>
      <c r="I117" s="22" t="s">
        <v>214</v>
      </c>
      <c r="J117" s="19" t="s">
        <v>46</v>
      </c>
      <c r="K117" s="755" t="s">
        <v>2107</v>
      </c>
      <c r="L117" s="22" t="s">
        <v>174</v>
      </c>
      <c r="M117" s="429">
        <v>2021</v>
      </c>
      <c r="N117" s="780">
        <v>3238.4277409938304</v>
      </c>
      <c r="O117" s="66">
        <v>0</v>
      </c>
      <c r="P117" s="67">
        <v>0</v>
      </c>
      <c r="Q117" s="22" t="s">
        <v>48</v>
      </c>
      <c r="R117" s="22" t="s">
        <v>215</v>
      </c>
      <c r="S117" s="24"/>
      <c r="T117" s="21"/>
    </row>
    <row r="118" spans="1:20" ht="45" hidden="1">
      <c r="A118" s="31">
        <v>115</v>
      </c>
      <c r="B118" s="22" t="s">
        <v>39</v>
      </c>
      <c r="C118" s="22" t="s">
        <v>216</v>
      </c>
      <c r="D118" s="22" t="s">
        <v>217</v>
      </c>
      <c r="E118" s="23" t="s">
        <v>218</v>
      </c>
      <c r="F118" s="22" t="s">
        <v>108</v>
      </c>
      <c r="G118" s="22" t="s">
        <v>219</v>
      </c>
      <c r="H118" s="22" t="s">
        <v>30</v>
      </c>
      <c r="I118" s="22" t="s">
        <v>220</v>
      </c>
      <c r="J118" s="22" t="s">
        <v>221</v>
      </c>
      <c r="K118" s="757" t="s">
        <v>2113</v>
      </c>
      <c r="L118" s="22" t="s">
        <v>174</v>
      </c>
      <c r="M118" s="429">
        <v>2021</v>
      </c>
      <c r="N118" s="780">
        <v>0.40996382645139579</v>
      </c>
      <c r="O118" s="335">
        <v>5353.7176096287776</v>
      </c>
      <c r="P118" s="335">
        <v>13059</v>
      </c>
      <c r="Q118" s="22"/>
      <c r="R118" s="22"/>
      <c r="S118" s="24"/>
      <c r="T118" s="21"/>
    </row>
    <row r="119" spans="1:20" ht="45" hidden="1">
      <c r="A119" s="31">
        <v>116</v>
      </c>
      <c r="B119" s="22" t="s">
        <v>39</v>
      </c>
      <c r="C119" s="22" t="s">
        <v>216</v>
      </c>
      <c r="D119" s="22" t="s">
        <v>217</v>
      </c>
      <c r="E119" s="23" t="s">
        <v>218</v>
      </c>
      <c r="F119" s="22" t="s">
        <v>112</v>
      </c>
      <c r="G119" s="22" t="s">
        <v>219</v>
      </c>
      <c r="H119" s="22" t="s">
        <v>30</v>
      </c>
      <c r="I119" s="22" t="s">
        <v>220</v>
      </c>
      <c r="J119" s="22" t="s">
        <v>222</v>
      </c>
      <c r="K119" s="757" t="s">
        <v>2113</v>
      </c>
      <c r="L119" s="22" t="s">
        <v>174</v>
      </c>
      <c r="M119" s="429">
        <v>2021</v>
      </c>
      <c r="N119" s="780">
        <v>1675.6774870100851</v>
      </c>
      <c r="O119" s="335">
        <v>21882672.302864701</v>
      </c>
      <c r="P119" s="335">
        <v>13059</v>
      </c>
      <c r="Q119" s="22"/>
      <c r="R119" s="22"/>
      <c r="S119" s="24"/>
      <c r="T119" s="21"/>
    </row>
    <row r="120" spans="1:20" ht="120" hidden="1">
      <c r="A120" s="31">
        <v>117</v>
      </c>
      <c r="B120" s="22" t="s">
        <v>39</v>
      </c>
      <c r="C120" s="22" t="s">
        <v>216</v>
      </c>
      <c r="D120" s="22" t="s">
        <v>217</v>
      </c>
      <c r="E120" s="23" t="s">
        <v>218</v>
      </c>
      <c r="F120" s="22" t="s">
        <v>114</v>
      </c>
      <c r="G120" s="22" t="s">
        <v>219</v>
      </c>
      <c r="H120" s="22" t="s">
        <v>30</v>
      </c>
      <c r="I120" s="22" t="s">
        <v>220</v>
      </c>
      <c r="J120" s="22" t="s">
        <v>223</v>
      </c>
      <c r="K120" s="757" t="s">
        <v>2113</v>
      </c>
      <c r="L120" s="22" t="s">
        <v>174</v>
      </c>
      <c r="M120" s="429">
        <v>2021</v>
      </c>
      <c r="N120" s="780">
        <v>468.00949038631063</v>
      </c>
      <c r="O120" s="335">
        <v>6111735.9349548304</v>
      </c>
      <c r="P120" s="335">
        <v>13059</v>
      </c>
      <c r="Q120" s="22" t="s">
        <v>224</v>
      </c>
      <c r="R120" s="22" t="s">
        <v>225</v>
      </c>
      <c r="S120" s="24"/>
      <c r="T120" s="21"/>
    </row>
    <row r="121" spans="1:20" ht="45" hidden="1">
      <c r="A121" s="31">
        <v>118</v>
      </c>
      <c r="B121" s="22" t="s">
        <v>39</v>
      </c>
      <c r="C121" s="22" t="s">
        <v>216</v>
      </c>
      <c r="D121" s="22" t="s">
        <v>217</v>
      </c>
      <c r="E121" s="23" t="s">
        <v>226</v>
      </c>
      <c r="F121" s="22" t="s">
        <v>108</v>
      </c>
      <c r="G121" s="22" t="s">
        <v>227</v>
      </c>
      <c r="H121" s="22" t="s">
        <v>30</v>
      </c>
      <c r="I121" s="22" t="s">
        <v>228</v>
      </c>
      <c r="J121" s="22" t="s">
        <v>229</v>
      </c>
      <c r="K121" s="757" t="s">
        <v>2113</v>
      </c>
      <c r="L121" s="22" t="s">
        <v>174</v>
      </c>
      <c r="M121" s="429">
        <v>2021</v>
      </c>
      <c r="N121" s="780">
        <v>3.6896744380625619</v>
      </c>
      <c r="O121" s="335">
        <v>5353.7176096287776</v>
      </c>
      <c r="P121" s="335">
        <v>1451</v>
      </c>
      <c r="Q121" s="22"/>
      <c r="R121" s="22"/>
      <c r="S121" s="24"/>
      <c r="T121" s="21"/>
    </row>
    <row r="122" spans="1:20" ht="45" hidden="1">
      <c r="A122" s="31">
        <v>119</v>
      </c>
      <c r="B122" s="22" t="s">
        <v>39</v>
      </c>
      <c r="C122" s="22" t="s">
        <v>216</v>
      </c>
      <c r="D122" s="22" t="s">
        <v>217</v>
      </c>
      <c r="E122" s="23" t="s">
        <v>226</v>
      </c>
      <c r="F122" s="22" t="s">
        <v>112</v>
      </c>
      <c r="G122" s="22" t="s">
        <v>227</v>
      </c>
      <c r="H122" s="22" t="s">
        <v>30</v>
      </c>
      <c r="I122" s="22" t="s">
        <v>228</v>
      </c>
      <c r="J122" s="22" t="s">
        <v>230</v>
      </c>
      <c r="K122" s="757" t="s">
        <v>2113</v>
      </c>
      <c r="L122" s="22" t="s">
        <v>174</v>
      </c>
      <c r="M122" s="429">
        <v>2021</v>
      </c>
      <c r="N122" s="780">
        <v>15081.097383090766</v>
      </c>
      <c r="O122" s="335">
        <v>21882672.302864701</v>
      </c>
      <c r="P122" s="335">
        <v>1451</v>
      </c>
      <c r="Q122" s="22"/>
      <c r="R122" s="22"/>
      <c r="S122" s="24"/>
      <c r="T122" s="21"/>
    </row>
    <row r="123" spans="1:20" ht="60" hidden="1">
      <c r="A123" s="31">
        <v>120</v>
      </c>
      <c r="B123" s="22" t="s">
        <v>39</v>
      </c>
      <c r="C123" s="22" t="s">
        <v>216</v>
      </c>
      <c r="D123" s="22" t="s">
        <v>217</v>
      </c>
      <c r="E123" s="23" t="s">
        <v>226</v>
      </c>
      <c r="F123" s="22" t="s">
        <v>114</v>
      </c>
      <c r="G123" s="22" t="s">
        <v>227</v>
      </c>
      <c r="H123" s="22" t="s">
        <v>30</v>
      </c>
      <c r="I123" s="22" t="s">
        <v>228</v>
      </c>
      <c r="J123" s="22" t="s">
        <v>231</v>
      </c>
      <c r="K123" s="757" t="s">
        <v>2113</v>
      </c>
      <c r="L123" s="22" t="s">
        <v>174</v>
      </c>
      <c r="M123" s="429">
        <v>2021</v>
      </c>
      <c r="N123" s="780">
        <v>4212.085413476796</v>
      </c>
      <c r="O123" s="335">
        <v>6111735.9349548304</v>
      </c>
      <c r="P123" s="335">
        <v>1451</v>
      </c>
      <c r="Q123" s="22" t="s">
        <v>232</v>
      </c>
      <c r="R123" s="22" t="s">
        <v>233</v>
      </c>
      <c r="S123" s="24"/>
      <c r="T123" s="21"/>
    </row>
    <row r="124" spans="1:20" ht="45" hidden="1">
      <c r="A124" s="31">
        <v>121</v>
      </c>
      <c r="B124" s="22" t="s">
        <v>39</v>
      </c>
      <c r="C124" s="22" t="s">
        <v>216</v>
      </c>
      <c r="D124" s="22" t="s">
        <v>217</v>
      </c>
      <c r="E124" s="23" t="s">
        <v>234</v>
      </c>
      <c r="F124" s="22" t="s">
        <v>108</v>
      </c>
      <c r="G124" s="22" t="s">
        <v>235</v>
      </c>
      <c r="H124" s="22" t="s">
        <v>30</v>
      </c>
      <c r="I124" s="22" t="s">
        <v>236</v>
      </c>
      <c r="J124" s="22" t="s">
        <v>237</v>
      </c>
      <c r="K124" s="757" t="s">
        <v>2113</v>
      </c>
      <c r="L124" s="22" t="s">
        <v>174</v>
      </c>
      <c r="M124" s="429">
        <v>2021</v>
      </c>
      <c r="N124" s="780">
        <v>4.4615168537636783E-3</v>
      </c>
      <c r="O124" s="335">
        <v>5353.7176096287776</v>
      </c>
      <c r="P124" s="335">
        <v>1199977</v>
      </c>
      <c r="Q124" s="22"/>
      <c r="R124" s="22"/>
      <c r="S124" s="24"/>
      <c r="T124" s="21"/>
    </row>
    <row r="125" spans="1:20" ht="45" hidden="1">
      <c r="A125" s="31">
        <v>122</v>
      </c>
      <c r="B125" s="22" t="s">
        <v>39</v>
      </c>
      <c r="C125" s="22" t="s">
        <v>216</v>
      </c>
      <c r="D125" s="22" t="s">
        <v>217</v>
      </c>
      <c r="E125" s="23" t="s">
        <v>234</v>
      </c>
      <c r="F125" s="22" t="s">
        <v>112</v>
      </c>
      <c r="G125" s="22" t="s">
        <v>235</v>
      </c>
      <c r="H125" s="22" t="s">
        <v>30</v>
      </c>
      <c r="I125" s="22" t="s">
        <v>236</v>
      </c>
      <c r="J125" s="22" t="s">
        <v>238</v>
      </c>
      <c r="K125" s="757" t="s">
        <v>2113</v>
      </c>
      <c r="L125" s="22" t="s">
        <v>174</v>
      </c>
      <c r="M125" s="429">
        <v>2021</v>
      </c>
      <c r="N125" s="780">
        <v>18.235909773991253</v>
      </c>
      <c r="O125" s="335">
        <v>21882672.302864701</v>
      </c>
      <c r="P125" s="335">
        <v>1199977</v>
      </c>
      <c r="Q125" s="22"/>
      <c r="R125" s="22"/>
      <c r="S125" s="24"/>
      <c r="T125" s="21"/>
    </row>
    <row r="126" spans="1:20" ht="45" hidden="1">
      <c r="A126" s="31">
        <v>123</v>
      </c>
      <c r="B126" s="22" t="s">
        <v>39</v>
      </c>
      <c r="C126" s="22" t="s">
        <v>216</v>
      </c>
      <c r="D126" s="22" t="s">
        <v>217</v>
      </c>
      <c r="E126" s="23" t="s">
        <v>234</v>
      </c>
      <c r="F126" s="22" t="s">
        <v>114</v>
      </c>
      <c r="G126" s="22" t="s">
        <v>235</v>
      </c>
      <c r="H126" s="22" t="s">
        <v>30</v>
      </c>
      <c r="I126" s="22" t="s">
        <v>236</v>
      </c>
      <c r="J126" s="22" t="s">
        <v>239</v>
      </c>
      <c r="K126" s="757" t="s">
        <v>2113</v>
      </c>
      <c r="L126" s="22" t="s">
        <v>174</v>
      </c>
      <c r="M126" s="429">
        <v>2021</v>
      </c>
      <c r="N126" s="780">
        <v>5.0932108990045899</v>
      </c>
      <c r="O126" s="335">
        <v>6111735.9349548304</v>
      </c>
      <c r="P126" s="335">
        <v>1199977</v>
      </c>
      <c r="Q126" s="22" t="s">
        <v>240</v>
      </c>
      <c r="R126" s="22" t="s">
        <v>117</v>
      </c>
      <c r="S126" s="24"/>
      <c r="T126" s="21"/>
    </row>
    <row r="127" spans="1:20" ht="150" hidden="1">
      <c r="A127" s="31">
        <v>124</v>
      </c>
      <c r="B127" s="22" t="s">
        <v>39</v>
      </c>
      <c r="C127" s="22" t="s">
        <v>216</v>
      </c>
      <c r="D127" s="22" t="s">
        <v>241</v>
      </c>
      <c r="E127" s="23" t="s">
        <v>242</v>
      </c>
      <c r="F127" s="22" t="s">
        <v>142</v>
      </c>
      <c r="G127" s="22" t="s">
        <v>143</v>
      </c>
      <c r="H127" s="22" t="s">
        <v>30</v>
      </c>
      <c r="I127" s="22" t="s">
        <v>243</v>
      </c>
      <c r="J127" s="22" t="s">
        <v>244</v>
      </c>
      <c r="K127" s="757" t="s">
        <v>2113</v>
      </c>
      <c r="L127" s="22" t="s">
        <v>174</v>
      </c>
      <c r="M127" s="429">
        <v>2021</v>
      </c>
      <c r="N127" s="780">
        <v>2.8891433122604409E-3</v>
      </c>
      <c r="O127" s="335">
        <v>1451</v>
      </c>
      <c r="P127" s="335">
        <v>502225</v>
      </c>
      <c r="Q127" s="22" t="s">
        <v>245</v>
      </c>
      <c r="R127" s="22" t="s">
        <v>246</v>
      </c>
      <c r="S127" s="24"/>
      <c r="T127" s="21"/>
    </row>
    <row r="128" spans="1:20" ht="150" hidden="1">
      <c r="A128" s="31">
        <v>125</v>
      </c>
      <c r="B128" s="22" t="s">
        <v>39</v>
      </c>
      <c r="C128" s="22" t="s">
        <v>216</v>
      </c>
      <c r="D128" s="22" t="s">
        <v>241</v>
      </c>
      <c r="E128" s="23" t="s">
        <v>247</v>
      </c>
      <c r="F128" s="22" t="s">
        <v>142</v>
      </c>
      <c r="G128" s="22" t="s">
        <v>143</v>
      </c>
      <c r="H128" s="22" t="s">
        <v>30</v>
      </c>
      <c r="I128" s="22" t="s">
        <v>248</v>
      </c>
      <c r="J128" s="22" t="s">
        <v>249</v>
      </c>
      <c r="K128" s="757" t="s">
        <v>2113</v>
      </c>
      <c r="L128" s="22" t="s">
        <v>174</v>
      </c>
      <c r="M128" s="429">
        <v>2021</v>
      </c>
      <c r="N128" s="780">
        <v>1.9772014535317834E-3</v>
      </c>
      <c r="O128" s="335">
        <v>993</v>
      </c>
      <c r="P128" s="335">
        <v>502225</v>
      </c>
      <c r="Q128" s="22" t="s">
        <v>250</v>
      </c>
      <c r="R128" s="22" t="s">
        <v>251</v>
      </c>
      <c r="S128" s="24"/>
      <c r="T128" s="21"/>
    </row>
    <row r="129" spans="1:20" ht="75" hidden="1">
      <c r="A129" s="31">
        <v>126</v>
      </c>
      <c r="B129" s="22" t="s">
        <v>39</v>
      </c>
      <c r="C129" s="22" t="s">
        <v>216</v>
      </c>
      <c r="D129" s="22" t="s">
        <v>241</v>
      </c>
      <c r="E129" s="23" t="s">
        <v>252</v>
      </c>
      <c r="F129" s="22" t="s">
        <v>142</v>
      </c>
      <c r="G129" s="22" t="s">
        <v>760</v>
      </c>
      <c r="H129" s="22" t="s">
        <v>30</v>
      </c>
      <c r="I129" s="22" t="s">
        <v>254</v>
      </c>
      <c r="J129" s="22" t="s">
        <v>255</v>
      </c>
      <c r="K129" s="757" t="s">
        <v>2113</v>
      </c>
      <c r="L129" s="22" t="s">
        <v>174</v>
      </c>
      <c r="M129" s="429">
        <v>2021</v>
      </c>
      <c r="N129" s="780">
        <v>1.9772014535317834E-3</v>
      </c>
      <c r="O129" s="335">
        <v>821211</v>
      </c>
      <c r="P129" s="335">
        <v>415340075</v>
      </c>
      <c r="Q129" s="22" t="s">
        <v>256</v>
      </c>
      <c r="R129" s="22"/>
      <c r="S129" s="24"/>
      <c r="T129" s="21"/>
    </row>
    <row r="130" spans="1:20" ht="75" hidden="1">
      <c r="A130" s="31">
        <v>127</v>
      </c>
      <c r="B130" s="22" t="s">
        <v>39</v>
      </c>
      <c r="C130" s="22" t="s">
        <v>216</v>
      </c>
      <c r="D130" s="22" t="s">
        <v>241</v>
      </c>
      <c r="E130" s="23" t="s">
        <v>257</v>
      </c>
      <c r="F130" s="22" t="s">
        <v>142</v>
      </c>
      <c r="G130" s="22" t="s">
        <v>149</v>
      </c>
      <c r="H130" s="22" t="s">
        <v>30</v>
      </c>
      <c r="I130" s="22" t="s">
        <v>258</v>
      </c>
      <c r="J130" s="22" t="s">
        <v>151</v>
      </c>
      <c r="K130" s="757" t="s">
        <v>2113</v>
      </c>
      <c r="L130" s="22" t="s">
        <v>174</v>
      </c>
      <c r="M130" s="429">
        <v>2021</v>
      </c>
      <c r="N130" s="780">
        <v>0</v>
      </c>
      <c r="O130" s="335">
        <v>0</v>
      </c>
      <c r="P130" s="335">
        <v>33083</v>
      </c>
      <c r="Q130" s="22" t="s">
        <v>259</v>
      </c>
      <c r="R130" s="22" t="s">
        <v>260</v>
      </c>
      <c r="S130" s="24"/>
      <c r="T130" s="21"/>
    </row>
    <row r="131" spans="1:20" ht="180" hidden="1">
      <c r="A131" s="31">
        <v>128</v>
      </c>
      <c r="B131" s="22" t="s">
        <v>39</v>
      </c>
      <c r="C131" s="22" t="s">
        <v>216</v>
      </c>
      <c r="D131" s="22" t="s">
        <v>241</v>
      </c>
      <c r="E131" s="23" t="s">
        <v>261</v>
      </c>
      <c r="F131" s="22" t="s">
        <v>142</v>
      </c>
      <c r="G131" s="22" t="s">
        <v>154</v>
      </c>
      <c r="H131" s="22" t="s">
        <v>30</v>
      </c>
      <c r="I131" s="22" t="s">
        <v>262</v>
      </c>
      <c r="J131" s="22" t="s">
        <v>263</v>
      </c>
      <c r="K131" s="757" t="s">
        <v>2113</v>
      </c>
      <c r="L131" s="22" t="s">
        <v>174</v>
      </c>
      <c r="M131" s="429">
        <v>2021</v>
      </c>
      <c r="N131" s="780">
        <v>1.106681074635764E-2</v>
      </c>
      <c r="O131" s="335">
        <v>594</v>
      </c>
      <c r="P131" s="335">
        <v>53674</v>
      </c>
      <c r="Q131" s="22" t="s">
        <v>157</v>
      </c>
      <c r="R131" s="22" t="s">
        <v>1499</v>
      </c>
      <c r="S131" s="24"/>
      <c r="T131" s="21"/>
    </row>
    <row r="132" spans="1:20" ht="60" hidden="1">
      <c r="A132" s="31">
        <v>129</v>
      </c>
      <c r="B132" s="22" t="s">
        <v>39</v>
      </c>
      <c r="C132" s="22" t="s">
        <v>216</v>
      </c>
      <c r="D132" s="22" t="s">
        <v>264</v>
      </c>
      <c r="E132" s="23" t="s">
        <v>265</v>
      </c>
      <c r="F132" s="22" t="s">
        <v>142</v>
      </c>
      <c r="G132" s="22" t="s">
        <v>266</v>
      </c>
      <c r="H132" s="22" t="s">
        <v>30</v>
      </c>
      <c r="I132" s="22" t="s">
        <v>267</v>
      </c>
      <c r="J132" s="22" t="s">
        <v>268</v>
      </c>
      <c r="K132" s="757" t="s">
        <v>2114</v>
      </c>
      <c r="L132" s="22" t="s">
        <v>174</v>
      </c>
      <c r="M132" s="429">
        <v>2021</v>
      </c>
      <c r="N132" s="780">
        <v>6.6527950619742149E-2</v>
      </c>
      <c r="O132" s="67">
        <v>729.01328289113451</v>
      </c>
      <c r="P132" s="67">
        <v>10958</v>
      </c>
      <c r="Q132" s="22" t="s">
        <v>269</v>
      </c>
      <c r="R132" s="22"/>
      <c r="S132" s="24"/>
      <c r="T132" s="21"/>
    </row>
    <row r="133" spans="1:20" ht="45" hidden="1">
      <c r="A133" s="31">
        <v>130</v>
      </c>
      <c r="B133" s="22" t="s">
        <v>39</v>
      </c>
      <c r="C133" s="22" t="s">
        <v>216</v>
      </c>
      <c r="D133" s="22" t="s">
        <v>264</v>
      </c>
      <c r="E133" s="23" t="s">
        <v>270</v>
      </c>
      <c r="F133" s="22" t="s">
        <v>142</v>
      </c>
      <c r="G133" s="22" t="s">
        <v>271</v>
      </c>
      <c r="H133" s="22" t="s">
        <v>30</v>
      </c>
      <c r="I133" s="22" t="s">
        <v>272</v>
      </c>
      <c r="J133" s="22" t="s">
        <v>273</v>
      </c>
      <c r="K133" s="757" t="s">
        <v>2114</v>
      </c>
      <c r="L133" s="22" t="s">
        <v>174</v>
      </c>
      <c r="M133" s="429">
        <v>2021</v>
      </c>
      <c r="N133" s="780">
        <v>1.2808383679580681E-2</v>
      </c>
      <c r="O133" s="67">
        <v>15</v>
      </c>
      <c r="P133" s="67">
        <v>1171.1079536064512</v>
      </c>
      <c r="Q133" s="22" t="s">
        <v>274</v>
      </c>
      <c r="R133" s="22"/>
      <c r="S133" s="24"/>
      <c r="T133" s="21"/>
    </row>
    <row r="134" spans="1:20" ht="30" hidden="1">
      <c r="A134" s="31">
        <v>131</v>
      </c>
      <c r="B134" s="22" t="s">
        <v>39</v>
      </c>
      <c r="C134" s="22" t="s">
        <v>216</v>
      </c>
      <c r="D134" s="22" t="s">
        <v>275</v>
      </c>
      <c r="E134" s="23" t="s">
        <v>91</v>
      </c>
      <c r="F134" s="22" t="s">
        <v>92</v>
      </c>
      <c r="G134" s="22" t="s">
        <v>93</v>
      </c>
      <c r="H134" s="22" t="s">
        <v>30</v>
      </c>
      <c r="I134" s="22" t="s">
        <v>276</v>
      </c>
      <c r="J134" s="22" t="s">
        <v>92</v>
      </c>
      <c r="K134" s="755" t="s">
        <v>2112</v>
      </c>
      <c r="L134" s="22" t="s">
        <v>174</v>
      </c>
      <c r="M134" s="429">
        <v>2021</v>
      </c>
      <c r="N134" s="780">
        <v>314.51790204819781</v>
      </c>
      <c r="O134" s="335">
        <v>1683840.0307389351</v>
      </c>
      <c r="P134" s="335">
        <v>5353.7176096287758</v>
      </c>
      <c r="Q134" s="22"/>
      <c r="R134" s="22"/>
      <c r="S134" s="24"/>
      <c r="T134" s="21"/>
    </row>
    <row r="135" spans="1:20" ht="30" hidden="1">
      <c r="A135" s="31">
        <v>132</v>
      </c>
      <c r="B135" s="22" t="s">
        <v>39</v>
      </c>
      <c r="C135" s="22" t="s">
        <v>216</v>
      </c>
      <c r="D135" s="22" t="s">
        <v>275</v>
      </c>
      <c r="E135" s="23" t="s">
        <v>91</v>
      </c>
      <c r="F135" s="22" t="s">
        <v>95</v>
      </c>
      <c r="G135" s="22" t="s">
        <v>93</v>
      </c>
      <c r="H135" s="22" t="s">
        <v>30</v>
      </c>
      <c r="I135" s="22" t="s">
        <v>276</v>
      </c>
      <c r="J135" s="22" t="s">
        <v>95</v>
      </c>
      <c r="K135" s="755" t="s">
        <v>2112</v>
      </c>
      <c r="L135" s="22" t="s">
        <v>174</v>
      </c>
      <c r="M135" s="429">
        <v>2021</v>
      </c>
      <c r="N135" s="780">
        <v>7.6948555799489851E-2</v>
      </c>
      <c r="O135" s="335">
        <v>1683840.0307389351</v>
      </c>
      <c r="P135" s="335">
        <v>21882672.302864697</v>
      </c>
      <c r="Q135" s="22"/>
      <c r="R135" s="22"/>
      <c r="S135" s="24"/>
      <c r="T135" s="21"/>
    </row>
    <row r="136" spans="1:20" ht="30" hidden="1">
      <c r="A136" s="31">
        <v>133</v>
      </c>
      <c r="B136" s="22" t="s">
        <v>39</v>
      </c>
      <c r="C136" s="22" t="s">
        <v>216</v>
      </c>
      <c r="D136" s="22" t="s">
        <v>275</v>
      </c>
      <c r="E136" s="23" t="s">
        <v>91</v>
      </c>
      <c r="F136" s="22" t="s">
        <v>96</v>
      </c>
      <c r="G136" s="22" t="s">
        <v>93</v>
      </c>
      <c r="H136" s="22" t="s">
        <v>30</v>
      </c>
      <c r="I136" s="22" t="s">
        <v>276</v>
      </c>
      <c r="J136" s="22" t="s">
        <v>96</v>
      </c>
      <c r="K136" s="755" t="s">
        <v>2112</v>
      </c>
      <c r="L136" s="22" t="s">
        <v>174</v>
      </c>
      <c r="M136" s="429">
        <v>2021</v>
      </c>
      <c r="N136" s="780">
        <v>0.76782934028676175</v>
      </c>
      <c r="O136" s="335">
        <v>4692770.1709432621</v>
      </c>
      <c r="P136" s="335">
        <v>6111735.9349548295</v>
      </c>
      <c r="Q136" s="22" t="s">
        <v>48</v>
      </c>
      <c r="R136" s="22" t="s">
        <v>49</v>
      </c>
      <c r="S136" s="24"/>
      <c r="T136" s="21"/>
    </row>
    <row r="137" spans="1:20" ht="30" hidden="1">
      <c r="A137" s="31">
        <v>134</v>
      </c>
      <c r="B137" s="22" t="s">
        <v>39</v>
      </c>
      <c r="C137" s="22" t="s">
        <v>216</v>
      </c>
      <c r="D137" s="22" t="s">
        <v>275</v>
      </c>
      <c r="E137" s="23" t="s">
        <v>91</v>
      </c>
      <c r="F137" s="22" t="s">
        <v>97</v>
      </c>
      <c r="G137" s="22" t="s">
        <v>93</v>
      </c>
      <c r="H137" s="22" t="s">
        <v>30</v>
      </c>
      <c r="I137" s="22" t="s">
        <v>276</v>
      </c>
      <c r="J137" s="22" t="s">
        <v>97</v>
      </c>
      <c r="K137" s="755" t="s">
        <v>2112</v>
      </c>
      <c r="L137" s="22" t="s">
        <v>174</v>
      </c>
      <c r="M137" s="429">
        <v>2021</v>
      </c>
      <c r="N137" s="780">
        <v>325.70631405801606</v>
      </c>
      <c r="O137" s="335">
        <v>1743739.6291396811</v>
      </c>
      <c r="P137" s="335">
        <v>5353.7176096287758</v>
      </c>
      <c r="Q137" s="22"/>
      <c r="R137" s="22"/>
      <c r="S137" s="24"/>
      <c r="T137" s="21"/>
    </row>
    <row r="138" spans="1:20" ht="30" hidden="1">
      <c r="A138" s="31">
        <v>135</v>
      </c>
      <c r="B138" s="22" t="s">
        <v>39</v>
      </c>
      <c r="C138" s="22" t="s">
        <v>216</v>
      </c>
      <c r="D138" s="22" t="s">
        <v>275</v>
      </c>
      <c r="E138" s="23" t="s">
        <v>91</v>
      </c>
      <c r="F138" s="22" t="s">
        <v>98</v>
      </c>
      <c r="G138" s="22" t="s">
        <v>93</v>
      </c>
      <c r="H138" s="22" t="s">
        <v>30</v>
      </c>
      <c r="I138" s="22" t="s">
        <v>276</v>
      </c>
      <c r="J138" s="22" t="s">
        <v>98</v>
      </c>
      <c r="K138" s="755" t="s">
        <v>2112</v>
      </c>
      <c r="L138" s="22" t="s">
        <v>174</v>
      </c>
      <c r="M138" s="429">
        <v>2021</v>
      </c>
      <c r="N138" s="780">
        <v>7.9685863088641382E-2</v>
      </c>
      <c r="O138" s="335">
        <v>1743739.6291396811</v>
      </c>
      <c r="P138" s="335">
        <v>21882672.302864697</v>
      </c>
      <c r="Q138" s="22"/>
      <c r="R138" s="22"/>
      <c r="S138" s="24"/>
      <c r="T138" s="21"/>
    </row>
    <row r="139" spans="1:20" ht="30" hidden="1">
      <c r="A139" s="31">
        <v>136</v>
      </c>
      <c r="B139" s="22" t="s">
        <v>39</v>
      </c>
      <c r="C139" s="22" t="s">
        <v>216</v>
      </c>
      <c r="D139" s="22" t="s">
        <v>275</v>
      </c>
      <c r="E139" s="23" t="s">
        <v>91</v>
      </c>
      <c r="F139" s="22" t="s">
        <v>99</v>
      </c>
      <c r="G139" s="22" t="s">
        <v>93</v>
      </c>
      <c r="H139" s="22" t="s">
        <v>30</v>
      </c>
      <c r="I139" s="22" t="s">
        <v>276</v>
      </c>
      <c r="J139" s="22" t="s">
        <v>99</v>
      </c>
      <c r="K139" s="755" t="s">
        <v>2112</v>
      </c>
      <c r="L139" s="22" t="s">
        <v>174</v>
      </c>
      <c r="M139" s="429">
        <v>2021</v>
      </c>
      <c r="N139" s="780">
        <v>0.79514349619461455</v>
      </c>
      <c r="O139" s="335">
        <v>4859707.0791382445</v>
      </c>
      <c r="P139" s="335">
        <v>6111735.9349548295</v>
      </c>
      <c r="Q139" s="22" t="s">
        <v>48</v>
      </c>
      <c r="R139" s="22" t="s">
        <v>49</v>
      </c>
      <c r="S139" s="24"/>
      <c r="T139" s="21"/>
    </row>
    <row r="140" spans="1:20" ht="45" hidden="1">
      <c r="A140" s="31">
        <v>137</v>
      </c>
      <c r="B140" s="22" t="s">
        <v>39</v>
      </c>
      <c r="C140" s="22" t="s">
        <v>216</v>
      </c>
      <c r="D140" s="22" t="s">
        <v>277</v>
      </c>
      <c r="E140" s="23" t="s">
        <v>278</v>
      </c>
      <c r="F140" s="22" t="s">
        <v>279</v>
      </c>
      <c r="G140" s="22" t="s">
        <v>280</v>
      </c>
      <c r="H140" s="22" t="s">
        <v>164</v>
      </c>
      <c r="I140" s="22" t="s">
        <v>281</v>
      </c>
      <c r="J140" s="22" t="s">
        <v>282</v>
      </c>
      <c r="K140" s="757" t="s">
        <v>2114</v>
      </c>
      <c r="L140" s="22" t="s">
        <v>174</v>
      </c>
      <c r="M140" s="429">
        <v>2021</v>
      </c>
      <c r="N140" s="780">
        <v>23727.45633042348</v>
      </c>
      <c r="O140" s="67">
        <v>10948892358.935932</v>
      </c>
      <c r="P140" s="67">
        <v>461444</v>
      </c>
      <c r="Q140" s="22" t="s">
        <v>283</v>
      </c>
      <c r="R140" s="22"/>
      <c r="S140" s="24"/>
      <c r="T140" s="21"/>
    </row>
    <row r="141" spans="1:20" ht="60" hidden="1">
      <c r="A141" s="31">
        <v>138</v>
      </c>
      <c r="B141" s="22" t="s">
        <v>39</v>
      </c>
      <c r="C141" s="22" t="s">
        <v>216</v>
      </c>
      <c r="D141" s="22" t="s">
        <v>277</v>
      </c>
      <c r="E141" s="23" t="s">
        <v>284</v>
      </c>
      <c r="F141" s="22" t="s">
        <v>285</v>
      </c>
      <c r="G141" s="22" t="s">
        <v>286</v>
      </c>
      <c r="H141" s="22" t="s">
        <v>164</v>
      </c>
      <c r="I141" s="22" t="s">
        <v>287</v>
      </c>
      <c r="J141" s="22" t="s">
        <v>288</v>
      </c>
      <c r="K141" s="757" t="s">
        <v>2114</v>
      </c>
      <c r="L141" s="22" t="s">
        <v>174</v>
      </c>
      <c r="M141" s="429">
        <v>2021</v>
      </c>
      <c r="N141" s="780">
        <v>2.1653090281459644</v>
      </c>
      <c r="O141" s="67">
        <v>10948892358.935932</v>
      </c>
      <c r="P141" s="67">
        <v>5056503352</v>
      </c>
      <c r="Q141" s="22" t="s">
        <v>289</v>
      </c>
      <c r="R141" s="22"/>
      <c r="S141" s="24"/>
      <c r="T141" s="21"/>
    </row>
    <row r="142" spans="1:20" ht="45" hidden="1">
      <c r="A142" s="31">
        <v>139</v>
      </c>
      <c r="B142" s="22" t="s">
        <v>39</v>
      </c>
      <c r="C142" s="22" t="s">
        <v>290</v>
      </c>
      <c r="D142" s="22" t="s">
        <v>291</v>
      </c>
      <c r="E142" s="23" t="s">
        <v>51</v>
      </c>
      <c r="F142" s="22" t="s">
        <v>52</v>
      </c>
      <c r="G142" s="22" t="s">
        <v>53</v>
      </c>
      <c r="H142" s="22" t="s">
        <v>30</v>
      </c>
      <c r="I142" s="22" t="s">
        <v>292</v>
      </c>
      <c r="J142" s="22" t="s">
        <v>52</v>
      </c>
      <c r="K142" s="755" t="s">
        <v>2109</v>
      </c>
      <c r="L142" s="22" t="s">
        <v>293</v>
      </c>
      <c r="M142" s="429">
        <v>2021</v>
      </c>
      <c r="N142" s="780">
        <v>7818.8756722617145</v>
      </c>
      <c r="O142" s="756">
        <v>0</v>
      </c>
      <c r="P142" s="335">
        <v>0</v>
      </c>
      <c r="Q142" s="22" t="s">
        <v>899</v>
      </c>
      <c r="R142" s="22"/>
      <c r="S142" s="24"/>
      <c r="T142" s="21"/>
    </row>
    <row r="143" spans="1:20" ht="45" hidden="1">
      <c r="A143" s="31">
        <v>140</v>
      </c>
      <c r="B143" s="22" t="s">
        <v>39</v>
      </c>
      <c r="C143" s="22" t="s">
        <v>290</v>
      </c>
      <c r="D143" s="22" t="s">
        <v>291</v>
      </c>
      <c r="E143" s="23" t="s">
        <v>51</v>
      </c>
      <c r="F143" s="22" t="s">
        <v>55</v>
      </c>
      <c r="G143" s="22" t="s">
        <v>53</v>
      </c>
      <c r="H143" s="22" t="s">
        <v>30</v>
      </c>
      <c r="I143" s="22" t="s">
        <v>292</v>
      </c>
      <c r="J143" s="22" t="s">
        <v>55</v>
      </c>
      <c r="K143" s="755" t="s">
        <v>2109</v>
      </c>
      <c r="L143" s="22" t="s">
        <v>293</v>
      </c>
      <c r="M143" s="429">
        <v>2021</v>
      </c>
      <c r="N143" s="780">
        <v>5481.604272008688</v>
      </c>
      <c r="O143" s="756">
        <v>0</v>
      </c>
      <c r="P143" s="335">
        <v>0</v>
      </c>
      <c r="Q143" s="22" t="s">
        <v>899</v>
      </c>
      <c r="R143" s="22"/>
      <c r="S143" s="24"/>
      <c r="T143" s="21"/>
    </row>
    <row r="144" spans="1:20" ht="45" hidden="1">
      <c r="A144" s="31">
        <v>141</v>
      </c>
      <c r="B144" s="22" t="s">
        <v>39</v>
      </c>
      <c r="C144" s="22" t="s">
        <v>290</v>
      </c>
      <c r="D144" s="22" t="s">
        <v>291</v>
      </c>
      <c r="E144" s="23" t="s">
        <v>51</v>
      </c>
      <c r="F144" s="22" t="s">
        <v>56</v>
      </c>
      <c r="G144" s="22" t="s">
        <v>53</v>
      </c>
      <c r="H144" s="22" t="s">
        <v>30</v>
      </c>
      <c r="I144" s="22" t="s">
        <v>292</v>
      </c>
      <c r="J144" s="22" t="s">
        <v>56</v>
      </c>
      <c r="K144" s="755" t="s">
        <v>2109</v>
      </c>
      <c r="L144" s="22" t="s">
        <v>293</v>
      </c>
      <c r="M144" s="429">
        <v>2021</v>
      </c>
      <c r="N144" s="780">
        <v>34512884.262785725</v>
      </c>
      <c r="O144" s="756">
        <v>0</v>
      </c>
      <c r="P144" s="335">
        <v>0</v>
      </c>
      <c r="Q144" s="22" t="s">
        <v>899</v>
      </c>
      <c r="R144" s="22"/>
      <c r="S144" s="24"/>
      <c r="T144" s="21"/>
    </row>
    <row r="145" spans="1:20" ht="45" hidden="1">
      <c r="A145" s="31">
        <v>142</v>
      </c>
      <c r="B145" s="22" t="s">
        <v>39</v>
      </c>
      <c r="C145" s="22" t="s">
        <v>290</v>
      </c>
      <c r="D145" s="22" t="s">
        <v>291</v>
      </c>
      <c r="E145" s="23" t="s">
        <v>51</v>
      </c>
      <c r="F145" s="22" t="s">
        <v>57</v>
      </c>
      <c r="G145" s="22" t="s">
        <v>53</v>
      </c>
      <c r="H145" s="22" t="s">
        <v>30</v>
      </c>
      <c r="I145" s="22" t="s">
        <v>292</v>
      </c>
      <c r="J145" s="22" t="s">
        <v>57</v>
      </c>
      <c r="K145" s="755" t="s">
        <v>2109</v>
      </c>
      <c r="L145" s="22" t="s">
        <v>293</v>
      </c>
      <c r="M145" s="429">
        <v>2021</v>
      </c>
      <c r="N145" s="780">
        <v>25244333.751977783</v>
      </c>
      <c r="O145" s="756">
        <v>0</v>
      </c>
      <c r="P145" s="335">
        <v>0</v>
      </c>
      <c r="Q145" s="22" t="s">
        <v>899</v>
      </c>
      <c r="R145" s="22"/>
      <c r="S145" s="24"/>
      <c r="T145" s="21"/>
    </row>
    <row r="146" spans="1:20" ht="45" hidden="1">
      <c r="A146" s="31">
        <v>143</v>
      </c>
      <c r="B146" s="22" t="s">
        <v>39</v>
      </c>
      <c r="C146" s="22" t="s">
        <v>290</v>
      </c>
      <c r="D146" s="22" t="s">
        <v>291</v>
      </c>
      <c r="E146" s="23" t="s">
        <v>51</v>
      </c>
      <c r="F146" s="22" t="s">
        <v>58</v>
      </c>
      <c r="G146" s="22" t="s">
        <v>53</v>
      </c>
      <c r="H146" s="22" t="s">
        <v>30</v>
      </c>
      <c r="I146" s="22" t="s">
        <v>292</v>
      </c>
      <c r="J146" s="22" t="s">
        <v>58</v>
      </c>
      <c r="K146" s="755" t="s">
        <v>2109</v>
      </c>
      <c r="L146" s="22" t="s">
        <v>293</v>
      </c>
      <c r="M146" s="429">
        <v>2021</v>
      </c>
      <c r="N146" s="780">
        <v>1087222.0832761263</v>
      </c>
      <c r="O146" s="66">
        <v>0</v>
      </c>
      <c r="P146" s="67">
        <v>0</v>
      </c>
      <c r="Q146" s="22" t="s">
        <v>899</v>
      </c>
      <c r="R146" s="22" t="s">
        <v>295</v>
      </c>
      <c r="S146" s="24"/>
      <c r="T146" s="21"/>
    </row>
    <row r="147" spans="1:20" ht="45" hidden="1">
      <c r="A147" s="31">
        <v>144</v>
      </c>
      <c r="B147" s="22" t="s">
        <v>39</v>
      </c>
      <c r="C147" s="22" t="s">
        <v>290</v>
      </c>
      <c r="D147" s="22" t="s">
        <v>291</v>
      </c>
      <c r="E147" s="23" t="s">
        <v>51</v>
      </c>
      <c r="F147" s="22" t="s">
        <v>60</v>
      </c>
      <c r="G147" s="22" t="s">
        <v>53</v>
      </c>
      <c r="H147" s="22" t="s">
        <v>30</v>
      </c>
      <c r="I147" s="22" t="s">
        <v>292</v>
      </c>
      <c r="J147" s="22" t="s">
        <v>60</v>
      </c>
      <c r="K147" s="755" t="s">
        <v>2109</v>
      </c>
      <c r="L147" s="22" t="s">
        <v>293</v>
      </c>
      <c r="M147" s="429">
        <v>2021</v>
      </c>
      <c r="N147" s="780">
        <v>879420.95989366865</v>
      </c>
      <c r="O147" s="66">
        <v>0</v>
      </c>
      <c r="P147" s="67">
        <v>0</v>
      </c>
      <c r="Q147" s="22" t="s">
        <v>899</v>
      </c>
      <c r="R147" s="22" t="s">
        <v>49</v>
      </c>
      <c r="S147" s="24"/>
      <c r="T147" s="21"/>
    </row>
    <row r="148" spans="1:20" ht="45" hidden="1">
      <c r="A148" s="31">
        <v>145</v>
      </c>
      <c r="B148" s="22" t="s">
        <v>39</v>
      </c>
      <c r="C148" s="22" t="s">
        <v>290</v>
      </c>
      <c r="D148" s="22" t="s">
        <v>291</v>
      </c>
      <c r="E148" s="23" t="s">
        <v>51</v>
      </c>
      <c r="F148" s="22" t="s">
        <v>61</v>
      </c>
      <c r="G148" s="22" t="s">
        <v>53</v>
      </c>
      <c r="H148" s="22" t="s">
        <v>30</v>
      </c>
      <c r="I148" s="22" t="s">
        <v>292</v>
      </c>
      <c r="J148" s="22" t="s">
        <v>61</v>
      </c>
      <c r="K148" s="755" t="s">
        <v>2109</v>
      </c>
      <c r="L148" s="22" t="s">
        <v>293</v>
      </c>
      <c r="M148" s="429">
        <v>2021</v>
      </c>
      <c r="N148" s="780">
        <v>94902.195308431197</v>
      </c>
      <c r="O148" s="756">
        <v>0</v>
      </c>
      <c r="P148" s="335">
        <v>0</v>
      </c>
      <c r="Q148" s="22" t="s">
        <v>899</v>
      </c>
      <c r="R148" s="22"/>
      <c r="S148" s="24"/>
      <c r="T148" s="21"/>
    </row>
    <row r="149" spans="1:20" ht="45" hidden="1">
      <c r="A149" s="31">
        <v>146</v>
      </c>
      <c r="B149" s="22" t="s">
        <v>39</v>
      </c>
      <c r="C149" s="22" t="s">
        <v>290</v>
      </c>
      <c r="D149" s="22" t="s">
        <v>291</v>
      </c>
      <c r="E149" s="23" t="s">
        <v>51</v>
      </c>
      <c r="F149" s="22" t="s">
        <v>62</v>
      </c>
      <c r="G149" s="22" t="s">
        <v>53</v>
      </c>
      <c r="H149" s="22" t="s">
        <v>30</v>
      </c>
      <c r="I149" s="22" t="s">
        <v>292</v>
      </c>
      <c r="J149" s="22" t="s">
        <v>62</v>
      </c>
      <c r="K149" s="755" t="s">
        <v>2109</v>
      </c>
      <c r="L149" s="22" t="s">
        <v>293</v>
      </c>
      <c r="M149" s="429">
        <v>2021</v>
      </c>
      <c r="N149" s="780">
        <v>66092.405864267959</v>
      </c>
      <c r="O149" s="756">
        <v>0</v>
      </c>
      <c r="P149" s="335">
        <v>0</v>
      </c>
      <c r="Q149" s="22" t="s">
        <v>899</v>
      </c>
      <c r="R149" s="22"/>
      <c r="S149" s="24"/>
      <c r="T149" s="21"/>
    </row>
    <row r="150" spans="1:20" ht="45" hidden="1">
      <c r="A150" s="31">
        <v>147</v>
      </c>
      <c r="B150" s="22" t="s">
        <v>39</v>
      </c>
      <c r="C150" s="22" t="s">
        <v>290</v>
      </c>
      <c r="D150" s="22" t="s">
        <v>291</v>
      </c>
      <c r="E150" s="23" t="s">
        <v>51</v>
      </c>
      <c r="F150" s="22" t="s">
        <v>63</v>
      </c>
      <c r="G150" s="22" t="s">
        <v>53</v>
      </c>
      <c r="H150" s="22" t="s">
        <v>30</v>
      </c>
      <c r="I150" s="22" t="s">
        <v>292</v>
      </c>
      <c r="J150" s="22" t="s">
        <v>63</v>
      </c>
      <c r="K150" s="755" t="s">
        <v>2109</v>
      </c>
      <c r="L150" s="22" t="s">
        <v>293</v>
      </c>
      <c r="M150" s="429">
        <v>2021</v>
      </c>
      <c r="N150" s="780">
        <v>300119439.34740478</v>
      </c>
      <c r="O150" s="756">
        <v>0</v>
      </c>
      <c r="P150" s="335">
        <v>0</v>
      </c>
      <c r="Q150" s="22" t="s">
        <v>899</v>
      </c>
      <c r="R150" s="22"/>
      <c r="S150" s="24"/>
      <c r="T150" s="21"/>
    </row>
    <row r="151" spans="1:20" ht="45" hidden="1">
      <c r="A151" s="31">
        <v>148</v>
      </c>
      <c r="B151" s="22" t="s">
        <v>39</v>
      </c>
      <c r="C151" s="22" t="s">
        <v>290</v>
      </c>
      <c r="D151" s="22" t="s">
        <v>291</v>
      </c>
      <c r="E151" s="23" t="s">
        <v>51</v>
      </c>
      <c r="F151" s="22" t="s">
        <v>64</v>
      </c>
      <c r="G151" s="22" t="s">
        <v>53</v>
      </c>
      <c r="H151" s="22" t="s">
        <v>30</v>
      </c>
      <c r="I151" s="22" t="s">
        <v>292</v>
      </c>
      <c r="J151" s="22" t="s">
        <v>64</v>
      </c>
      <c r="K151" s="755" t="s">
        <v>2109</v>
      </c>
      <c r="L151" s="22" t="s">
        <v>293</v>
      </c>
      <c r="M151" s="429">
        <v>2021</v>
      </c>
      <c r="N151" s="780">
        <v>214835353.18901137</v>
      </c>
      <c r="O151" s="756">
        <v>0</v>
      </c>
      <c r="P151" s="335">
        <v>0</v>
      </c>
      <c r="Q151" s="22" t="s">
        <v>899</v>
      </c>
      <c r="R151" s="22"/>
      <c r="S151" s="24"/>
      <c r="T151" s="21"/>
    </row>
    <row r="152" spans="1:20" ht="45" hidden="1">
      <c r="A152" s="31">
        <v>149</v>
      </c>
      <c r="B152" s="22" t="s">
        <v>39</v>
      </c>
      <c r="C152" s="22" t="s">
        <v>290</v>
      </c>
      <c r="D152" s="22" t="s">
        <v>291</v>
      </c>
      <c r="E152" s="23" t="s">
        <v>51</v>
      </c>
      <c r="F152" s="22" t="s">
        <v>65</v>
      </c>
      <c r="G152" s="22" t="s">
        <v>53</v>
      </c>
      <c r="H152" s="22" t="s">
        <v>30</v>
      </c>
      <c r="I152" s="22" t="s">
        <v>292</v>
      </c>
      <c r="J152" s="22" t="s">
        <v>65</v>
      </c>
      <c r="K152" s="755" t="s">
        <v>2109</v>
      </c>
      <c r="L152" s="22" t="s">
        <v>293</v>
      </c>
      <c r="M152" s="429">
        <v>2021</v>
      </c>
      <c r="N152" s="780">
        <v>14767628.327879146</v>
      </c>
      <c r="O152" s="66">
        <v>0</v>
      </c>
      <c r="P152" s="67">
        <v>0</v>
      </c>
      <c r="Q152" s="22" t="s">
        <v>899</v>
      </c>
      <c r="R152" s="22" t="s">
        <v>49</v>
      </c>
      <c r="S152" s="24"/>
      <c r="T152" s="21"/>
    </row>
    <row r="153" spans="1:20" ht="45" hidden="1">
      <c r="A153" s="31">
        <v>150</v>
      </c>
      <c r="B153" s="22" t="s">
        <v>39</v>
      </c>
      <c r="C153" s="22" t="s">
        <v>290</v>
      </c>
      <c r="D153" s="22" t="s">
        <v>291</v>
      </c>
      <c r="E153" s="23" t="s">
        <v>51</v>
      </c>
      <c r="F153" s="22" t="s">
        <v>66</v>
      </c>
      <c r="G153" s="22" t="s">
        <v>53</v>
      </c>
      <c r="H153" s="22" t="s">
        <v>30</v>
      </c>
      <c r="I153" s="22" t="s">
        <v>292</v>
      </c>
      <c r="J153" s="22" t="s">
        <v>66</v>
      </c>
      <c r="K153" s="755" t="s">
        <v>2109</v>
      </c>
      <c r="L153" s="22" t="s">
        <v>293</v>
      </c>
      <c r="M153" s="429">
        <v>2021</v>
      </c>
      <c r="N153" s="780">
        <v>10026709.644855358</v>
      </c>
      <c r="O153" s="66">
        <v>0</v>
      </c>
      <c r="P153" s="67">
        <v>0</v>
      </c>
      <c r="Q153" s="22" t="s">
        <v>899</v>
      </c>
      <c r="R153" s="22" t="s">
        <v>49</v>
      </c>
      <c r="S153" s="24"/>
      <c r="T153" s="21"/>
    </row>
    <row r="154" spans="1:20" ht="60" hidden="1">
      <c r="A154" s="31">
        <v>151</v>
      </c>
      <c r="B154" s="22" t="s">
        <v>39</v>
      </c>
      <c r="C154" s="22" t="s">
        <v>290</v>
      </c>
      <c r="D154" s="22" t="s">
        <v>291</v>
      </c>
      <c r="E154" s="23" t="s">
        <v>296</v>
      </c>
      <c r="F154" s="22" t="s">
        <v>297</v>
      </c>
      <c r="G154" s="22" t="s">
        <v>298</v>
      </c>
      <c r="H154" s="22" t="s">
        <v>30</v>
      </c>
      <c r="I154" s="22" t="s">
        <v>299</v>
      </c>
      <c r="J154" s="22" t="s">
        <v>297</v>
      </c>
      <c r="K154" s="755" t="s">
        <v>2109</v>
      </c>
      <c r="L154" s="22" t="s">
        <v>293</v>
      </c>
      <c r="M154" s="429">
        <v>2021</v>
      </c>
      <c r="N154" s="780">
        <v>2.2100711460495599E-2</v>
      </c>
      <c r="O154" s="335">
        <v>7818.8756722617145</v>
      </c>
      <c r="P154" s="335">
        <v>353783.89</v>
      </c>
      <c r="Q154" s="22"/>
      <c r="R154" s="22"/>
      <c r="S154" s="24"/>
      <c r="T154" s="21"/>
    </row>
    <row r="155" spans="1:20" ht="60" hidden="1">
      <c r="A155" s="31">
        <v>152</v>
      </c>
      <c r="B155" s="22" t="s">
        <v>39</v>
      </c>
      <c r="C155" s="22" t="s">
        <v>290</v>
      </c>
      <c r="D155" s="22" t="s">
        <v>291</v>
      </c>
      <c r="E155" s="23" t="s">
        <v>296</v>
      </c>
      <c r="F155" s="22" t="s">
        <v>300</v>
      </c>
      <c r="G155" s="22" t="s">
        <v>298</v>
      </c>
      <c r="H155" s="22" t="s">
        <v>30</v>
      </c>
      <c r="I155" s="22" t="s">
        <v>299</v>
      </c>
      <c r="J155" s="22" t="s">
        <v>300</v>
      </c>
      <c r="K155" s="755" t="s">
        <v>2109</v>
      </c>
      <c r="L155" s="22" t="s">
        <v>293</v>
      </c>
      <c r="M155" s="429">
        <v>2021</v>
      </c>
      <c r="N155" s="780">
        <v>1.5494216743472089E-2</v>
      </c>
      <c r="O155" s="335">
        <v>5481.604272008688</v>
      </c>
      <c r="P155" s="335">
        <v>353783.89</v>
      </c>
      <c r="Q155" s="22"/>
      <c r="R155" s="22"/>
      <c r="S155" s="24"/>
      <c r="T155" s="21"/>
    </row>
    <row r="156" spans="1:20" ht="60" hidden="1">
      <c r="A156" s="31">
        <v>153</v>
      </c>
      <c r="B156" s="22" t="s">
        <v>39</v>
      </c>
      <c r="C156" s="22" t="s">
        <v>290</v>
      </c>
      <c r="D156" s="22" t="s">
        <v>291</v>
      </c>
      <c r="E156" s="23" t="s">
        <v>296</v>
      </c>
      <c r="F156" s="22" t="s">
        <v>301</v>
      </c>
      <c r="G156" s="22" t="s">
        <v>298</v>
      </c>
      <c r="H156" s="22" t="s">
        <v>30</v>
      </c>
      <c r="I156" s="22" t="s">
        <v>299</v>
      </c>
      <c r="J156" s="22" t="s">
        <v>301</v>
      </c>
      <c r="K156" s="755" t="s">
        <v>2109</v>
      </c>
      <c r="L156" s="22" t="s">
        <v>293</v>
      </c>
      <c r="M156" s="429">
        <v>2021</v>
      </c>
      <c r="N156" s="780">
        <v>4.5248701608795634E-3</v>
      </c>
      <c r="O156" s="335">
        <v>34512884.262785725</v>
      </c>
      <c r="P156" s="335">
        <v>7627375601</v>
      </c>
      <c r="Q156" s="22"/>
      <c r="R156" s="22"/>
      <c r="S156" s="24"/>
      <c r="T156" s="21"/>
    </row>
    <row r="157" spans="1:20" ht="60" hidden="1">
      <c r="A157" s="31">
        <v>154</v>
      </c>
      <c r="B157" s="22" t="s">
        <v>39</v>
      </c>
      <c r="C157" s="22" t="s">
        <v>290</v>
      </c>
      <c r="D157" s="22" t="s">
        <v>291</v>
      </c>
      <c r="E157" s="23" t="s">
        <v>296</v>
      </c>
      <c r="F157" s="22" t="s">
        <v>302</v>
      </c>
      <c r="G157" s="22" t="s">
        <v>298</v>
      </c>
      <c r="H157" s="22" t="s">
        <v>30</v>
      </c>
      <c r="I157" s="22" t="s">
        <v>299</v>
      </c>
      <c r="J157" s="22" t="s">
        <v>302</v>
      </c>
      <c r="K157" s="755" t="s">
        <v>2109</v>
      </c>
      <c r="L157" s="22" t="s">
        <v>293</v>
      </c>
      <c r="M157" s="429">
        <v>2021</v>
      </c>
      <c r="N157" s="780">
        <v>3.3097011439515425E-3</v>
      </c>
      <c r="O157" s="335">
        <v>25244333.751977783</v>
      </c>
      <c r="P157" s="335">
        <v>7627375601</v>
      </c>
      <c r="Q157" s="22"/>
      <c r="R157" s="22"/>
      <c r="S157" s="24"/>
      <c r="T157" s="21"/>
    </row>
    <row r="158" spans="1:20" ht="60" hidden="1">
      <c r="A158" s="31">
        <v>155</v>
      </c>
      <c r="B158" s="22" t="s">
        <v>39</v>
      </c>
      <c r="C158" s="22" t="s">
        <v>290</v>
      </c>
      <c r="D158" s="22" t="s">
        <v>291</v>
      </c>
      <c r="E158" s="23" t="s">
        <v>296</v>
      </c>
      <c r="F158" s="22" t="s">
        <v>303</v>
      </c>
      <c r="G158" s="22" t="s">
        <v>298</v>
      </c>
      <c r="H158" s="22" t="s">
        <v>30</v>
      </c>
      <c r="I158" s="22" t="s">
        <v>299</v>
      </c>
      <c r="J158" s="22" t="s">
        <v>303</v>
      </c>
      <c r="K158" s="755" t="s">
        <v>2109</v>
      </c>
      <c r="L158" s="22" t="s">
        <v>293</v>
      </c>
      <c r="M158" s="429">
        <v>2021</v>
      </c>
      <c r="N158" s="780">
        <v>6.3497820102913103E-3</v>
      </c>
      <c r="O158" s="335">
        <v>1087222.0832761263</v>
      </c>
      <c r="P158" s="335">
        <v>171221954</v>
      </c>
      <c r="Q158" s="22" t="s">
        <v>304</v>
      </c>
      <c r="R158" s="22" t="s">
        <v>49</v>
      </c>
      <c r="S158" s="24"/>
      <c r="T158" s="21"/>
    </row>
    <row r="159" spans="1:20" ht="60" hidden="1">
      <c r="A159" s="31">
        <v>156</v>
      </c>
      <c r="B159" s="22" t="s">
        <v>39</v>
      </c>
      <c r="C159" s="22" t="s">
        <v>290</v>
      </c>
      <c r="D159" s="22" t="s">
        <v>291</v>
      </c>
      <c r="E159" s="23" t="s">
        <v>296</v>
      </c>
      <c r="F159" s="22" t="s">
        <v>305</v>
      </c>
      <c r="G159" s="22" t="s">
        <v>298</v>
      </c>
      <c r="H159" s="22" t="s">
        <v>30</v>
      </c>
      <c r="I159" s="22" t="s">
        <v>299</v>
      </c>
      <c r="J159" s="22" t="s">
        <v>305</v>
      </c>
      <c r="K159" s="755" t="s">
        <v>2109</v>
      </c>
      <c r="L159" s="22" t="s">
        <v>293</v>
      </c>
      <c r="M159" s="429">
        <v>2021</v>
      </c>
      <c r="N159" s="780">
        <v>5.1361460335493467E-3</v>
      </c>
      <c r="O159" s="335">
        <v>879420.95989366865</v>
      </c>
      <c r="P159" s="335">
        <v>171221954</v>
      </c>
      <c r="Q159" s="22" t="s">
        <v>304</v>
      </c>
      <c r="R159" s="22" t="s">
        <v>49</v>
      </c>
      <c r="S159" s="24"/>
      <c r="T159" s="21"/>
    </row>
    <row r="160" spans="1:20" ht="60" hidden="1">
      <c r="A160" s="31">
        <v>157</v>
      </c>
      <c r="B160" s="22" t="s">
        <v>39</v>
      </c>
      <c r="C160" s="22" t="s">
        <v>290</v>
      </c>
      <c r="D160" s="22" t="s">
        <v>291</v>
      </c>
      <c r="E160" s="23" t="s">
        <v>296</v>
      </c>
      <c r="F160" s="22" t="s">
        <v>306</v>
      </c>
      <c r="G160" s="22" t="s">
        <v>298</v>
      </c>
      <c r="H160" s="22" t="s">
        <v>30</v>
      </c>
      <c r="I160" s="22" t="s">
        <v>299</v>
      </c>
      <c r="J160" s="22" t="s">
        <v>306</v>
      </c>
      <c r="K160" s="755" t="s">
        <v>2109</v>
      </c>
      <c r="L160" s="22" t="s">
        <v>293</v>
      </c>
      <c r="M160" s="429">
        <v>2021</v>
      </c>
      <c r="N160" s="780">
        <v>0.2682490582271318</v>
      </c>
      <c r="O160" s="335">
        <v>94902.195308431197</v>
      </c>
      <c r="P160" s="335">
        <v>353783.89</v>
      </c>
      <c r="Q160" s="22"/>
      <c r="R160" s="22"/>
      <c r="S160" s="24"/>
      <c r="T160" s="21"/>
    </row>
    <row r="161" spans="1:20" ht="60" hidden="1">
      <c r="A161" s="31">
        <v>158</v>
      </c>
      <c r="B161" s="22" t="s">
        <v>39</v>
      </c>
      <c r="C161" s="22" t="s">
        <v>290</v>
      </c>
      <c r="D161" s="22" t="s">
        <v>291</v>
      </c>
      <c r="E161" s="23" t="s">
        <v>296</v>
      </c>
      <c r="F161" s="22" t="s">
        <v>307</v>
      </c>
      <c r="G161" s="22" t="s">
        <v>298</v>
      </c>
      <c r="H161" s="22" t="s">
        <v>30</v>
      </c>
      <c r="I161" s="22" t="s">
        <v>299</v>
      </c>
      <c r="J161" s="22" t="s">
        <v>307</v>
      </c>
      <c r="K161" s="755" t="s">
        <v>2109</v>
      </c>
      <c r="L161" s="22" t="s">
        <v>293</v>
      </c>
      <c r="M161" s="429">
        <v>2021</v>
      </c>
      <c r="N161" s="780">
        <v>0.18681575880763807</v>
      </c>
      <c r="O161" s="335">
        <v>66092.405864267959</v>
      </c>
      <c r="P161" s="335">
        <v>353783.89</v>
      </c>
      <c r="Q161" s="22"/>
      <c r="R161" s="22"/>
      <c r="S161" s="24"/>
      <c r="T161" s="21"/>
    </row>
    <row r="162" spans="1:20" ht="60" hidden="1">
      <c r="A162" s="31">
        <v>159</v>
      </c>
      <c r="B162" s="22" t="s">
        <v>39</v>
      </c>
      <c r="C162" s="22" t="s">
        <v>290</v>
      </c>
      <c r="D162" s="22" t="s">
        <v>291</v>
      </c>
      <c r="E162" s="23" t="s">
        <v>296</v>
      </c>
      <c r="F162" s="22" t="s">
        <v>308</v>
      </c>
      <c r="G162" s="22" t="s">
        <v>298</v>
      </c>
      <c r="H162" s="22" t="s">
        <v>30</v>
      </c>
      <c r="I162" s="22" t="s">
        <v>299</v>
      </c>
      <c r="J162" s="22" t="s">
        <v>308</v>
      </c>
      <c r="K162" s="755" t="s">
        <v>2109</v>
      </c>
      <c r="L162" s="22" t="s">
        <v>293</v>
      </c>
      <c r="M162" s="429">
        <v>2021</v>
      </c>
      <c r="N162" s="780">
        <v>3.9347667539547562E-2</v>
      </c>
      <c r="O162" s="335">
        <v>300119439.34740478</v>
      </c>
      <c r="P162" s="335">
        <v>7627375601</v>
      </c>
      <c r="Q162" s="22"/>
      <c r="R162" s="22"/>
      <c r="S162" s="24"/>
      <c r="T162" s="21"/>
    </row>
    <row r="163" spans="1:20" ht="60" hidden="1">
      <c r="A163" s="31">
        <v>160</v>
      </c>
      <c r="B163" s="22" t="s">
        <v>39</v>
      </c>
      <c r="C163" s="22" t="s">
        <v>290</v>
      </c>
      <c r="D163" s="22" t="s">
        <v>291</v>
      </c>
      <c r="E163" s="23" t="s">
        <v>296</v>
      </c>
      <c r="F163" s="22" t="s">
        <v>309</v>
      </c>
      <c r="G163" s="22" t="s">
        <v>298</v>
      </c>
      <c r="H163" s="22" t="s">
        <v>30</v>
      </c>
      <c r="I163" s="22" t="s">
        <v>299</v>
      </c>
      <c r="J163" s="22" t="s">
        <v>309</v>
      </c>
      <c r="K163" s="755" t="s">
        <v>2109</v>
      </c>
      <c r="L163" s="22" t="s">
        <v>293</v>
      </c>
      <c r="M163" s="429">
        <v>2021</v>
      </c>
      <c r="N163" s="780">
        <v>2.8166352940694965E-2</v>
      </c>
      <c r="O163" s="335">
        <v>214835353.18901137</v>
      </c>
      <c r="P163" s="335">
        <v>7627375601</v>
      </c>
      <c r="Q163" s="22"/>
      <c r="R163" s="22"/>
      <c r="S163" s="24"/>
      <c r="T163" s="21"/>
    </row>
    <row r="164" spans="1:20" ht="60" hidden="1">
      <c r="A164" s="31">
        <v>161</v>
      </c>
      <c r="B164" s="22" t="s">
        <v>39</v>
      </c>
      <c r="C164" s="22" t="s">
        <v>290</v>
      </c>
      <c r="D164" s="22" t="s">
        <v>291</v>
      </c>
      <c r="E164" s="23" t="s">
        <v>296</v>
      </c>
      <c r="F164" s="22" t="s">
        <v>310</v>
      </c>
      <c r="G164" s="22" t="s">
        <v>298</v>
      </c>
      <c r="H164" s="22" t="s">
        <v>30</v>
      </c>
      <c r="I164" s="22" t="s">
        <v>299</v>
      </c>
      <c r="J164" s="22" t="s">
        <v>310</v>
      </c>
      <c r="K164" s="755" t="s">
        <v>2109</v>
      </c>
      <c r="L164" s="22" t="s">
        <v>293</v>
      </c>
      <c r="M164" s="429">
        <v>2021</v>
      </c>
      <c r="N164" s="780">
        <v>8.6248451106212376E-2</v>
      </c>
      <c r="O164" s="335">
        <v>14767628.327879146</v>
      </c>
      <c r="P164" s="335">
        <v>171221954</v>
      </c>
      <c r="Q164" s="22" t="s">
        <v>304</v>
      </c>
      <c r="R164" s="22" t="s">
        <v>49</v>
      </c>
      <c r="S164" s="24"/>
      <c r="T164" s="21"/>
    </row>
    <row r="165" spans="1:20" ht="60" hidden="1">
      <c r="A165" s="31">
        <v>162</v>
      </c>
      <c r="B165" s="22" t="s">
        <v>39</v>
      </c>
      <c r="C165" s="22" t="s">
        <v>290</v>
      </c>
      <c r="D165" s="22" t="s">
        <v>291</v>
      </c>
      <c r="E165" s="23" t="s">
        <v>296</v>
      </c>
      <c r="F165" s="22" t="s">
        <v>311</v>
      </c>
      <c r="G165" s="22" t="s">
        <v>298</v>
      </c>
      <c r="H165" s="22" t="s">
        <v>30</v>
      </c>
      <c r="I165" s="22" t="s">
        <v>299</v>
      </c>
      <c r="J165" s="22" t="s">
        <v>311</v>
      </c>
      <c r="K165" s="755" t="s">
        <v>2109</v>
      </c>
      <c r="L165" s="22" t="s">
        <v>293</v>
      </c>
      <c r="M165" s="429">
        <v>2021</v>
      </c>
      <c r="N165" s="780">
        <v>5.8559719770838251E-2</v>
      </c>
      <c r="O165" s="335">
        <v>10026709.644855358</v>
      </c>
      <c r="P165" s="335">
        <v>171221954</v>
      </c>
      <c r="Q165" s="22" t="s">
        <v>304</v>
      </c>
      <c r="R165" s="22" t="s">
        <v>49</v>
      </c>
      <c r="S165" s="24"/>
      <c r="T165" s="21"/>
    </row>
    <row r="166" spans="1:20" ht="30" hidden="1">
      <c r="A166" s="31">
        <v>163</v>
      </c>
      <c r="B166" s="22" t="s">
        <v>39</v>
      </c>
      <c r="C166" s="22" t="s">
        <v>290</v>
      </c>
      <c r="D166" s="22" t="s">
        <v>312</v>
      </c>
      <c r="E166" s="23" t="s">
        <v>42</v>
      </c>
      <c r="F166" s="22" t="s">
        <v>43</v>
      </c>
      <c r="G166" s="22" t="s">
        <v>44</v>
      </c>
      <c r="H166" s="22" t="s">
        <v>30</v>
      </c>
      <c r="I166" s="22" t="s">
        <v>313</v>
      </c>
      <c r="J166" s="22" t="s">
        <v>314</v>
      </c>
      <c r="K166" s="755" t="s">
        <v>2107</v>
      </c>
      <c r="L166" s="22" t="s">
        <v>293</v>
      </c>
      <c r="M166" s="429">
        <v>2021</v>
      </c>
      <c r="N166" s="780">
        <v>3509.8939109580242</v>
      </c>
      <c r="O166" s="66">
        <v>0</v>
      </c>
      <c r="P166" s="67">
        <v>0</v>
      </c>
      <c r="Q166" s="22" t="s">
        <v>48</v>
      </c>
      <c r="R166" s="22"/>
      <c r="S166" s="24"/>
      <c r="T166" s="21"/>
    </row>
    <row r="167" spans="1:20" ht="45" hidden="1">
      <c r="A167" s="31">
        <v>164</v>
      </c>
      <c r="B167" s="22" t="s">
        <v>39</v>
      </c>
      <c r="C167" s="22" t="s">
        <v>290</v>
      </c>
      <c r="D167" s="22" t="s">
        <v>315</v>
      </c>
      <c r="E167" s="23" t="s">
        <v>316</v>
      </c>
      <c r="F167" s="22" t="s">
        <v>317</v>
      </c>
      <c r="G167" s="22" t="s">
        <v>318</v>
      </c>
      <c r="H167" s="22" t="s">
        <v>30</v>
      </c>
      <c r="I167" s="22" t="s">
        <v>319</v>
      </c>
      <c r="J167" s="22" t="s">
        <v>317</v>
      </c>
      <c r="K167" s="757" t="s">
        <v>2113</v>
      </c>
      <c r="L167" s="22" t="s">
        <v>293</v>
      </c>
      <c r="M167" s="429"/>
      <c r="N167" s="780" t="s">
        <v>59</v>
      </c>
      <c r="O167" s="335">
        <v>0</v>
      </c>
      <c r="P167" s="335">
        <v>0</v>
      </c>
      <c r="Q167" s="22"/>
      <c r="R167" s="22"/>
      <c r="S167" s="24"/>
      <c r="T167" s="21"/>
    </row>
    <row r="168" spans="1:20" ht="45" hidden="1">
      <c r="A168" s="31">
        <v>165</v>
      </c>
      <c r="B168" s="22" t="s">
        <v>39</v>
      </c>
      <c r="C168" s="22" t="s">
        <v>290</v>
      </c>
      <c r="D168" s="22" t="s">
        <v>315</v>
      </c>
      <c r="E168" s="23" t="s">
        <v>316</v>
      </c>
      <c r="F168" s="22" t="s">
        <v>320</v>
      </c>
      <c r="G168" s="22" t="s">
        <v>318</v>
      </c>
      <c r="H168" s="22" t="s">
        <v>30</v>
      </c>
      <c r="I168" s="22" t="s">
        <v>319</v>
      </c>
      <c r="J168" s="22" t="s">
        <v>320</v>
      </c>
      <c r="K168" s="757" t="s">
        <v>2113</v>
      </c>
      <c r="L168" s="22" t="s">
        <v>293</v>
      </c>
      <c r="M168" s="429">
        <v>2021</v>
      </c>
      <c r="N168" s="780">
        <v>0.61871547242889235</v>
      </c>
      <c r="O168" s="335">
        <v>300119439.34740478</v>
      </c>
      <c r="P168" s="335">
        <v>485068586</v>
      </c>
      <c r="Q168" s="22"/>
      <c r="R168" s="22"/>
      <c r="S168" s="24"/>
      <c r="T168" s="21"/>
    </row>
    <row r="169" spans="1:20" ht="60" hidden="1">
      <c r="A169" s="31">
        <v>166</v>
      </c>
      <c r="B169" s="22" t="s">
        <v>39</v>
      </c>
      <c r="C169" s="22" t="s">
        <v>290</v>
      </c>
      <c r="D169" s="22" t="s">
        <v>315</v>
      </c>
      <c r="E169" s="23" t="s">
        <v>316</v>
      </c>
      <c r="F169" s="22" t="s">
        <v>321</v>
      </c>
      <c r="G169" s="22" t="s">
        <v>318</v>
      </c>
      <c r="H169" s="22" t="s">
        <v>30</v>
      </c>
      <c r="I169" s="22" t="s">
        <v>319</v>
      </c>
      <c r="J169" s="22" t="s">
        <v>321</v>
      </c>
      <c r="K169" s="757" t="s">
        <v>2113</v>
      </c>
      <c r="L169" s="22" t="s">
        <v>293</v>
      </c>
      <c r="M169" s="429">
        <v>2021</v>
      </c>
      <c r="N169" s="780">
        <v>0.47211223957217491</v>
      </c>
      <c r="O169" s="335">
        <v>1087222.0832761263</v>
      </c>
      <c r="P169" s="335">
        <v>2302889</v>
      </c>
      <c r="Q169" s="22" t="s">
        <v>322</v>
      </c>
      <c r="R169" s="22"/>
      <c r="S169" s="24" t="s">
        <v>323</v>
      </c>
      <c r="T169" s="21"/>
    </row>
    <row r="170" spans="1:20" ht="150" hidden="1">
      <c r="A170" s="31">
        <v>167</v>
      </c>
      <c r="B170" s="22" t="s">
        <v>39</v>
      </c>
      <c r="C170" s="22" t="s">
        <v>290</v>
      </c>
      <c r="D170" s="22" t="s">
        <v>324</v>
      </c>
      <c r="E170" s="23" t="s">
        <v>325</v>
      </c>
      <c r="F170" s="22" t="s">
        <v>142</v>
      </c>
      <c r="G170" s="22" t="s">
        <v>143</v>
      </c>
      <c r="H170" s="22" t="s">
        <v>30</v>
      </c>
      <c r="I170" s="22" t="s">
        <v>326</v>
      </c>
      <c r="J170" s="22" t="s">
        <v>327</v>
      </c>
      <c r="K170" s="757" t="s">
        <v>2113</v>
      </c>
      <c r="L170" s="22" t="s">
        <v>293</v>
      </c>
      <c r="M170" s="429">
        <v>2021</v>
      </c>
      <c r="N170" s="780">
        <v>6.6784608580274213E-2</v>
      </c>
      <c r="O170" s="335">
        <v>151</v>
      </c>
      <c r="P170" s="335">
        <v>2261</v>
      </c>
      <c r="Q170" s="22" t="s">
        <v>328</v>
      </c>
      <c r="R170" s="22" t="s">
        <v>246</v>
      </c>
      <c r="S170" s="24"/>
      <c r="T170" s="21"/>
    </row>
    <row r="171" spans="1:20" ht="150" hidden="1">
      <c r="A171" s="31">
        <v>168</v>
      </c>
      <c r="B171" s="22" t="s">
        <v>39</v>
      </c>
      <c r="C171" s="22" t="s">
        <v>290</v>
      </c>
      <c r="D171" s="22" t="s">
        <v>324</v>
      </c>
      <c r="E171" s="23" t="s">
        <v>329</v>
      </c>
      <c r="F171" s="22" t="s">
        <v>142</v>
      </c>
      <c r="G171" s="22" t="s">
        <v>143</v>
      </c>
      <c r="H171" s="22" t="s">
        <v>30</v>
      </c>
      <c r="I171" s="22" t="s">
        <v>326</v>
      </c>
      <c r="J171" s="22" t="s">
        <v>330</v>
      </c>
      <c r="K171" s="757" t="s">
        <v>2113</v>
      </c>
      <c r="L171" s="22" t="s">
        <v>293</v>
      </c>
      <c r="M171" s="429">
        <v>2021</v>
      </c>
      <c r="N171" s="780">
        <v>1.082693947144075E-2</v>
      </c>
      <c r="O171" s="335">
        <v>254</v>
      </c>
      <c r="P171" s="335">
        <v>23460</v>
      </c>
      <c r="Q171" s="22" t="s">
        <v>328</v>
      </c>
      <c r="R171" s="22" t="s">
        <v>246</v>
      </c>
      <c r="S171" s="24"/>
      <c r="T171" s="21"/>
    </row>
    <row r="172" spans="1:20" ht="150" hidden="1">
      <c r="A172" s="31">
        <v>169</v>
      </c>
      <c r="B172" s="22" t="s">
        <v>39</v>
      </c>
      <c r="C172" s="22" t="s">
        <v>290</v>
      </c>
      <c r="D172" s="22" t="s">
        <v>324</v>
      </c>
      <c r="E172" s="23" t="s">
        <v>331</v>
      </c>
      <c r="F172" s="22" t="s">
        <v>142</v>
      </c>
      <c r="G172" s="22" t="s">
        <v>143</v>
      </c>
      <c r="H172" s="22" t="s">
        <v>30</v>
      </c>
      <c r="I172" s="22" t="s">
        <v>332</v>
      </c>
      <c r="J172" s="22" t="s">
        <v>333</v>
      </c>
      <c r="K172" s="757" t="s">
        <v>2113</v>
      </c>
      <c r="L172" s="22" t="s">
        <v>293</v>
      </c>
      <c r="M172" s="429">
        <v>2021</v>
      </c>
      <c r="N172" s="780">
        <v>1.18511395650927E-2</v>
      </c>
      <c r="O172" s="335">
        <v>1405</v>
      </c>
      <c r="P172" s="335">
        <v>118554</v>
      </c>
      <c r="Q172" s="22" t="s">
        <v>328</v>
      </c>
      <c r="R172" s="22" t="s">
        <v>246</v>
      </c>
      <c r="S172" s="24"/>
      <c r="T172" s="21"/>
    </row>
    <row r="173" spans="1:20" ht="135" hidden="1">
      <c r="A173" s="31">
        <v>170</v>
      </c>
      <c r="B173" s="22" t="s">
        <v>39</v>
      </c>
      <c r="C173" s="22" t="s">
        <v>290</v>
      </c>
      <c r="D173" s="22" t="s">
        <v>324</v>
      </c>
      <c r="E173" s="23" t="s">
        <v>252</v>
      </c>
      <c r="F173" s="22" t="s">
        <v>142</v>
      </c>
      <c r="G173" s="22" t="s">
        <v>760</v>
      </c>
      <c r="H173" s="22" t="s">
        <v>30</v>
      </c>
      <c r="I173" s="22" t="s">
        <v>334</v>
      </c>
      <c r="J173" s="22" t="s">
        <v>335</v>
      </c>
      <c r="K173" s="757" t="s">
        <v>2113</v>
      </c>
      <c r="L173" s="22" t="s">
        <v>293</v>
      </c>
      <c r="M173" s="429">
        <v>2021</v>
      </c>
      <c r="N173" s="780">
        <v>0.13724660938617642</v>
      </c>
      <c r="O173" s="335">
        <v>30335522</v>
      </c>
      <c r="P173" s="335">
        <v>221029300</v>
      </c>
      <c r="Q173" s="22" t="s">
        <v>336</v>
      </c>
      <c r="R173" s="96" t="s">
        <v>337</v>
      </c>
      <c r="S173" s="24" t="s">
        <v>338</v>
      </c>
      <c r="T173" s="21"/>
    </row>
    <row r="174" spans="1:20" ht="180" hidden="1">
      <c r="A174" s="31">
        <v>171</v>
      </c>
      <c r="B174" s="22" t="s">
        <v>39</v>
      </c>
      <c r="C174" s="22" t="s">
        <v>290</v>
      </c>
      <c r="D174" s="22" t="s">
        <v>324</v>
      </c>
      <c r="E174" s="23" t="s">
        <v>153</v>
      </c>
      <c r="F174" s="22" t="s">
        <v>142</v>
      </c>
      <c r="G174" s="22" t="s">
        <v>154</v>
      </c>
      <c r="H174" s="22" t="s">
        <v>30</v>
      </c>
      <c r="I174" s="22" t="s">
        <v>339</v>
      </c>
      <c r="J174" s="22" t="s">
        <v>156</v>
      </c>
      <c r="K174" s="757" t="s">
        <v>2113</v>
      </c>
      <c r="L174" s="22" t="s">
        <v>293</v>
      </c>
      <c r="M174" s="429">
        <v>2021</v>
      </c>
      <c r="N174" s="780">
        <v>7.7823772915434658E-2</v>
      </c>
      <c r="O174" s="335">
        <v>658</v>
      </c>
      <c r="P174" s="335">
        <v>8455</v>
      </c>
      <c r="Q174" s="22" t="s">
        <v>340</v>
      </c>
      <c r="R174" s="22" t="s">
        <v>1499</v>
      </c>
      <c r="S174" s="24"/>
      <c r="T174" s="21"/>
    </row>
    <row r="175" spans="1:20" ht="135" hidden="1">
      <c r="A175" s="31">
        <v>172</v>
      </c>
      <c r="B175" s="22" t="s">
        <v>39</v>
      </c>
      <c r="C175" s="22" t="s">
        <v>290</v>
      </c>
      <c r="D175" s="22" t="s">
        <v>341</v>
      </c>
      <c r="E175" s="23" t="s">
        <v>342</v>
      </c>
      <c r="F175" s="22" t="s">
        <v>142</v>
      </c>
      <c r="G175" s="22" t="s">
        <v>771</v>
      </c>
      <c r="H175" s="22" t="s">
        <v>30</v>
      </c>
      <c r="I175" s="22" t="s">
        <v>344</v>
      </c>
      <c r="J175" s="22" t="s">
        <v>345</v>
      </c>
      <c r="K175" s="757" t="s">
        <v>2114</v>
      </c>
      <c r="L175" s="22" t="s">
        <v>293</v>
      </c>
      <c r="M175" s="429">
        <v>2021</v>
      </c>
      <c r="N175" s="780">
        <v>3.608386761393173E-2</v>
      </c>
      <c r="O175" s="67">
        <v>57047348</v>
      </c>
      <c r="P175" s="67">
        <v>1580965450</v>
      </c>
      <c r="Q175" s="22" t="s">
        <v>336</v>
      </c>
      <c r="R175" s="96" t="s">
        <v>337</v>
      </c>
      <c r="S175" s="24" t="s">
        <v>338</v>
      </c>
      <c r="T175" s="21"/>
    </row>
    <row r="176" spans="1:20" ht="105" hidden="1">
      <c r="A176" s="31">
        <v>173</v>
      </c>
      <c r="B176" s="22" t="s">
        <v>39</v>
      </c>
      <c r="C176" s="22" t="s">
        <v>290</v>
      </c>
      <c r="D176" s="22" t="s">
        <v>341</v>
      </c>
      <c r="E176" s="23" t="s">
        <v>346</v>
      </c>
      <c r="F176" s="22" t="s">
        <v>142</v>
      </c>
      <c r="G176" s="22" t="s">
        <v>773</v>
      </c>
      <c r="H176" s="22" t="s">
        <v>30</v>
      </c>
      <c r="I176" s="22" t="s">
        <v>348</v>
      </c>
      <c r="J176" s="22" t="s">
        <v>2017</v>
      </c>
      <c r="K176" s="757" t="s">
        <v>2114</v>
      </c>
      <c r="L176" s="22" t="s">
        <v>293</v>
      </c>
      <c r="M176" s="429">
        <v>2021</v>
      </c>
      <c r="N176" s="780">
        <v>0.1096859796550199</v>
      </c>
      <c r="O176" s="67">
        <v>248</v>
      </c>
      <c r="P176" s="67">
        <v>2261</v>
      </c>
      <c r="Q176" s="22" t="s">
        <v>350</v>
      </c>
      <c r="R176" s="96" t="s">
        <v>351</v>
      </c>
      <c r="S176" s="24"/>
      <c r="T176" s="21"/>
    </row>
    <row r="177" spans="1:20" ht="105" hidden="1">
      <c r="A177" s="31">
        <v>174</v>
      </c>
      <c r="B177" s="22" t="s">
        <v>39</v>
      </c>
      <c r="C177" s="22" t="s">
        <v>290</v>
      </c>
      <c r="D177" s="22" t="s">
        <v>341</v>
      </c>
      <c r="E177" s="23" t="s">
        <v>352</v>
      </c>
      <c r="F177" s="22" t="s">
        <v>142</v>
      </c>
      <c r="G177" s="22" t="s">
        <v>773</v>
      </c>
      <c r="H177" s="22" t="s">
        <v>30</v>
      </c>
      <c r="I177" s="22" t="s">
        <v>353</v>
      </c>
      <c r="J177" s="22" t="s">
        <v>2018</v>
      </c>
      <c r="K177" s="757" t="s">
        <v>2114</v>
      </c>
      <c r="L177" s="22" t="s">
        <v>293</v>
      </c>
      <c r="M177" s="429">
        <v>2021</v>
      </c>
      <c r="N177" s="780">
        <v>6.7476555839727198E-2</v>
      </c>
      <c r="O177" s="67">
        <v>1583</v>
      </c>
      <c r="P177" s="67">
        <v>23460</v>
      </c>
      <c r="Q177" s="22" t="s">
        <v>355</v>
      </c>
      <c r="R177" s="96" t="s">
        <v>351</v>
      </c>
      <c r="S177" s="24"/>
      <c r="T177" s="21"/>
    </row>
    <row r="178" spans="1:20" ht="105" hidden="1">
      <c r="A178" s="31">
        <v>175</v>
      </c>
      <c r="B178" s="22" t="s">
        <v>39</v>
      </c>
      <c r="C178" s="22" t="s">
        <v>290</v>
      </c>
      <c r="D178" s="22" t="s">
        <v>341</v>
      </c>
      <c r="E178" s="23" t="s">
        <v>356</v>
      </c>
      <c r="F178" s="22" t="s">
        <v>142</v>
      </c>
      <c r="G178" s="22" t="s">
        <v>773</v>
      </c>
      <c r="H178" s="22" t="s">
        <v>30</v>
      </c>
      <c r="I178" s="22" t="s">
        <v>357</v>
      </c>
      <c r="J178" s="22" t="s">
        <v>2019</v>
      </c>
      <c r="K178" s="757" t="s">
        <v>2114</v>
      </c>
      <c r="L178" s="22" t="s">
        <v>293</v>
      </c>
      <c r="M178" s="429">
        <v>2021</v>
      </c>
      <c r="N178" s="780">
        <v>2.8459604905781331E-2</v>
      </c>
      <c r="O178" s="67">
        <v>3374</v>
      </c>
      <c r="P178" s="67">
        <v>118554</v>
      </c>
      <c r="Q178" s="22" t="s">
        <v>359</v>
      </c>
      <c r="R178" s="96" t="s">
        <v>351</v>
      </c>
      <c r="S178" s="24"/>
      <c r="T178" s="21"/>
    </row>
    <row r="179" spans="1:20" ht="75" hidden="1">
      <c r="A179" s="31">
        <v>176</v>
      </c>
      <c r="B179" s="22" t="s">
        <v>39</v>
      </c>
      <c r="C179" s="22" t="s">
        <v>290</v>
      </c>
      <c r="D179" s="22" t="s">
        <v>341</v>
      </c>
      <c r="E179" s="23" t="s">
        <v>270</v>
      </c>
      <c r="F179" s="22" t="s">
        <v>142</v>
      </c>
      <c r="G179" s="22" t="s">
        <v>271</v>
      </c>
      <c r="H179" s="22" t="s">
        <v>30</v>
      </c>
      <c r="I179" s="22" t="s">
        <v>361</v>
      </c>
      <c r="J179" s="22" t="s">
        <v>362</v>
      </c>
      <c r="K179" s="757" t="s">
        <v>2114</v>
      </c>
      <c r="L179" s="22" t="s">
        <v>293</v>
      </c>
      <c r="M179" s="429">
        <v>2021</v>
      </c>
      <c r="N179" s="780">
        <v>1.5257244234180957E-2</v>
      </c>
      <c r="O179" s="67">
        <v>129</v>
      </c>
      <c r="P179" s="67">
        <v>8455</v>
      </c>
      <c r="Q179" s="22" t="s">
        <v>363</v>
      </c>
      <c r="R179" s="22"/>
      <c r="S179" s="24"/>
      <c r="T179" s="21"/>
    </row>
    <row r="180" spans="1:20" ht="30" hidden="1">
      <c r="A180" s="31">
        <v>177</v>
      </c>
      <c r="B180" s="22" t="s">
        <v>39</v>
      </c>
      <c r="C180" s="22" t="s">
        <v>290</v>
      </c>
      <c r="D180" s="22" t="s">
        <v>364</v>
      </c>
      <c r="E180" s="23" t="s">
        <v>91</v>
      </c>
      <c r="F180" s="22" t="s">
        <v>92</v>
      </c>
      <c r="G180" s="22" t="s">
        <v>93</v>
      </c>
      <c r="H180" s="22" t="s">
        <v>30</v>
      </c>
      <c r="I180" s="22" t="s">
        <v>365</v>
      </c>
      <c r="J180" s="22" t="s">
        <v>92</v>
      </c>
      <c r="K180" s="755" t="s">
        <v>2112</v>
      </c>
      <c r="L180" s="22" t="s">
        <v>293</v>
      </c>
      <c r="M180" s="429">
        <v>2021</v>
      </c>
      <c r="N180" s="780">
        <v>106.26418996142814</v>
      </c>
      <c r="O180" s="335">
        <v>7023255.9717683783</v>
      </c>
      <c r="P180" s="335">
        <v>66092.405864267959</v>
      </c>
      <c r="Q180" s="22"/>
      <c r="R180" s="22"/>
      <c r="S180" s="24"/>
      <c r="T180" s="21"/>
    </row>
    <row r="181" spans="1:20" ht="30" hidden="1">
      <c r="A181" s="31">
        <v>178</v>
      </c>
      <c r="B181" s="22" t="s">
        <v>39</v>
      </c>
      <c r="C181" s="22" t="s">
        <v>290</v>
      </c>
      <c r="D181" s="22" t="s">
        <v>364</v>
      </c>
      <c r="E181" s="23" t="s">
        <v>91</v>
      </c>
      <c r="F181" s="22" t="s">
        <v>95</v>
      </c>
      <c r="G181" s="22" t="s">
        <v>93</v>
      </c>
      <c r="H181" s="22" t="s">
        <v>30</v>
      </c>
      <c r="I181" s="22" t="s">
        <v>365</v>
      </c>
      <c r="J181" s="22" t="s">
        <v>95</v>
      </c>
      <c r="K181" s="755" t="s">
        <v>2112</v>
      </c>
      <c r="L181" s="22" t="s">
        <v>293</v>
      </c>
      <c r="M181" s="429">
        <v>2021</v>
      </c>
      <c r="N181" s="780">
        <v>3.2691341846280503E-2</v>
      </c>
      <c r="O181" s="335">
        <v>7023255.9717683783</v>
      </c>
      <c r="P181" s="335">
        <v>214835353.18901137</v>
      </c>
      <c r="Q181" s="22"/>
      <c r="R181" s="22"/>
      <c r="S181" s="24"/>
      <c r="T181" s="21"/>
    </row>
    <row r="182" spans="1:20" ht="30" hidden="1">
      <c r="A182" s="31">
        <v>179</v>
      </c>
      <c r="B182" s="22" t="s">
        <v>39</v>
      </c>
      <c r="C182" s="22" t="s">
        <v>290</v>
      </c>
      <c r="D182" s="22" t="s">
        <v>364</v>
      </c>
      <c r="E182" s="23" t="s">
        <v>91</v>
      </c>
      <c r="F182" s="22" t="s">
        <v>96</v>
      </c>
      <c r="G182" s="22" t="s">
        <v>93</v>
      </c>
      <c r="H182" s="22" t="s">
        <v>30</v>
      </c>
      <c r="I182" s="22" t="s">
        <v>365</v>
      </c>
      <c r="J182" s="22" t="s">
        <v>96</v>
      </c>
      <c r="K182" s="755" t="s">
        <v>2112</v>
      </c>
      <c r="L182" s="22" t="s">
        <v>293</v>
      </c>
      <c r="M182" s="429">
        <v>2021</v>
      </c>
      <c r="N182" s="780">
        <v>0.14851998116532975</v>
      </c>
      <c r="O182" s="335">
        <v>1489166.7276041477</v>
      </c>
      <c r="P182" s="335">
        <v>10026709.644855358</v>
      </c>
      <c r="Q182" s="22" t="s">
        <v>48</v>
      </c>
      <c r="R182" s="22" t="s">
        <v>49</v>
      </c>
      <c r="S182" s="24"/>
      <c r="T182" s="21"/>
    </row>
    <row r="183" spans="1:20" ht="30" hidden="1">
      <c r="A183" s="31">
        <v>180</v>
      </c>
      <c r="B183" s="22" t="s">
        <v>39</v>
      </c>
      <c r="C183" s="22" t="s">
        <v>290</v>
      </c>
      <c r="D183" s="22" t="s">
        <v>364</v>
      </c>
      <c r="E183" s="23" t="s">
        <v>91</v>
      </c>
      <c r="F183" s="22" t="s">
        <v>97</v>
      </c>
      <c r="G183" s="22" t="s">
        <v>93</v>
      </c>
      <c r="H183" s="22" t="s">
        <v>30</v>
      </c>
      <c r="I183" s="22" t="s">
        <v>365</v>
      </c>
      <c r="J183" s="22" t="s">
        <v>97</v>
      </c>
      <c r="K183" s="755" t="s">
        <v>2112</v>
      </c>
      <c r="L183" s="22" t="s">
        <v>293</v>
      </c>
      <c r="M183" s="429">
        <v>2021</v>
      </c>
      <c r="N183" s="780">
        <v>146.92283993155073</v>
      </c>
      <c r="O183" s="335">
        <v>9710483.9674869254</v>
      </c>
      <c r="P183" s="335">
        <v>66092.405864267959</v>
      </c>
      <c r="Q183" s="22"/>
      <c r="R183" s="22"/>
      <c r="S183" s="24"/>
      <c r="T183" s="21"/>
    </row>
    <row r="184" spans="1:20" ht="30" hidden="1">
      <c r="A184" s="31">
        <v>181</v>
      </c>
      <c r="B184" s="22" t="s">
        <v>39</v>
      </c>
      <c r="C184" s="22" t="s">
        <v>290</v>
      </c>
      <c r="D184" s="22" t="s">
        <v>364</v>
      </c>
      <c r="E184" s="23" t="s">
        <v>91</v>
      </c>
      <c r="F184" s="22" t="s">
        <v>98</v>
      </c>
      <c r="G184" s="22" t="s">
        <v>93</v>
      </c>
      <c r="H184" s="22" t="s">
        <v>30</v>
      </c>
      <c r="I184" s="22" t="s">
        <v>365</v>
      </c>
      <c r="J184" s="22" t="s">
        <v>98</v>
      </c>
      <c r="K184" s="755" t="s">
        <v>2112</v>
      </c>
      <c r="L184" s="22" t="s">
        <v>293</v>
      </c>
      <c r="M184" s="429">
        <v>2021</v>
      </c>
      <c r="N184" s="780">
        <v>4.5199655565737719E-2</v>
      </c>
      <c r="O184" s="335">
        <v>9710483.9674869254</v>
      </c>
      <c r="P184" s="335">
        <v>214835353.18901137</v>
      </c>
      <c r="Q184" s="22"/>
      <c r="R184" s="22"/>
      <c r="S184" s="24"/>
      <c r="T184" s="21"/>
    </row>
    <row r="185" spans="1:20" ht="30" hidden="1">
      <c r="A185" s="31">
        <v>182</v>
      </c>
      <c r="B185" s="22" t="s">
        <v>39</v>
      </c>
      <c r="C185" s="22" t="s">
        <v>290</v>
      </c>
      <c r="D185" s="22" t="s">
        <v>364</v>
      </c>
      <c r="E185" s="23" t="s">
        <v>91</v>
      </c>
      <c r="F185" s="22" t="s">
        <v>99</v>
      </c>
      <c r="G185" s="22" t="s">
        <v>93</v>
      </c>
      <c r="H185" s="22" t="s">
        <v>30</v>
      </c>
      <c r="I185" s="22" t="s">
        <v>365</v>
      </c>
      <c r="J185" s="22" t="s">
        <v>99</v>
      </c>
      <c r="K185" s="755" t="s">
        <v>2112</v>
      </c>
      <c r="L185" s="22" t="s">
        <v>293</v>
      </c>
      <c r="M185" s="429">
        <v>2021</v>
      </c>
      <c r="N185" s="780">
        <v>0.20534648057178306</v>
      </c>
      <c r="O185" s="335">
        <v>2058949.5372862006</v>
      </c>
      <c r="P185" s="335">
        <v>10026709.644855358</v>
      </c>
      <c r="Q185" s="22" t="s">
        <v>48</v>
      </c>
      <c r="R185" s="22" t="s">
        <v>49</v>
      </c>
      <c r="S185" s="24"/>
      <c r="T185" s="21"/>
    </row>
    <row r="186" spans="1:20" ht="60" hidden="1">
      <c r="A186" s="31">
        <v>183</v>
      </c>
      <c r="B186" s="22" t="s">
        <v>39</v>
      </c>
      <c r="C186" s="22" t="s">
        <v>366</v>
      </c>
      <c r="D186" s="22" t="s">
        <v>367</v>
      </c>
      <c r="E186" s="23" t="s">
        <v>368</v>
      </c>
      <c r="F186" s="22" t="s">
        <v>142</v>
      </c>
      <c r="G186" s="22" t="s">
        <v>369</v>
      </c>
      <c r="H186" s="22" t="s">
        <v>164</v>
      </c>
      <c r="I186" s="22" t="s">
        <v>370</v>
      </c>
      <c r="J186" s="22" t="s">
        <v>371</v>
      </c>
      <c r="K186" s="757" t="s">
        <v>2114</v>
      </c>
      <c r="L186" s="22" t="s">
        <v>293</v>
      </c>
      <c r="M186" s="429"/>
      <c r="N186" s="780" t="s">
        <v>59</v>
      </c>
      <c r="O186" s="67">
        <v>0</v>
      </c>
      <c r="P186" s="67">
        <v>0</v>
      </c>
      <c r="Q186" s="22" t="s">
        <v>372</v>
      </c>
      <c r="R186" s="22"/>
      <c r="S186" s="24"/>
      <c r="T186" s="21"/>
    </row>
    <row r="187" spans="1:20" ht="45" hidden="1">
      <c r="A187" s="31">
        <v>184</v>
      </c>
      <c r="B187" s="22" t="s">
        <v>39</v>
      </c>
      <c r="C187" s="22" t="s">
        <v>366</v>
      </c>
      <c r="D187" s="22" t="s">
        <v>367</v>
      </c>
      <c r="E187" s="23" t="s">
        <v>373</v>
      </c>
      <c r="F187" s="22" t="s">
        <v>142</v>
      </c>
      <c r="G187" s="22" t="s">
        <v>369</v>
      </c>
      <c r="H187" s="22" t="s">
        <v>164</v>
      </c>
      <c r="I187" s="22" t="s">
        <v>374</v>
      </c>
      <c r="J187" s="22" t="s">
        <v>375</v>
      </c>
      <c r="K187" s="757" t="s">
        <v>2114</v>
      </c>
      <c r="L187" s="22" t="s">
        <v>293</v>
      </c>
      <c r="M187" s="429">
        <v>2021</v>
      </c>
      <c r="N187" s="780">
        <v>5.4969939229364231E-2</v>
      </c>
      <c r="O187" s="67">
        <v>164293</v>
      </c>
      <c r="P187" s="67">
        <v>2988779</v>
      </c>
      <c r="Q187" s="22" t="s">
        <v>376</v>
      </c>
      <c r="R187" s="22"/>
      <c r="S187" s="24"/>
      <c r="T187" s="21"/>
    </row>
    <row r="188" spans="1:20" ht="30" hidden="1">
      <c r="A188" s="31">
        <v>185</v>
      </c>
      <c r="B188" s="22" t="s">
        <v>39</v>
      </c>
      <c r="C188" s="22" t="s">
        <v>366</v>
      </c>
      <c r="D188" s="22" t="s">
        <v>377</v>
      </c>
      <c r="E188" s="23" t="s">
        <v>378</v>
      </c>
      <c r="F188" s="22" t="s">
        <v>142</v>
      </c>
      <c r="G188" s="22" t="s">
        <v>379</v>
      </c>
      <c r="H188" s="22" t="s">
        <v>164</v>
      </c>
      <c r="I188" s="22" t="s">
        <v>380</v>
      </c>
      <c r="J188" s="22" t="s">
        <v>381</v>
      </c>
      <c r="K188" s="757" t="s">
        <v>2114</v>
      </c>
      <c r="L188" s="22" t="s">
        <v>293</v>
      </c>
      <c r="M188" s="429"/>
      <c r="N188" s="780" t="s">
        <v>59</v>
      </c>
      <c r="O188" s="67">
        <v>0</v>
      </c>
      <c r="P188" s="67">
        <v>0</v>
      </c>
      <c r="Q188" s="22" t="s">
        <v>383</v>
      </c>
      <c r="R188" s="22"/>
      <c r="S188" s="24"/>
      <c r="T188" s="21"/>
    </row>
    <row r="189" spans="1:20" ht="30" hidden="1">
      <c r="A189" s="31">
        <v>186</v>
      </c>
      <c r="B189" s="22" t="s">
        <v>39</v>
      </c>
      <c r="C189" s="22" t="s">
        <v>366</v>
      </c>
      <c r="D189" s="22" t="s">
        <v>377</v>
      </c>
      <c r="E189" s="23" t="s">
        <v>384</v>
      </c>
      <c r="F189" s="22" t="s">
        <v>142</v>
      </c>
      <c r="G189" s="22" t="s">
        <v>379</v>
      </c>
      <c r="H189" s="22" t="s">
        <v>164</v>
      </c>
      <c r="I189" s="22" t="s">
        <v>385</v>
      </c>
      <c r="J189" s="22" t="s">
        <v>386</v>
      </c>
      <c r="K189" s="757" t="s">
        <v>2114</v>
      </c>
      <c r="L189" s="22" t="s">
        <v>293</v>
      </c>
      <c r="M189" s="429"/>
      <c r="N189" s="780" t="s">
        <v>59</v>
      </c>
      <c r="O189" s="67">
        <v>0</v>
      </c>
      <c r="P189" s="67">
        <v>0</v>
      </c>
      <c r="Q189" s="22" t="s">
        <v>383</v>
      </c>
      <c r="R189" s="22"/>
      <c r="S189" s="24"/>
      <c r="T189" s="21"/>
    </row>
    <row r="190" spans="1:20" ht="30" hidden="1">
      <c r="A190" s="31">
        <v>187</v>
      </c>
      <c r="B190" s="22" t="s">
        <v>39</v>
      </c>
      <c r="C190" s="22" t="s">
        <v>366</v>
      </c>
      <c r="D190" s="22" t="s">
        <v>387</v>
      </c>
      <c r="E190" s="23" t="s">
        <v>388</v>
      </c>
      <c r="F190" s="22" t="s">
        <v>142</v>
      </c>
      <c r="G190" s="22" t="s">
        <v>389</v>
      </c>
      <c r="H190" s="22" t="s">
        <v>164</v>
      </c>
      <c r="I190" s="22" t="s">
        <v>390</v>
      </c>
      <c r="J190" s="22" t="s">
        <v>391</v>
      </c>
      <c r="K190" s="757" t="s">
        <v>2114</v>
      </c>
      <c r="L190" s="22" t="s">
        <v>293</v>
      </c>
      <c r="M190" s="429"/>
      <c r="N190" s="780" t="s">
        <v>59</v>
      </c>
      <c r="O190" s="67">
        <v>0</v>
      </c>
      <c r="P190" s="67">
        <v>0</v>
      </c>
      <c r="Q190" s="22" t="s">
        <v>392</v>
      </c>
      <c r="R190" s="22"/>
      <c r="S190" s="24"/>
      <c r="T190" s="21"/>
    </row>
    <row r="191" spans="1:20" ht="45" hidden="1">
      <c r="A191" s="31">
        <v>188</v>
      </c>
      <c r="B191" s="22" t="s">
        <v>39</v>
      </c>
      <c r="C191" s="22" t="s">
        <v>366</v>
      </c>
      <c r="D191" s="22" t="s">
        <v>141</v>
      </c>
      <c r="E191" s="23" t="s">
        <v>51</v>
      </c>
      <c r="F191" s="22" t="s">
        <v>52</v>
      </c>
      <c r="G191" s="22" t="s">
        <v>53</v>
      </c>
      <c r="H191" s="22" t="s">
        <v>30</v>
      </c>
      <c r="I191" s="22" t="s">
        <v>393</v>
      </c>
      <c r="J191" s="22" t="s">
        <v>52</v>
      </c>
      <c r="K191" s="755" t="s">
        <v>2109</v>
      </c>
      <c r="L191" s="22" t="s">
        <v>394</v>
      </c>
      <c r="M191" s="429">
        <v>2021</v>
      </c>
      <c r="N191" s="780">
        <v>0</v>
      </c>
      <c r="O191" s="756">
        <v>0</v>
      </c>
      <c r="P191" s="335">
        <v>0</v>
      </c>
      <c r="Q191" s="22" t="s">
        <v>899</v>
      </c>
      <c r="R191" s="22"/>
      <c r="S191" s="24"/>
      <c r="T191" s="21"/>
    </row>
    <row r="192" spans="1:20" ht="45" hidden="1">
      <c r="A192" s="31">
        <v>189</v>
      </c>
      <c r="B192" s="22" t="s">
        <v>39</v>
      </c>
      <c r="C192" s="22" t="s">
        <v>366</v>
      </c>
      <c r="D192" s="22" t="s">
        <v>141</v>
      </c>
      <c r="E192" s="23" t="s">
        <v>51</v>
      </c>
      <c r="F192" s="22" t="s">
        <v>55</v>
      </c>
      <c r="G192" s="22" t="s">
        <v>53</v>
      </c>
      <c r="H192" s="22" t="s">
        <v>30</v>
      </c>
      <c r="I192" s="22" t="s">
        <v>393</v>
      </c>
      <c r="J192" s="22" t="s">
        <v>55</v>
      </c>
      <c r="K192" s="755" t="s">
        <v>2109</v>
      </c>
      <c r="L192" s="22" t="s">
        <v>394</v>
      </c>
      <c r="M192" s="429">
        <v>2021</v>
      </c>
      <c r="N192" s="780">
        <v>0</v>
      </c>
      <c r="O192" s="756">
        <v>0</v>
      </c>
      <c r="P192" s="335">
        <v>0</v>
      </c>
      <c r="Q192" s="22" t="s">
        <v>899</v>
      </c>
      <c r="R192" s="22"/>
      <c r="S192" s="24"/>
      <c r="T192" s="21"/>
    </row>
    <row r="193" spans="1:20" ht="45" hidden="1">
      <c r="A193" s="31">
        <v>190</v>
      </c>
      <c r="B193" s="22" t="s">
        <v>39</v>
      </c>
      <c r="C193" s="22" t="s">
        <v>366</v>
      </c>
      <c r="D193" s="22" t="s">
        <v>141</v>
      </c>
      <c r="E193" s="23" t="s">
        <v>51</v>
      </c>
      <c r="F193" s="22" t="s">
        <v>56</v>
      </c>
      <c r="G193" s="22" t="s">
        <v>53</v>
      </c>
      <c r="H193" s="22" t="s">
        <v>30</v>
      </c>
      <c r="I193" s="22" t="s">
        <v>393</v>
      </c>
      <c r="J193" s="22" t="s">
        <v>56</v>
      </c>
      <c r="K193" s="755" t="s">
        <v>2109</v>
      </c>
      <c r="L193" s="22" t="s">
        <v>394</v>
      </c>
      <c r="M193" s="429">
        <v>2021</v>
      </c>
      <c r="N193" s="780">
        <v>0</v>
      </c>
      <c r="O193" s="756">
        <v>0</v>
      </c>
      <c r="P193" s="335">
        <v>0</v>
      </c>
      <c r="Q193" s="22" t="s">
        <v>899</v>
      </c>
      <c r="R193" s="22"/>
      <c r="S193" s="24"/>
      <c r="T193" s="21"/>
    </row>
    <row r="194" spans="1:20" ht="45" hidden="1">
      <c r="A194" s="31">
        <v>191</v>
      </c>
      <c r="B194" s="22" t="s">
        <v>39</v>
      </c>
      <c r="C194" s="22" t="s">
        <v>366</v>
      </c>
      <c r="D194" s="22" t="s">
        <v>141</v>
      </c>
      <c r="E194" s="23" t="s">
        <v>51</v>
      </c>
      <c r="F194" s="22" t="s">
        <v>57</v>
      </c>
      <c r="G194" s="22" t="s">
        <v>53</v>
      </c>
      <c r="H194" s="22" t="s">
        <v>30</v>
      </c>
      <c r="I194" s="22" t="s">
        <v>393</v>
      </c>
      <c r="J194" s="22" t="s">
        <v>57</v>
      </c>
      <c r="K194" s="755" t="s">
        <v>2109</v>
      </c>
      <c r="L194" s="22" t="s">
        <v>394</v>
      </c>
      <c r="M194" s="429">
        <v>2021</v>
      </c>
      <c r="N194" s="780">
        <v>0</v>
      </c>
      <c r="O194" s="756">
        <v>0</v>
      </c>
      <c r="P194" s="335">
        <v>0</v>
      </c>
      <c r="Q194" s="22" t="s">
        <v>899</v>
      </c>
      <c r="R194" s="22"/>
      <c r="S194" s="24"/>
      <c r="T194" s="21"/>
    </row>
    <row r="195" spans="1:20" ht="45" hidden="1">
      <c r="A195" s="31">
        <v>192</v>
      </c>
      <c r="B195" s="22" t="s">
        <v>39</v>
      </c>
      <c r="C195" s="22" t="s">
        <v>366</v>
      </c>
      <c r="D195" s="22" t="s">
        <v>141</v>
      </c>
      <c r="E195" s="23" t="s">
        <v>51</v>
      </c>
      <c r="F195" s="22" t="s">
        <v>58</v>
      </c>
      <c r="G195" s="22" t="s">
        <v>53</v>
      </c>
      <c r="H195" s="22" t="s">
        <v>30</v>
      </c>
      <c r="I195" s="22" t="s">
        <v>393</v>
      </c>
      <c r="J195" s="22" t="s">
        <v>58</v>
      </c>
      <c r="K195" s="755" t="s">
        <v>2109</v>
      </c>
      <c r="L195" s="22" t="s">
        <v>394</v>
      </c>
      <c r="M195" s="429">
        <v>2021</v>
      </c>
      <c r="N195" s="780">
        <v>0</v>
      </c>
      <c r="O195" s="66">
        <v>0</v>
      </c>
      <c r="P195" s="67">
        <v>0</v>
      </c>
      <c r="Q195" s="22" t="s">
        <v>899</v>
      </c>
      <c r="R195" s="758" t="s">
        <v>395</v>
      </c>
      <c r="S195" s="24"/>
      <c r="T195" s="21"/>
    </row>
    <row r="196" spans="1:20" ht="45" hidden="1">
      <c r="A196" s="31">
        <v>193</v>
      </c>
      <c r="B196" s="22" t="s">
        <v>39</v>
      </c>
      <c r="C196" s="22" t="s">
        <v>366</v>
      </c>
      <c r="D196" s="22" t="s">
        <v>141</v>
      </c>
      <c r="E196" s="23" t="s">
        <v>51</v>
      </c>
      <c r="F196" s="22" t="s">
        <v>60</v>
      </c>
      <c r="G196" s="22" t="s">
        <v>53</v>
      </c>
      <c r="H196" s="22" t="s">
        <v>30</v>
      </c>
      <c r="I196" s="22" t="s">
        <v>393</v>
      </c>
      <c r="J196" s="22" t="s">
        <v>60</v>
      </c>
      <c r="K196" s="755" t="s">
        <v>2109</v>
      </c>
      <c r="L196" s="22" t="s">
        <v>394</v>
      </c>
      <c r="M196" s="429">
        <v>2021</v>
      </c>
      <c r="N196" s="780">
        <v>0</v>
      </c>
      <c r="O196" s="66">
        <v>0</v>
      </c>
      <c r="P196" s="67">
        <v>0</v>
      </c>
      <c r="Q196" s="22" t="s">
        <v>899</v>
      </c>
      <c r="R196" s="758" t="s">
        <v>395</v>
      </c>
      <c r="S196" s="24"/>
      <c r="T196" s="21"/>
    </row>
    <row r="197" spans="1:20" ht="45" hidden="1">
      <c r="A197" s="31">
        <v>194</v>
      </c>
      <c r="B197" s="22" t="s">
        <v>39</v>
      </c>
      <c r="C197" s="22" t="s">
        <v>366</v>
      </c>
      <c r="D197" s="22" t="s">
        <v>141</v>
      </c>
      <c r="E197" s="23" t="s">
        <v>51</v>
      </c>
      <c r="F197" s="22" t="s">
        <v>61</v>
      </c>
      <c r="G197" s="22" t="s">
        <v>53</v>
      </c>
      <c r="H197" s="22" t="s">
        <v>30</v>
      </c>
      <c r="I197" s="22" t="s">
        <v>393</v>
      </c>
      <c r="J197" s="22" t="s">
        <v>61</v>
      </c>
      <c r="K197" s="755" t="s">
        <v>2109</v>
      </c>
      <c r="L197" s="22" t="s">
        <v>394</v>
      </c>
      <c r="M197" s="429">
        <v>2021</v>
      </c>
      <c r="N197" s="780">
        <v>0</v>
      </c>
      <c r="O197" s="756">
        <v>0</v>
      </c>
      <c r="P197" s="335">
        <v>0</v>
      </c>
      <c r="Q197" s="22" t="s">
        <v>899</v>
      </c>
      <c r="R197" s="22"/>
      <c r="S197" s="24"/>
      <c r="T197" s="21"/>
    </row>
    <row r="198" spans="1:20" ht="45" hidden="1">
      <c r="A198" s="31">
        <v>195</v>
      </c>
      <c r="B198" s="22" t="s">
        <v>39</v>
      </c>
      <c r="C198" s="22" t="s">
        <v>366</v>
      </c>
      <c r="D198" s="22" t="s">
        <v>141</v>
      </c>
      <c r="E198" s="23" t="s">
        <v>51</v>
      </c>
      <c r="F198" s="22" t="s">
        <v>62</v>
      </c>
      <c r="G198" s="22" t="s">
        <v>53</v>
      </c>
      <c r="H198" s="22" t="s">
        <v>30</v>
      </c>
      <c r="I198" s="22" t="s">
        <v>393</v>
      </c>
      <c r="J198" s="22" t="s">
        <v>62</v>
      </c>
      <c r="K198" s="755" t="s">
        <v>2109</v>
      </c>
      <c r="L198" s="22" t="s">
        <v>394</v>
      </c>
      <c r="M198" s="429">
        <v>2021</v>
      </c>
      <c r="N198" s="780">
        <v>0</v>
      </c>
      <c r="O198" s="756">
        <v>0</v>
      </c>
      <c r="P198" s="335">
        <v>0</v>
      </c>
      <c r="Q198" s="22" t="s">
        <v>899</v>
      </c>
      <c r="R198" s="22"/>
      <c r="S198" s="24"/>
      <c r="T198" s="21"/>
    </row>
    <row r="199" spans="1:20" ht="45" hidden="1">
      <c r="A199" s="31">
        <v>196</v>
      </c>
      <c r="B199" s="22" t="s">
        <v>39</v>
      </c>
      <c r="C199" s="22" t="s">
        <v>366</v>
      </c>
      <c r="D199" s="22" t="s">
        <v>141</v>
      </c>
      <c r="E199" s="23" t="s">
        <v>51</v>
      </c>
      <c r="F199" s="22" t="s">
        <v>63</v>
      </c>
      <c r="G199" s="22" t="s">
        <v>53</v>
      </c>
      <c r="H199" s="22" t="s">
        <v>30</v>
      </c>
      <c r="I199" s="22" t="s">
        <v>393</v>
      </c>
      <c r="J199" s="22" t="s">
        <v>63</v>
      </c>
      <c r="K199" s="755" t="s">
        <v>2109</v>
      </c>
      <c r="L199" s="22" t="s">
        <v>394</v>
      </c>
      <c r="M199" s="429">
        <v>2021</v>
      </c>
      <c r="N199" s="780">
        <v>0</v>
      </c>
      <c r="O199" s="756">
        <v>0</v>
      </c>
      <c r="P199" s="335">
        <v>0</v>
      </c>
      <c r="Q199" s="22" t="s">
        <v>899</v>
      </c>
      <c r="R199" s="22"/>
      <c r="S199" s="24"/>
      <c r="T199" s="21"/>
    </row>
    <row r="200" spans="1:20" ht="45" hidden="1">
      <c r="A200" s="31">
        <v>197</v>
      </c>
      <c r="B200" s="22" t="s">
        <v>39</v>
      </c>
      <c r="C200" s="22" t="s">
        <v>366</v>
      </c>
      <c r="D200" s="22" t="s">
        <v>141</v>
      </c>
      <c r="E200" s="23" t="s">
        <v>51</v>
      </c>
      <c r="F200" s="22" t="s">
        <v>64</v>
      </c>
      <c r="G200" s="22" t="s">
        <v>53</v>
      </c>
      <c r="H200" s="22" t="s">
        <v>30</v>
      </c>
      <c r="I200" s="22" t="s">
        <v>393</v>
      </c>
      <c r="J200" s="22" t="s">
        <v>64</v>
      </c>
      <c r="K200" s="755" t="s">
        <v>2109</v>
      </c>
      <c r="L200" s="22" t="s">
        <v>394</v>
      </c>
      <c r="M200" s="429">
        <v>2021</v>
      </c>
      <c r="N200" s="780">
        <v>0</v>
      </c>
      <c r="O200" s="756">
        <v>0</v>
      </c>
      <c r="P200" s="335">
        <v>0</v>
      </c>
      <c r="Q200" s="22" t="s">
        <v>899</v>
      </c>
      <c r="R200" s="22"/>
      <c r="S200" s="24"/>
      <c r="T200" s="21"/>
    </row>
    <row r="201" spans="1:20" ht="45" hidden="1">
      <c r="A201" s="31">
        <v>198</v>
      </c>
      <c r="B201" s="22" t="s">
        <v>39</v>
      </c>
      <c r="C201" s="22" t="s">
        <v>366</v>
      </c>
      <c r="D201" s="22" t="s">
        <v>141</v>
      </c>
      <c r="E201" s="23" t="s">
        <v>51</v>
      </c>
      <c r="F201" s="22" t="s">
        <v>65</v>
      </c>
      <c r="G201" s="22" t="s">
        <v>53</v>
      </c>
      <c r="H201" s="22" t="s">
        <v>30</v>
      </c>
      <c r="I201" s="22" t="s">
        <v>393</v>
      </c>
      <c r="J201" s="22" t="s">
        <v>65</v>
      </c>
      <c r="K201" s="755" t="s">
        <v>2109</v>
      </c>
      <c r="L201" s="22" t="s">
        <v>394</v>
      </c>
      <c r="M201" s="429">
        <v>2021</v>
      </c>
      <c r="N201" s="780">
        <v>0</v>
      </c>
      <c r="O201" s="66">
        <v>0</v>
      </c>
      <c r="P201" s="67">
        <v>0</v>
      </c>
      <c r="Q201" s="22" t="s">
        <v>899</v>
      </c>
      <c r="R201" s="758"/>
      <c r="S201" s="24"/>
      <c r="T201" s="21"/>
    </row>
    <row r="202" spans="1:20" ht="45" hidden="1">
      <c r="A202" s="31">
        <v>199</v>
      </c>
      <c r="B202" s="22" t="s">
        <v>39</v>
      </c>
      <c r="C202" s="22" t="s">
        <v>366</v>
      </c>
      <c r="D202" s="22" t="s">
        <v>141</v>
      </c>
      <c r="E202" s="23" t="s">
        <v>51</v>
      </c>
      <c r="F202" s="22" t="s">
        <v>66</v>
      </c>
      <c r="G202" s="22" t="s">
        <v>53</v>
      </c>
      <c r="H202" s="22" t="s">
        <v>30</v>
      </c>
      <c r="I202" s="22" t="s">
        <v>393</v>
      </c>
      <c r="J202" s="22" t="s">
        <v>66</v>
      </c>
      <c r="K202" s="755" t="s">
        <v>2109</v>
      </c>
      <c r="L202" s="22" t="s">
        <v>394</v>
      </c>
      <c r="M202" s="429">
        <v>2021</v>
      </c>
      <c r="N202" s="780">
        <v>0</v>
      </c>
      <c r="O202" s="66">
        <v>0</v>
      </c>
      <c r="P202" s="67">
        <v>0</v>
      </c>
      <c r="Q202" s="22" t="s">
        <v>899</v>
      </c>
      <c r="R202" s="758"/>
      <c r="S202" s="24"/>
      <c r="T202" s="21"/>
    </row>
    <row r="203" spans="1:20" ht="60" hidden="1">
      <c r="A203" s="31">
        <v>200</v>
      </c>
      <c r="B203" s="22" t="s">
        <v>39</v>
      </c>
      <c r="C203" s="22" t="s">
        <v>366</v>
      </c>
      <c r="D203" s="22" t="s">
        <v>252</v>
      </c>
      <c r="E203" s="23" t="s">
        <v>42</v>
      </c>
      <c r="F203" s="22" t="s">
        <v>43</v>
      </c>
      <c r="G203" s="22" t="s">
        <v>44</v>
      </c>
      <c r="H203" s="22" t="s">
        <v>30</v>
      </c>
      <c r="I203" s="22" t="s">
        <v>396</v>
      </c>
      <c r="J203" s="22" t="s">
        <v>314</v>
      </c>
      <c r="K203" s="755" t="s">
        <v>2107</v>
      </c>
      <c r="L203" s="22" t="s">
        <v>394</v>
      </c>
      <c r="M203" s="429">
        <v>2021</v>
      </c>
      <c r="N203" s="780">
        <v>0</v>
      </c>
      <c r="O203" s="66">
        <v>0</v>
      </c>
      <c r="P203" s="67">
        <v>0</v>
      </c>
      <c r="Q203" s="22" t="s">
        <v>48</v>
      </c>
      <c r="R203" s="22"/>
      <c r="S203" s="24"/>
      <c r="T203" s="21"/>
    </row>
    <row r="204" spans="1:20" ht="45" hidden="1">
      <c r="A204" s="31">
        <v>201</v>
      </c>
      <c r="B204" s="22" t="s">
        <v>39</v>
      </c>
      <c r="C204" s="22" t="s">
        <v>366</v>
      </c>
      <c r="D204" s="22" t="s">
        <v>397</v>
      </c>
      <c r="E204" s="23" t="s">
        <v>398</v>
      </c>
      <c r="F204" s="22" t="s">
        <v>399</v>
      </c>
      <c r="G204" s="22" t="s">
        <v>219</v>
      </c>
      <c r="H204" s="22" t="s">
        <v>164</v>
      </c>
      <c r="I204" s="22" t="s">
        <v>400</v>
      </c>
      <c r="J204" s="22" t="s">
        <v>401</v>
      </c>
      <c r="K204" s="757" t="s">
        <v>2113</v>
      </c>
      <c r="L204" s="22" t="s">
        <v>394</v>
      </c>
      <c r="M204" s="429"/>
      <c r="N204" s="780" t="s">
        <v>59</v>
      </c>
      <c r="O204" s="67">
        <v>0</v>
      </c>
      <c r="P204" s="67">
        <v>0</v>
      </c>
      <c r="Q204" s="22"/>
      <c r="R204" s="22"/>
      <c r="S204" s="24"/>
      <c r="T204" s="21"/>
    </row>
    <row r="205" spans="1:20" ht="45" hidden="1">
      <c r="A205" s="31">
        <v>202</v>
      </c>
      <c r="B205" s="22" t="s">
        <v>39</v>
      </c>
      <c r="C205" s="22" t="s">
        <v>366</v>
      </c>
      <c r="D205" s="22" t="s">
        <v>397</v>
      </c>
      <c r="E205" s="23" t="s">
        <v>398</v>
      </c>
      <c r="F205" s="22" t="s">
        <v>402</v>
      </c>
      <c r="G205" s="22" t="s">
        <v>219</v>
      </c>
      <c r="H205" s="22" t="s">
        <v>164</v>
      </c>
      <c r="I205" s="22" t="s">
        <v>400</v>
      </c>
      <c r="J205" s="22" t="s">
        <v>403</v>
      </c>
      <c r="K205" s="757" t="s">
        <v>2113</v>
      </c>
      <c r="L205" s="22" t="s">
        <v>394</v>
      </c>
      <c r="M205" s="429"/>
      <c r="N205" s="780" t="s">
        <v>59</v>
      </c>
      <c r="O205" s="67">
        <v>0</v>
      </c>
      <c r="P205" s="67">
        <v>0</v>
      </c>
      <c r="Q205" s="22"/>
      <c r="R205" s="22"/>
      <c r="S205" s="24"/>
      <c r="T205" s="21"/>
    </row>
    <row r="206" spans="1:20" ht="135" hidden="1">
      <c r="A206" s="31">
        <v>203</v>
      </c>
      <c r="B206" s="22" t="s">
        <v>39</v>
      </c>
      <c r="C206" s="22" t="s">
        <v>366</v>
      </c>
      <c r="D206" s="22" t="s">
        <v>397</v>
      </c>
      <c r="E206" s="23" t="s">
        <v>398</v>
      </c>
      <c r="F206" s="22" t="s">
        <v>404</v>
      </c>
      <c r="G206" s="22" t="s">
        <v>219</v>
      </c>
      <c r="H206" s="22" t="s">
        <v>164</v>
      </c>
      <c r="I206" s="22" t="s">
        <v>400</v>
      </c>
      <c r="J206" s="22" t="s">
        <v>405</v>
      </c>
      <c r="K206" s="757" t="s">
        <v>2113</v>
      </c>
      <c r="L206" s="22" t="s">
        <v>394</v>
      </c>
      <c r="M206" s="429"/>
      <c r="N206" s="780" t="s">
        <v>59</v>
      </c>
      <c r="O206" s="67">
        <v>0</v>
      </c>
      <c r="P206" s="67">
        <v>0</v>
      </c>
      <c r="Q206" s="22" t="s">
        <v>406</v>
      </c>
      <c r="R206" s="22" t="s">
        <v>407</v>
      </c>
      <c r="S206" s="24"/>
      <c r="T206" s="21"/>
    </row>
    <row r="207" spans="1:20" ht="45" hidden="1">
      <c r="A207" s="31">
        <v>204</v>
      </c>
      <c r="B207" s="22" t="s">
        <v>39</v>
      </c>
      <c r="C207" s="22" t="s">
        <v>366</v>
      </c>
      <c r="D207" s="22" t="s">
        <v>397</v>
      </c>
      <c r="E207" s="23" t="s">
        <v>234</v>
      </c>
      <c r="F207" s="22" t="s">
        <v>408</v>
      </c>
      <c r="G207" s="22" t="s">
        <v>235</v>
      </c>
      <c r="H207" s="22" t="s">
        <v>164</v>
      </c>
      <c r="I207" s="22" t="s">
        <v>409</v>
      </c>
      <c r="J207" s="22" t="s">
        <v>410</v>
      </c>
      <c r="K207" s="757" t="s">
        <v>2113</v>
      </c>
      <c r="L207" s="22" t="s">
        <v>394</v>
      </c>
      <c r="M207" s="429">
        <v>2021</v>
      </c>
      <c r="N207" s="780">
        <v>0</v>
      </c>
      <c r="O207" s="67">
        <v>0</v>
      </c>
      <c r="P207" s="67">
        <v>5353.7176096287776</v>
      </c>
      <c r="Q207" s="22"/>
      <c r="R207" s="22"/>
      <c r="S207" s="24"/>
      <c r="T207" s="21"/>
    </row>
    <row r="208" spans="1:20" ht="45" hidden="1">
      <c r="A208" s="31">
        <v>205</v>
      </c>
      <c r="B208" s="22" t="s">
        <v>39</v>
      </c>
      <c r="C208" s="22" t="s">
        <v>366</v>
      </c>
      <c r="D208" s="22" t="s">
        <v>397</v>
      </c>
      <c r="E208" s="23" t="s">
        <v>234</v>
      </c>
      <c r="F208" s="22" t="s">
        <v>411</v>
      </c>
      <c r="G208" s="22" t="s">
        <v>235</v>
      </c>
      <c r="H208" s="22" t="s">
        <v>164</v>
      </c>
      <c r="I208" s="22" t="s">
        <v>409</v>
      </c>
      <c r="J208" s="22" t="s">
        <v>410</v>
      </c>
      <c r="K208" s="757" t="s">
        <v>2113</v>
      </c>
      <c r="L208" s="22" t="s">
        <v>394</v>
      </c>
      <c r="M208" s="429">
        <v>2021</v>
      </c>
      <c r="N208" s="780">
        <v>0</v>
      </c>
      <c r="O208" s="67">
        <v>0</v>
      </c>
      <c r="P208" s="67">
        <v>5353.7176096287776</v>
      </c>
      <c r="Q208" s="22"/>
      <c r="R208" s="22"/>
      <c r="S208" s="24"/>
      <c r="T208" s="21"/>
    </row>
    <row r="209" spans="1:20" ht="60" hidden="1">
      <c r="A209" s="31">
        <v>206</v>
      </c>
      <c r="B209" s="22" t="s">
        <v>39</v>
      </c>
      <c r="C209" s="22" t="s">
        <v>366</v>
      </c>
      <c r="D209" s="22" t="s">
        <v>397</v>
      </c>
      <c r="E209" s="23" t="s">
        <v>234</v>
      </c>
      <c r="F209" s="22" t="s">
        <v>412</v>
      </c>
      <c r="G209" s="22" t="s">
        <v>235</v>
      </c>
      <c r="H209" s="22" t="s">
        <v>164</v>
      </c>
      <c r="I209" s="22" t="s">
        <v>409</v>
      </c>
      <c r="J209" s="22" t="s">
        <v>413</v>
      </c>
      <c r="K209" s="757" t="s">
        <v>2113</v>
      </c>
      <c r="L209" s="22" t="s">
        <v>394</v>
      </c>
      <c r="M209" s="429">
        <v>2021</v>
      </c>
      <c r="N209" s="780">
        <v>0</v>
      </c>
      <c r="O209" s="67">
        <v>0</v>
      </c>
      <c r="P209" s="67">
        <v>5353.7176096287776</v>
      </c>
      <c r="Q209" s="22" t="s">
        <v>414</v>
      </c>
      <c r="R209" s="22"/>
      <c r="S209" s="24"/>
      <c r="T209" s="21"/>
    </row>
    <row r="210" spans="1:20" ht="45" hidden="1">
      <c r="A210" s="31">
        <v>207</v>
      </c>
      <c r="B210" s="22" t="s">
        <v>39</v>
      </c>
      <c r="C210" s="22" t="s">
        <v>366</v>
      </c>
      <c r="D210" s="22" t="s">
        <v>397</v>
      </c>
      <c r="E210" s="23" t="s">
        <v>415</v>
      </c>
      <c r="F210" s="22" t="s">
        <v>408</v>
      </c>
      <c r="G210" s="22" t="s">
        <v>416</v>
      </c>
      <c r="H210" s="22" t="s">
        <v>164</v>
      </c>
      <c r="I210" s="22" t="s">
        <v>417</v>
      </c>
      <c r="J210" s="22" t="s">
        <v>418</v>
      </c>
      <c r="K210" s="757" t="s">
        <v>2114</v>
      </c>
      <c r="L210" s="22" t="s">
        <v>394</v>
      </c>
      <c r="M210" s="429"/>
      <c r="N210" s="780" t="s">
        <v>59</v>
      </c>
      <c r="O210" s="67">
        <v>0</v>
      </c>
      <c r="P210" s="67">
        <v>0</v>
      </c>
      <c r="Q210" s="22"/>
      <c r="R210" s="22"/>
      <c r="S210" s="24"/>
      <c r="T210" s="21"/>
    </row>
    <row r="211" spans="1:20" ht="45" hidden="1">
      <c r="A211" s="31">
        <v>208</v>
      </c>
      <c r="B211" s="22" t="s">
        <v>39</v>
      </c>
      <c r="C211" s="22" t="s">
        <v>366</v>
      </c>
      <c r="D211" s="22" t="s">
        <v>397</v>
      </c>
      <c r="E211" s="23" t="s">
        <v>415</v>
      </c>
      <c r="F211" s="22" t="s">
        <v>411</v>
      </c>
      <c r="G211" s="22" t="s">
        <v>416</v>
      </c>
      <c r="H211" s="22" t="s">
        <v>164</v>
      </c>
      <c r="I211" s="22" t="s">
        <v>417</v>
      </c>
      <c r="J211" s="22" t="s">
        <v>419</v>
      </c>
      <c r="K211" s="757" t="s">
        <v>2114</v>
      </c>
      <c r="L211" s="22" t="s">
        <v>394</v>
      </c>
      <c r="M211" s="429"/>
      <c r="N211" s="780" t="s">
        <v>59</v>
      </c>
      <c r="O211" s="67">
        <v>0</v>
      </c>
      <c r="P211" s="67">
        <v>0</v>
      </c>
      <c r="Q211" s="22"/>
      <c r="R211" s="22"/>
      <c r="S211" s="24"/>
      <c r="T211" s="21"/>
    </row>
    <row r="212" spans="1:20" ht="60" hidden="1">
      <c r="A212" s="31">
        <v>209</v>
      </c>
      <c r="B212" s="22" t="s">
        <v>39</v>
      </c>
      <c r="C212" s="22" t="s">
        <v>366</v>
      </c>
      <c r="D212" s="22" t="s">
        <v>397</v>
      </c>
      <c r="E212" s="23" t="s">
        <v>415</v>
      </c>
      <c r="F212" s="22" t="s">
        <v>412</v>
      </c>
      <c r="G212" s="22" t="s">
        <v>416</v>
      </c>
      <c r="H212" s="22" t="s">
        <v>164</v>
      </c>
      <c r="I212" s="22" t="s">
        <v>417</v>
      </c>
      <c r="J212" s="22" t="s">
        <v>420</v>
      </c>
      <c r="K212" s="757" t="s">
        <v>2114</v>
      </c>
      <c r="L212" s="22" t="s">
        <v>394</v>
      </c>
      <c r="M212" s="429"/>
      <c r="N212" s="780" t="s">
        <v>59</v>
      </c>
      <c r="O212" s="67">
        <v>0</v>
      </c>
      <c r="P212" s="67">
        <v>0</v>
      </c>
      <c r="Q212" s="22" t="s">
        <v>421</v>
      </c>
      <c r="R212" s="22"/>
      <c r="S212" s="24"/>
      <c r="T212" s="21"/>
    </row>
    <row r="213" spans="1:20" ht="150" hidden="1">
      <c r="A213" s="31">
        <v>210</v>
      </c>
      <c r="B213" s="22" t="s">
        <v>39</v>
      </c>
      <c r="C213" s="22" t="s">
        <v>422</v>
      </c>
      <c r="D213" s="22" t="s">
        <v>153</v>
      </c>
      <c r="E213" s="23" t="s">
        <v>141</v>
      </c>
      <c r="F213" s="22" t="s">
        <v>142</v>
      </c>
      <c r="G213" s="22" t="s">
        <v>143</v>
      </c>
      <c r="H213" s="22" t="s">
        <v>30</v>
      </c>
      <c r="I213" s="22" t="s">
        <v>423</v>
      </c>
      <c r="J213" s="22" t="s">
        <v>424</v>
      </c>
      <c r="K213" s="757" t="s">
        <v>2113</v>
      </c>
      <c r="L213" s="22" t="s">
        <v>394</v>
      </c>
      <c r="M213" s="429">
        <v>2021</v>
      </c>
      <c r="N213" s="780">
        <v>0</v>
      </c>
      <c r="O213" s="67">
        <v>0</v>
      </c>
      <c r="P213" s="67">
        <v>16719</v>
      </c>
      <c r="Q213" s="22" t="s">
        <v>425</v>
      </c>
      <c r="R213" s="22" t="s">
        <v>246</v>
      </c>
      <c r="S213" s="24"/>
      <c r="T213" s="21"/>
    </row>
    <row r="214" spans="1:20" ht="75" hidden="1">
      <c r="A214" s="31">
        <v>211</v>
      </c>
      <c r="B214" s="22" t="s">
        <v>39</v>
      </c>
      <c r="C214" s="22" t="s">
        <v>422</v>
      </c>
      <c r="D214" s="22" t="s">
        <v>426</v>
      </c>
      <c r="E214" s="23" t="s">
        <v>252</v>
      </c>
      <c r="F214" s="22" t="s">
        <v>142</v>
      </c>
      <c r="G214" s="22" t="s">
        <v>760</v>
      </c>
      <c r="H214" s="22" t="s">
        <v>164</v>
      </c>
      <c r="I214" s="22" t="s">
        <v>427</v>
      </c>
      <c r="J214" s="22" t="s">
        <v>428</v>
      </c>
      <c r="K214" s="757" t="s">
        <v>2113</v>
      </c>
      <c r="L214" s="22" t="s">
        <v>394</v>
      </c>
      <c r="M214" s="429"/>
      <c r="N214" s="780">
        <v>0</v>
      </c>
      <c r="O214" s="67">
        <v>0</v>
      </c>
      <c r="P214" s="67">
        <v>383968554</v>
      </c>
      <c r="Q214" s="22" t="s">
        <v>429</v>
      </c>
      <c r="R214" s="22"/>
      <c r="S214" s="24"/>
      <c r="T214" s="21"/>
    </row>
    <row r="215" spans="1:20" ht="120" hidden="1">
      <c r="A215" s="31">
        <v>212</v>
      </c>
      <c r="B215" s="22" t="s">
        <v>39</v>
      </c>
      <c r="C215" s="22" t="s">
        <v>422</v>
      </c>
      <c r="D215" s="22" t="s">
        <v>426</v>
      </c>
      <c r="E215" s="23" t="s">
        <v>430</v>
      </c>
      <c r="F215" s="22" t="s">
        <v>142</v>
      </c>
      <c r="G215" s="22" t="s">
        <v>416</v>
      </c>
      <c r="H215" s="22" t="s">
        <v>164</v>
      </c>
      <c r="I215" s="22" t="s">
        <v>431</v>
      </c>
      <c r="J215" s="22" t="s">
        <v>432</v>
      </c>
      <c r="K215" s="757" t="s">
        <v>2114</v>
      </c>
      <c r="L215" s="22" t="s">
        <v>394</v>
      </c>
      <c r="M215" s="429"/>
      <c r="N215" s="780" t="s">
        <v>59</v>
      </c>
      <c r="O215" s="67">
        <v>0</v>
      </c>
      <c r="P215" s="67">
        <v>0</v>
      </c>
      <c r="Q215" s="22" t="s">
        <v>433</v>
      </c>
      <c r="R215" s="22"/>
      <c r="S215" s="24"/>
      <c r="T215" s="21"/>
    </row>
    <row r="216" spans="1:20" ht="30" hidden="1">
      <c r="A216" s="31">
        <v>213</v>
      </c>
      <c r="B216" s="22" t="s">
        <v>39</v>
      </c>
      <c r="C216" s="22" t="s">
        <v>422</v>
      </c>
      <c r="D216" s="22" t="s">
        <v>434</v>
      </c>
      <c r="E216" s="23" t="s">
        <v>91</v>
      </c>
      <c r="F216" s="22" t="s">
        <v>92</v>
      </c>
      <c r="G216" s="22" t="s">
        <v>93</v>
      </c>
      <c r="H216" s="22" t="s">
        <v>30</v>
      </c>
      <c r="I216" s="22" t="s">
        <v>435</v>
      </c>
      <c r="J216" s="22" t="s">
        <v>92</v>
      </c>
      <c r="K216" s="755" t="s">
        <v>2112</v>
      </c>
      <c r="L216" s="22" t="s">
        <v>394</v>
      </c>
      <c r="M216" s="429"/>
      <c r="N216" s="780">
        <v>0</v>
      </c>
      <c r="O216" s="335" t="s">
        <v>59</v>
      </c>
      <c r="P216" s="335">
        <v>0</v>
      </c>
      <c r="Q216" s="22"/>
      <c r="R216" s="22"/>
      <c r="S216" s="24"/>
      <c r="T216" s="21"/>
    </row>
    <row r="217" spans="1:20" ht="30" hidden="1">
      <c r="A217" s="31">
        <v>214</v>
      </c>
      <c r="B217" s="22" t="s">
        <v>39</v>
      </c>
      <c r="C217" s="22" t="s">
        <v>422</v>
      </c>
      <c r="D217" s="22" t="s">
        <v>434</v>
      </c>
      <c r="E217" s="23" t="s">
        <v>91</v>
      </c>
      <c r="F217" s="22" t="s">
        <v>95</v>
      </c>
      <c r="G217" s="22" t="s">
        <v>93</v>
      </c>
      <c r="H217" s="22" t="s">
        <v>30</v>
      </c>
      <c r="I217" s="22" t="s">
        <v>435</v>
      </c>
      <c r="J217" s="22" t="s">
        <v>95</v>
      </c>
      <c r="K217" s="755" t="s">
        <v>2112</v>
      </c>
      <c r="L217" s="22" t="s">
        <v>394</v>
      </c>
      <c r="M217" s="429"/>
      <c r="N217" s="780">
        <v>0</v>
      </c>
      <c r="O217" s="335" t="s">
        <v>59</v>
      </c>
      <c r="P217" s="335">
        <v>0</v>
      </c>
      <c r="Q217" s="22"/>
      <c r="R217" s="22"/>
      <c r="S217" s="24"/>
      <c r="T217" s="21"/>
    </row>
    <row r="218" spans="1:20" ht="30" hidden="1">
      <c r="A218" s="31">
        <v>215</v>
      </c>
      <c r="B218" s="22" t="s">
        <v>39</v>
      </c>
      <c r="C218" s="22" t="s">
        <v>422</v>
      </c>
      <c r="D218" s="22" t="s">
        <v>434</v>
      </c>
      <c r="E218" s="23" t="s">
        <v>91</v>
      </c>
      <c r="F218" s="22" t="s">
        <v>96</v>
      </c>
      <c r="G218" s="22" t="s">
        <v>93</v>
      </c>
      <c r="H218" s="22" t="s">
        <v>30</v>
      </c>
      <c r="I218" s="22" t="s">
        <v>435</v>
      </c>
      <c r="J218" s="22" t="s">
        <v>96</v>
      </c>
      <c r="K218" s="755" t="s">
        <v>2112</v>
      </c>
      <c r="L218" s="22" t="s">
        <v>394</v>
      </c>
      <c r="M218" s="429"/>
      <c r="N218" s="780">
        <v>0</v>
      </c>
      <c r="O218" s="335" t="s">
        <v>59</v>
      </c>
      <c r="P218" s="335">
        <v>0</v>
      </c>
      <c r="Q218" s="22" t="s">
        <v>48</v>
      </c>
      <c r="R218" s="22" t="s">
        <v>49</v>
      </c>
      <c r="S218" s="24"/>
      <c r="T218" s="21"/>
    </row>
    <row r="219" spans="1:20" ht="30" hidden="1">
      <c r="A219" s="31">
        <v>216</v>
      </c>
      <c r="B219" s="22" t="s">
        <v>39</v>
      </c>
      <c r="C219" s="22" t="s">
        <v>422</v>
      </c>
      <c r="D219" s="22" t="s">
        <v>434</v>
      </c>
      <c r="E219" s="23" t="s">
        <v>91</v>
      </c>
      <c r="F219" s="22" t="s">
        <v>97</v>
      </c>
      <c r="G219" s="22" t="s">
        <v>93</v>
      </c>
      <c r="H219" s="22" t="s">
        <v>30</v>
      </c>
      <c r="I219" s="22" t="s">
        <v>435</v>
      </c>
      <c r="J219" s="22" t="s">
        <v>97</v>
      </c>
      <c r="K219" s="755" t="s">
        <v>2112</v>
      </c>
      <c r="L219" s="22" t="s">
        <v>394</v>
      </c>
      <c r="M219" s="429"/>
      <c r="N219" s="780">
        <v>0</v>
      </c>
      <c r="O219" s="335" t="s">
        <v>59</v>
      </c>
      <c r="P219" s="335">
        <v>0</v>
      </c>
      <c r="Q219" s="22"/>
      <c r="R219" s="22"/>
      <c r="S219" s="24"/>
      <c r="T219" s="21"/>
    </row>
    <row r="220" spans="1:20" ht="30" hidden="1">
      <c r="A220" s="31">
        <v>217</v>
      </c>
      <c r="B220" s="22" t="s">
        <v>39</v>
      </c>
      <c r="C220" s="22" t="s">
        <v>422</v>
      </c>
      <c r="D220" s="22" t="s">
        <v>434</v>
      </c>
      <c r="E220" s="23" t="s">
        <v>91</v>
      </c>
      <c r="F220" s="22" t="s">
        <v>98</v>
      </c>
      <c r="G220" s="22" t="s">
        <v>93</v>
      </c>
      <c r="H220" s="22" t="s">
        <v>30</v>
      </c>
      <c r="I220" s="22" t="s">
        <v>435</v>
      </c>
      <c r="J220" s="22" t="s">
        <v>98</v>
      </c>
      <c r="K220" s="755" t="s">
        <v>2112</v>
      </c>
      <c r="L220" s="22" t="s">
        <v>394</v>
      </c>
      <c r="M220" s="429"/>
      <c r="N220" s="780">
        <v>0</v>
      </c>
      <c r="O220" s="335" t="s">
        <v>59</v>
      </c>
      <c r="P220" s="335">
        <v>0</v>
      </c>
      <c r="Q220" s="22"/>
      <c r="R220" s="22"/>
      <c r="S220" s="24"/>
      <c r="T220" s="21"/>
    </row>
    <row r="221" spans="1:20" ht="30" hidden="1">
      <c r="A221" s="31">
        <v>218</v>
      </c>
      <c r="B221" s="22" t="s">
        <v>39</v>
      </c>
      <c r="C221" s="22" t="s">
        <v>422</v>
      </c>
      <c r="D221" s="22" t="s">
        <v>434</v>
      </c>
      <c r="E221" s="23" t="s">
        <v>91</v>
      </c>
      <c r="F221" s="22" t="s">
        <v>99</v>
      </c>
      <c r="G221" s="22" t="s">
        <v>93</v>
      </c>
      <c r="H221" s="22" t="s">
        <v>30</v>
      </c>
      <c r="I221" s="22" t="s">
        <v>435</v>
      </c>
      <c r="J221" s="22" t="s">
        <v>99</v>
      </c>
      <c r="K221" s="755" t="s">
        <v>2112</v>
      </c>
      <c r="L221" s="22" t="s">
        <v>394</v>
      </c>
      <c r="M221" s="429"/>
      <c r="N221" s="780">
        <v>0</v>
      </c>
      <c r="O221" s="335" t="s">
        <v>59</v>
      </c>
      <c r="P221" s="335">
        <v>0</v>
      </c>
      <c r="Q221" s="22" t="s">
        <v>48</v>
      </c>
      <c r="R221" s="22" t="s">
        <v>49</v>
      </c>
      <c r="S221" s="24"/>
      <c r="T221" s="21"/>
    </row>
    <row r="222" spans="1:20" ht="45" hidden="1">
      <c r="A222" s="31">
        <v>219</v>
      </c>
      <c r="B222" s="22" t="s">
        <v>39</v>
      </c>
      <c r="C222" s="22" t="s">
        <v>422</v>
      </c>
      <c r="D222" s="22" t="s">
        <v>436</v>
      </c>
      <c r="E222" s="23" t="s">
        <v>437</v>
      </c>
      <c r="F222" s="22" t="s">
        <v>438</v>
      </c>
      <c r="G222" s="22" t="s">
        <v>439</v>
      </c>
      <c r="H222" s="22" t="s">
        <v>164</v>
      </c>
      <c r="I222" s="22" t="s">
        <v>440</v>
      </c>
      <c r="J222" s="22" t="s">
        <v>441</v>
      </c>
      <c r="K222" s="757" t="s">
        <v>2114</v>
      </c>
      <c r="L222" s="22" t="s">
        <v>394</v>
      </c>
      <c r="M222" s="429"/>
      <c r="N222" s="780" t="s">
        <v>59</v>
      </c>
      <c r="O222" s="67">
        <v>0</v>
      </c>
      <c r="P222" s="67">
        <v>0</v>
      </c>
      <c r="Q222" s="22" t="s">
        <v>442</v>
      </c>
      <c r="R222" s="22" t="s">
        <v>443</v>
      </c>
      <c r="S222" s="24"/>
      <c r="T222" s="21"/>
    </row>
    <row r="223" spans="1:20" ht="60" hidden="1">
      <c r="A223" s="31">
        <v>220</v>
      </c>
      <c r="B223" s="22" t="s">
        <v>39</v>
      </c>
      <c r="C223" s="22" t="s">
        <v>422</v>
      </c>
      <c r="D223" s="22" t="s">
        <v>444</v>
      </c>
      <c r="E223" s="23" t="s">
        <v>445</v>
      </c>
      <c r="F223" s="22" t="s">
        <v>142</v>
      </c>
      <c r="G223" s="22" t="s">
        <v>446</v>
      </c>
      <c r="H223" s="22" t="s">
        <v>30</v>
      </c>
      <c r="I223" s="22" t="s">
        <v>447</v>
      </c>
      <c r="J223" s="22" t="s">
        <v>448</v>
      </c>
      <c r="K223" s="757" t="s">
        <v>2114</v>
      </c>
      <c r="L223" s="22" t="s">
        <v>394</v>
      </c>
      <c r="M223" s="429">
        <v>2021</v>
      </c>
      <c r="N223" s="780">
        <v>1.0646569770919313E-2</v>
      </c>
      <c r="O223" s="67">
        <v>178</v>
      </c>
      <c r="P223" s="67">
        <v>16719</v>
      </c>
      <c r="Q223" s="13"/>
      <c r="R223" s="22" t="s">
        <v>449</v>
      </c>
      <c r="S223" s="24"/>
      <c r="T223" s="21"/>
    </row>
    <row r="224" spans="1:20" ht="45" hidden="1">
      <c r="A224" s="31">
        <v>221</v>
      </c>
      <c r="B224" s="22" t="s">
        <v>39</v>
      </c>
      <c r="C224" s="22" t="s">
        <v>422</v>
      </c>
      <c r="D224" s="22" t="s">
        <v>444</v>
      </c>
      <c r="E224" s="23" t="s">
        <v>450</v>
      </c>
      <c r="F224" s="22" t="s">
        <v>451</v>
      </c>
      <c r="G224" s="22" t="s">
        <v>452</v>
      </c>
      <c r="H224" s="22" t="s">
        <v>30</v>
      </c>
      <c r="I224" s="22" t="s">
        <v>453</v>
      </c>
      <c r="J224" s="22" t="s">
        <v>454</v>
      </c>
      <c r="K224" s="757" t="s">
        <v>2114</v>
      </c>
      <c r="L224" s="22" t="s">
        <v>394</v>
      </c>
      <c r="M224" s="429">
        <v>2021</v>
      </c>
      <c r="N224" s="780">
        <v>38.706905157743826</v>
      </c>
      <c r="O224" s="67">
        <v>14862234403.234037</v>
      </c>
      <c r="P224" s="67">
        <v>383968554</v>
      </c>
      <c r="Q224" s="22" t="s">
        <v>455</v>
      </c>
      <c r="R224" s="22"/>
      <c r="S224" s="24"/>
      <c r="T224" s="21"/>
    </row>
    <row r="225" spans="1:20" ht="75" hidden="1">
      <c r="A225" s="31">
        <v>222</v>
      </c>
      <c r="B225" s="22" t="s">
        <v>39</v>
      </c>
      <c r="C225" s="22" t="s">
        <v>422</v>
      </c>
      <c r="D225" s="22" t="s">
        <v>456</v>
      </c>
      <c r="E225" s="23" t="s">
        <v>457</v>
      </c>
      <c r="F225" s="22" t="s">
        <v>142</v>
      </c>
      <c r="G225" s="22" t="s">
        <v>458</v>
      </c>
      <c r="H225" s="22" t="s">
        <v>164</v>
      </c>
      <c r="I225" s="22" t="s">
        <v>459</v>
      </c>
      <c r="J225" s="22" t="s">
        <v>460</v>
      </c>
      <c r="K225" s="757" t="s">
        <v>2114</v>
      </c>
      <c r="L225" s="22" t="s">
        <v>394</v>
      </c>
      <c r="M225" s="429">
        <v>2021</v>
      </c>
      <c r="N225" s="780">
        <v>1.0646569770919313E-2</v>
      </c>
      <c r="O225" s="67">
        <v>4087948</v>
      </c>
      <c r="P225" s="67">
        <v>383968554</v>
      </c>
      <c r="Q225" s="22" t="s">
        <v>461</v>
      </c>
      <c r="R225" s="22"/>
      <c r="S225" s="24"/>
      <c r="T225" s="21"/>
    </row>
    <row r="226" spans="1:20" ht="45" hidden="1">
      <c r="A226" s="31">
        <v>223</v>
      </c>
      <c r="B226" s="22" t="s">
        <v>39</v>
      </c>
      <c r="C226" s="22" t="s">
        <v>462</v>
      </c>
      <c r="D226" s="22" t="s">
        <v>463</v>
      </c>
      <c r="E226" s="23" t="s">
        <v>51</v>
      </c>
      <c r="F226" s="22" t="s">
        <v>52</v>
      </c>
      <c r="G226" s="22" t="s">
        <v>53</v>
      </c>
      <c r="H226" s="22" t="s">
        <v>30</v>
      </c>
      <c r="I226" s="22" t="s">
        <v>464</v>
      </c>
      <c r="J226" s="22" t="s">
        <v>52</v>
      </c>
      <c r="K226" s="755" t="s">
        <v>2109</v>
      </c>
      <c r="L226" s="22" t="s">
        <v>465</v>
      </c>
      <c r="M226" s="429">
        <v>2021</v>
      </c>
      <c r="N226" s="780">
        <v>526.97448667001686</v>
      </c>
      <c r="O226" s="756">
        <v>0</v>
      </c>
      <c r="P226" s="335">
        <v>0</v>
      </c>
      <c r="Q226" s="22" t="s">
        <v>48</v>
      </c>
      <c r="R226" s="22"/>
      <c r="S226" s="24"/>
      <c r="T226" s="21"/>
    </row>
    <row r="227" spans="1:20" ht="45" hidden="1">
      <c r="A227" s="31">
        <v>224</v>
      </c>
      <c r="B227" s="22" t="s">
        <v>39</v>
      </c>
      <c r="C227" s="22" t="s">
        <v>462</v>
      </c>
      <c r="D227" s="22" t="s">
        <v>463</v>
      </c>
      <c r="E227" s="23" t="s">
        <v>51</v>
      </c>
      <c r="F227" s="22" t="s">
        <v>55</v>
      </c>
      <c r="G227" s="22" t="s">
        <v>53</v>
      </c>
      <c r="H227" s="22" t="s">
        <v>30</v>
      </c>
      <c r="I227" s="22" t="s">
        <v>464</v>
      </c>
      <c r="J227" s="22" t="s">
        <v>55</v>
      </c>
      <c r="K227" s="755" t="s">
        <v>2109</v>
      </c>
      <c r="L227" s="22" t="s">
        <v>465</v>
      </c>
      <c r="M227" s="429">
        <v>2021</v>
      </c>
      <c r="N227" s="780">
        <v>458.09941897824945</v>
      </c>
      <c r="O227" s="756">
        <v>0</v>
      </c>
      <c r="P227" s="335">
        <v>0</v>
      </c>
      <c r="Q227" s="22" t="s">
        <v>48</v>
      </c>
      <c r="R227" s="22"/>
      <c r="S227" s="24"/>
      <c r="T227" s="21"/>
    </row>
    <row r="228" spans="1:20" ht="45" hidden="1">
      <c r="A228" s="31">
        <v>225</v>
      </c>
      <c r="B228" s="22" t="s">
        <v>39</v>
      </c>
      <c r="C228" s="22" t="s">
        <v>462</v>
      </c>
      <c r="D228" s="22" t="s">
        <v>463</v>
      </c>
      <c r="E228" s="23" t="s">
        <v>51</v>
      </c>
      <c r="F228" s="22" t="s">
        <v>56</v>
      </c>
      <c r="G228" s="22" t="s">
        <v>53</v>
      </c>
      <c r="H228" s="22" t="s">
        <v>30</v>
      </c>
      <c r="I228" s="22" t="s">
        <v>464</v>
      </c>
      <c r="J228" s="22" t="s">
        <v>56</v>
      </c>
      <c r="K228" s="755" t="s">
        <v>2109</v>
      </c>
      <c r="L228" s="22" t="s">
        <v>465</v>
      </c>
      <c r="M228" s="429">
        <v>2021</v>
      </c>
      <c r="N228" s="780">
        <v>3936100.0098972721</v>
      </c>
      <c r="O228" s="756">
        <v>0</v>
      </c>
      <c r="P228" s="335">
        <v>0</v>
      </c>
      <c r="Q228" s="22" t="s">
        <v>48</v>
      </c>
      <c r="R228" s="22"/>
      <c r="S228" s="24"/>
      <c r="T228" s="21"/>
    </row>
    <row r="229" spans="1:20" ht="45" hidden="1">
      <c r="A229" s="31">
        <v>226</v>
      </c>
      <c r="B229" s="22" t="s">
        <v>39</v>
      </c>
      <c r="C229" s="22" t="s">
        <v>462</v>
      </c>
      <c r="D229" s="22" t="s">
        <v>463</v>
      </c>
      <c r="E229" s="23" t="s">
        <v>51</v>
      </c>
      <c r="F229" s="22" t="s">
        <v>57</v>
      </c>
      <c r="G229" s="22" t="s">
        <v>53</v>
      </c>
      <c r="H229" s="22" t="s">
        <v>30</v>
      </c>
      <c r="I229" s="22" t="s">
        <v>464</v>
      </c>
      <c r="J229" s="22" t="s">
        <v>57</v>
      </c>
      <c r="K229" s="755" t="s">
        <v>2109</v>
      </c>
      <c r="L229" s="22" t="s">
        <v>465</v>
      </c>
      <c r="M229" s="429">
        <v>2021</v>
      </c>
      <c r="N229" s="780">
        <v>3456646.0931983329</v>
      </c>
      <c r="O229" s="756">
        <v>0</v>
      </c>
      <c r="P229" s="335">
        <v>0</v>
      </c>
      <c r="Q229" s="22" t="s">
        <v>48</v>
      </c>
      <c r="R229" s="22"/>
      <c r="S229" s="24"/>
      <c r="T229" s="21"/>
    </row>
    <row r="230" spans="1:20" ht="45" hidden="1">
      <c r="A230" s="31">
        <v>227</v>
      </c>
      <c r="B230" s="22" t="s">
        <v>39</v>
      </c>
      <c r="C230" s="22" t="s">
        <v>462</v>
      </c>
      <c r="D230" s="22" t="s">
        <v>463</v>
      </c>
      <c r="E230" s="23" t="s">
        <v>51</v>
      </c>
      <c r="F230" s="22" t="s">
        <v>58</v>
      </c>
      <c r="G230" s="22" t="s">
        <v>53</v>
      </c>
      <c r="H230" s="22" t="s">
        <v>30</v>
      </c>
      <c r="I230" s="22" t="s">
        <v>464</v>
      </c>
      <c r="J230" s="22" t="s">
        <v>58</v>
      </c>
      <c r="K230" s="755" t="s">
        <v>2109</v>
      </c>
      <c r="L230" s="22" t="s">
        <v>465</v>
      </c>
      <c r="M230" s="429">
        <v>2021</v>
      </c>
      <c r="N230" s="780">
        <v>115481.60817746399</v>
      </c>
      <c r="O230" s="66">
        <v>0</v>
      </c>
      <c r="P230" s="67">
        <v>0</v>
      </c>
      <c r="Q230" s="22" t="s">
        <v>48</v>
      </c>
      <c r="R230" s="22" t="s">
        <v>49</v>
      </c>
      <c r="S230" s="24"/>
      <c r="T230" s="21"/>
    </row>
    <row r="231" spans="1:20" ht="45" hidden="1">
      <c r="A231" s="31">
        <v>228</v>
      </c>
      <c r="B231" s="22" t="s">
        <v>39</v>
      </c>
      <c r="C231" s="22" t="s">
        <v>462</v>
      </c>
      <c r="D231" s="22" t="s">
        <v>463</v>
      </c>
      <c r="E231" s="23" t="s">
        <v>51</v>
      </c>
      <c r="F231" s="22" t="s">
        <v>60</v>
      </c>
      <c r="G231" s="22" t="s">
        <v>53</v>
      </c>
      <c r="H231" s="22" t="s">
        <v>30</v>
      </c>
      <c r="I231" s="22" t="s">
        <v>464</v>
      </c>
      <c r="J231" s="22" t="s">
        <v>60</v>
      </c>
      <c r="K231" s="755" t="s">
        <v>2109</v>
      </c>
      <c r="L231" s="22" t="s">
        <v>465</v>
      </c>
      <c r="M231" s="429">
        <v>2021</v>
      </c>
      <c r="N231" s="780">
        <v>87063.557028289157</v>
      </c>
      <c r="O231" s="66">
        <v>0</v>
      </c>
      <c r="P231" s="67">
        <v>0</v>
      </c>
      <c r="Q231" s="22" t="s">
        <v>48</v>
      </c>
      <c r="R231" s="22" t="s">
        <v>49</v>
      </c>
      <c r="S231" s="24"/>
      <c r="T231" s="21"/>
    </row>
    <row r="232" spans="1:20" ht="45" hidden="1">
      <c r="A232" s="31">
        <v>229</v>
      </c>
      <c r="B232" s="22" t="s">
        <v>39</v>
      </c>
      <c r="C232" s="22" t="s">
        <v>462</v>
      </c>
      <c r="D232" s="22" t="s">
        <v>463</v>
      </c>
      <c r="E232" s="23" t="s">
        <v>51</v>
      </c>
      <c r="F232" s="22" t="s">
        <v>61</v>
      </c>
      <c r="G232" s="22" t="s">
        <v>53</v>
      </c>
      <c r="H232" s="22" t="s">
        <v>30</v>
      </c>
      <c r="I232" s="22" t="s">
        <v>464</v>
      </c>
      <c r="J232" s="22" t="s">
        <v>61</v>
      </c>
      <c r="K232" s="755" t="s">
        <v>2109</v>
      </c>
      <c r="L232" s="22" t="s">
        <v>465</v>
      </c>
      <c r="M232" s="429">
        <v>2021</v>
      </c>
      <c r="N232" s="780">
        <v>4795.1123763680444</v>
      </c>
      <c r="O232" s="756">
        <v>0</v>
      </c>
      <c r="P232" s="335">
        <v>0</v>
      </c>
      <c r="Q232" s="22" t="s">
        <v>48</v>
      </c>
      <c r="R232" s="22"/>
      <c r="S232" s="24"/>
      <c r="T232" s="21"/>
    </row>
    <row r="233" spans="1:20" ht="45" hidden="1">
      <c r="A233" s="31">
        <v>230</v>
      </c>
      <c r="B233" s="22" t="s">
        <v>39</v>
      </c>
      <c r="C233" s="22" t="s">
        <v>462</v>
      </c>
      <c r="D233" s="22" t="s">
        <v>463</v>
      </c>
      <c r="E233" s="23" t="s">
        <v>51</v>
      </c>
      <c r="F233" s="22" t="s">
        <v>62</v>
      </c>
      <c r="G233" s="22" t="s">
        <v>53</v>
      </c>
      <c r="H233" s="22" t="s">
        <v>30</v>
      </c>
      <c r="I233" s="22" t="s">
        <v>464</v>
      </c>
      <c r="J233" s="22" t="s">
        <v>62</v>
      </c>
      <c r="K233" s="755" t="s">
        <v>2109</v>
      </c>
      <c r="L233" s="22" t="s">
        <v>465</v>
      </c>
      <c r="M233" s="429">
        <v>2021</v>
      </c>
      <c r="N233" s="780">
        <v>3696.9631093570561</v>
      </c>
      <c r="O233" s="756">
        <v>0</v>
      </c>
      <c r="P233" s="335">
        <v>0</v>
      </c>
      <c r="Q233" s="22" t="s">
        <v>48</v>
      </c>
      <c r="R233" s="22"/>
      <c r="S233" s="24"/>
      <c r="T233" s="21"/>
    </row>
    <row r="234" spans="1:20" ht="45" hidden="1">
      <c r="A234" s="31">
        <v>231</v>
      </c>
      <c r="B234" s="22" t="s">
        <v>39</v>
      </c>
      <c r="C234" s="22" t="s">
        <v>462</v>
      </c>
      <c r="D234" s="22" t="s">
        <v>463</v>
      </c>
      <c r="E234" s="23" t="s">
        <v>51</v>
      </c>
      <c r="F234" s="22" t="s">
        <v>63</v>
      </c>
      <c r="G234" s="22" t="s">
        <v>53</v>
      </c>
      <c r="H234" s="22" t="s">
        <v>30</v>
      </c>
      <c r="I234" s="22" t="s">
        <v>464</v>
      </c>
      <c r="J234" s="22" t="s">
        <v>63</v>
      </c>
      <c r="K234" s="755" t="s">
        <v>2109</v>
      </c>
      <c r="L234" s="22" t="s">
        <v>465</v>
      </c>
      <c r="M234" s="429">
        <v>2021</v>
      </c>
      <c r="N234" s="780">
        <v>35235683.539573707</v>
      </c>
      <c r="O234" s="756">
        <v>0</v>
      </c>
      <c r="P234" s="335">
        <v>0</v>
      </c>
      <c r="Q234" s="22" t="s">
        <v>48</v>
      </c>
      <c r="R234" s="22"/>
      <c r="S234" s="24"/>
      <c r="T234" s="21"/>
    </row>
    <row r="235" spans="1:20" ht="45" hidden="1">
      <c r="A235" s="31">
        <v>232</v>
      </c>
      <c r="B235" s="22" t="s">
        <v>39</v>
      </c>
      <c r="C235" s="22" t="s">
        <v>462</v>
      </c>
      <c r="D235" s="22" t="s">
        <v>463</v>
      </c>
      <c r="E235" s="23" t="s">
        <v>51</v>
      </c>
      <c r="F235" s="22" t="s">
        <v>64</v>
      </c>
      <c r="G235" s="22" t="s">
        <v>53</v>
      </c>
      <c r="H235" s="22" t="s">
        <v>30</v>
      </c>
      <c r="I235" s="22" t="s">
        <v>464</v>
      </c>
      <c r="J235" s="22" t="s">
        <v>64</v>
      </c>
      <c r="K235" s="755" t="s">
        <v>2109</v>
      </c>
      <c r="L235" s="22" t="s">
        <v>465</v>
      </c>
      <c r="M235" s="429">
        <v>2021</v>
      </c>
      <c r="N235" s="780">
        <v>27414475.355412994</v>
      </c>
      <c r="O235" s="756">
        <v>0</v>
      </c>
      <c r="P235" s="335">
        <v>0</v>
      </c>
      <c r="Q235" s="22" t="s">
        <v>48</v>
      </c>
      <c r="R235" s="22"/>
      <c r="S235" s="24"/>
      <c r="T235" s="21"/>
    </row>
    <row r="236" spans="1:20" ht="45" hidden="1">
      <c r="A236" s="31">
        <v>233</v>
      </c>
      <c r="B236" s="22" t="s">
        <v>39</v>
      </c>
      <c r="C236" s="22" t="s">
        <v>462</v>
      </c>
      <c r="D236" s="22" t="s">
        <v>463</v>
      </c>
      <c r="E236" s="23" t="s">
        <v>51</v>
      </c>
      <c r="F236" s="22" t="s">
        <v>65</v>
      </c>
      <c r="G236" s="22" t="s">
        <v>53</v>
      </c>
      <c r="H236" s="22" t="s">
        <v>30</v>
      </c>
      <c r="I236" s="22" t="s">
        <v>464</v>
      </c>
      <c r="J236" s="22" t="s">
        <v>65</v>
      </c>
      <c r="K236" s="755" t="s">
        <v>2109</v>
      </c>
      <c r="L236" s="22" t="s">
        <v>465</v>
      </c>
      <c r="M236" s="429">
        <v>2021</v>
      </c>
      <c r="N236" s="780">
        <v>1418645.2185403905</v>
      </c>
      <c r="O236" s="66">
        <v>0</v>
      </c>
      <c r="P236" s="67">
        <v>0</v>
      </c>
      <c r="Q236" s="22" t="s">
        <v>48</v>
      </c>
      <c r="R236" s="22" t="s">
        <v>49</v>
      </c>
      <c r="S236" s="24"/>
      <c r="T236" s="21"/>
    </row>
    <row r="237" spans="1:20" ht="45" hidden="1">
      <c r="A237" s="31">
        <v>234</v>
      </c>
      <c r="B237" s="22" t="s">
        <v>39</v>
      </c>
      <c r="C237" s="22" t="s">
        <v>462</v>
      </c>
      <c r="D237" s="22" t="s">
        <v>463</v>
      </c>
      <c r="E237" s="23" t="s">
        <v>51</v>
      </c>
      <c r="F237" s="22" t="s">
        <v>66</v>
      </c>
      <c r="G237" s="22" t="s">
        <v>53</v>
      </c>
      <c r="H237" s="22" t="s">
        <v>30</v>
      </c>
      <c r="I237" s="22" t="s">
        <v>464</v>
      </c>
      <c r="J237" s="22" t="s">
        <v>66</v>
      </c>
      <c r="K237" s="755" t="s">
        <v>2109</v>
      </c>
      <c r="L237" s="22" t="s">
        <v>465</v>
      </c>
      <c r="M237" s="429">
        <v>2021</v>
      </c>
      <c r="N237" s="780">
        <v>981539.22067260125</v>
      </c>
      <c r="O237" s="66">
        <v>0</v>
      </c>
      <c r="P237" s="67">
        <v>0</v>
      </c>
      <c r="Q237" s="22" t="s">
        <v>48</v>
      </c>
      <c r="R237" s="22" t="s">
        <v>49</v>
      </c>
      <c r="S237" s="24"/>
      <c r="T237" s="21"/>
    </row>
    <row r="238" spans="1:20" ht="30" hidden="1">
      <c r="A238" s="31">
        <v>235</v>
      </c>
      <c r="B238" s="22" t="s">
        <v>39</v>
      </c>
      <c r="C238" s="22" t="s">
        <v>462</v>
      </c>
      <c r="D238" s="22" t="s">
        <v>466</v>
      </c>
      <c r="E238" s="23" t="s">
        <v>42</v>
      </c>
      <c r="F238" s="22" t="s">
        <v>43</v>
      </c>
      <c r="G238" s="22" t="s">
        <v>44</v>
      </c>
      <c r="H238" s="22" t="s">
        <v>30</v>
      </c>
      <c r="I238" s="22" t="s">
        <v>467</v>
      </c>
      <c r="J238" s="22" t="s">
        <v>46</v>
      </c>
      <c r="K238" s="755" t="s">
        <v>2107</v>
      </c>
      <c r="L238" s="22" t="s">
        <v>465</v>
      </c>
      <c r="M238" s="429">
        <v>2021</v>
      </c>
      <c r="N238" s="780">
        <v>698.3958442475863</v>
      </c>
      <c r="O238" s="66">
        <v>0</v>
      </c>
      <c r="P238" s="67">
        <v>0</v>
      </c>
      <c r="Q238" s="22" t="s">
        <v>48</v>
      </c>
      <c r="R238" s="22"/>
      <c r="S238" s="24"/>
      <c r="T238" s="21"/>
    </row>
    <row r="239" spans="1:20" ht="150" hidden="1">
      <c r="A239" s="31">
        <v>236</v>
      </c>
      <c r="B239" s="22" t="s">
        <v>39</v>
      </c>
      <c r="C239" s="22" t="s">
        <v>462</v>
      </c>
      <c r="D239" s="22" t="s">
        <v>468</v>
      </c>
      <c r="E239" s="23" t="s">
        <v>325</v>
      </c>
      <c r="F239" s="22" t="s">
        <v>142</v>
      </c>
      <c r="G239" s="22" t="s">
        <v>143</v>
      </c>
      <c r="H239" s="22" t="s">
        <v>30</v>
      </c>
      <c r="I239" s="22" t="s">
        <v>469</v>
      </c>
      <c r="J239" s="22" t="s">
        <v>333</v>
      </c>
      <c r="K239" s="757" t="s">
        <v>2113</v>
      </c>
      <c r="L239" s="22" t="s">
        <v>465</v>
      </c>
      <c r="M239" s="429">
        <v>2021</v>
      </c>
      <c r="N239" s="780">
        <v>1.5438054805094559E-3</v>
      </c>
      <c r="O239" s="335">
        <v>16</v>
      </c>
      <c r="P239" s="335">
        <v>10364</v>
      </c>
      <c r="Q239" s="22" t="s">
        <v>425</v>
      </c>
      <c r="R239" s="22" t="s">
        <v>246</v>
      </c>
      <c r="S239" s="24"/>
      <c r="T239" s="21"/>
    </row>
    <row r="240" spans="1:20" ht="150" hidden="1">
      <c r="A240" s="31">
        <v>237</v>
      </c>
      <c r="B240" s="22" t="s">
        <v>39</v>
      </c>
      <c r="C240" s="22" t="s">
        <v>462</v>
      </c>
      <c r="D240" s="22" t="s">
        <v>468</v>
      </c>
      <c r="E240" s="23" t="s">
        <v>329</v>
      </c>
      <c r="F240" s="22" t="s">
        <v>142</v>
      </c>
      <c r="G240" s="22" t="s">
        <v>143</v>
      </c>
      <c r="H240" s="22" t="s">
        <v>30</v>
      </c>
      <c r="I240" s="22" t="s">
        <v>470</v>
      </c>
      <c r="J240" s="22" t="s">
        <v>330</v>
      </c>
      <c r="K240" s="757" t="s">
        <v>2113</v>
      </c>
      <c r="L240" s="22" t="s">
        <v>465</v>
      </c>
      <c r="M240" s="429"/>
      <c r="N240" s="780" t="s">
        <v>59</v>
      </c>
      <c r="O240" s="335">
        <v>0</v>
      </c>
      <c r="P240" s="335">
        <v>0</v>
      </c>
      <c r="Q240" s="22" t="s">
        <v>425</v>
      </c>
      <c r="R240" s="22" t="s">
        <v>246</v>
      </c>
      <c r="S240" s="24"/>
      <c r="T240" s="21"/>
    </row>
    <row r="241" spans="1:20" ht="150" hidden="1">
      <c r="A241" s="31">
        <v>238</v>
      </c>
      <c r="B241" s="22" t="s">
        <v>39</v>
      </c>
      <c r="C241" s="22" t="s">
        <v>462</v>
      </c>
      <c r="D241" s="22" t="s">
        <v>468</v>
      </c>
      <c r="E241" s="23" t="s">
        <v>331</v>
      </c>
      <c r="F241" s="22" t="s">
        <v>142</v>
      </c>
      <c r="G241" s="22" t="s">
        <v>143</v>
      </c>
      <c r="H241" s="22" t="s">
        <v>30</v>
      </c>
      <c r="I241" s="22" t="s">
        <v>471</v>
      </c>
      <c r="J241" s="22" t="s">
        <v>327</v>
      </c>
      <c r="K241" s="757" t="s">
        <v>2113</v>
      </c>
      <c r="L241" s="22" t="s">
        <v>465</v>
      </c>
      <c r="M241" s="429"/>
      <c r="N241" s="780" t="s">
        <v>59</v>
      </c>
      <c r="O241" s="335">
        <v>0</v>
      </c>
      <c r="P241" s="335">
        <v>0</v>
      </c>
      <c r="Q241" s="22" t="s">
        <v>425</v>
      </c>
      <c r="R241" s="22" t="s">
        <v>246</v>
      </c>
      <c r="S241" s="24"/>
      <c r="T241" s="21"/>
    </row>
    <row r="242" spans="1:20" ht="105" hidden="1">
      <c r="A242" s="31">
        <v>239</v>
      </c>
      <c r="B242" s="22" t="s">
        <v>39</v>
      </c>
      <c r="C242" s="22" t="s">
        <v>462</v>
      </c>
      <c r="D242" s="22" t="s">
        <v>472</v>
      </c>
      <c r="E242" s="23" t="s">
        <v>473</v>
      </c>
      <c r="F242" s="22" t="s">
        <v>142</v>
      </c>
      <c r="G242" s="22" t="s">
        <v>474</v>
      </c>
      <c r="H242" s="22" t="s">
        <v>164</v>
      </c>
      <c r="I242" s="22" t="s">
        <v>2115</v>
      </c>
      <c r="J242" s="22" t="s">
        <v>476</v>
      </c>
      <c r="K242" s="757" t="s">
        <v>2113</v>
      </c>
      <c r="L242" s="22" t="s">
        <v>465</v>
      </c>
      <c r="M242" s="429"/>
      <c r="N242" s="780" t="s">
        <v>59</v>
      </c>
      <c r="O242" s="335">
        <v>41</v>
      </c>
      <c r="P242" s="335">
        <v>0</v>
      </c>
      <c r="Q242" s="22" t="s">
        <v>477</v>
      </c>
      <c r="R242" s="22" t="s">
        <v>478</v>
      </c>
      <c r="S242" s="24"/>
      <c r="T242" s="21"/>
    </row>
    <row r="243" spans="1:20" ht="105" hidden="1">
      <c r="A243" s="31">
        <v>240</v>
      </c>
      <c r="B243" s="22" t="s">
        <v>39</v>
      </c>
      <c r="C243" s="22" t="s">
        <v>462</v>
      </c>
      <c r="D243" s="22" t="s">
        <v>472</v>
      </c>
      <c r="E243" s="23" t="s">
        <v>479</v>
      </c>
      <c r="F243" s="22" t="s">
        <v>142</v>
      </c>
      <c r="G243" s="22" t="s">
        <v>474</v>
      </c>
      <c r="H243" s="22" t="s">
        <v>164</v>
      </c>
      <c r="I243" s="22" t="s">
        <v>2115</v>
      </c>
      <c r="J243" s="22" t="s">
        <v>481</v>
      </c>
      <c r="K243" s="757" t="s">
        <v>2113</v>
      </c>
      <c r="L243" s="22" t="s">
        <v>465</v>
      </c>
      <c r="M243" s="429"/>
      <c r="N243" s="780" t="s">
        <v>59</v>
      </c>
      <c r="O243" s="335">
        <v>0</v>
      </c>
      <c r="P243" s="335">
        <v>0</v>
      </c>
      <c r="Q243" s="22" t="s">
        <v>482</v>
      </c>
      <c r="R243" s="22" t="s">
        <v>478</v>
      </c>
      <c r="S243" s="24"/>
      <c r="T243" s="21"/>
    </row>
    <row r="244" spans="1:20" ht="105" hidden="1">
      <c r="A244" s="31">
        <v>241</v>
      </c>
      <c r="B244" s="22" t="s">
        <v>39</v>
      </c>
      <c r="C244" s="22" t="s">
        <v>462</v>
      </c>
      <c r="D244" s="22" t="s">
        <v>472</v>
      </c>
      <c r="E244" s="23" t="s">
        <v>483</v>
      </c>
      <c r="F244" s="22" t="s">
        <v>142</v>
      </c>
      <c r="G244" s="22" t="s">
        <v>474</v>
      </c>
      <c r="H244" s="22" t="s">
        <v>164</v>
      </c>
      <c r="I244" s="22" t="s">
        <v>2115</v>
      </c>
      <c r="J244" s="22" t="s">
        <v>485</v>
      </c>
      <c r="K244" s="757" t="s">
        <v>2113</v>
      </c>
      <c r="L244" s="22" t="s">
        <v>465</v>
      </c>
      <c r="M244" s="429"/>
      <c r="N244" s="780" t="s">
        <v>59</v>
      </c>
      <c r="O244" s="335">
        <v>0</v>
      </c>
      <c r="P244" s="335">
        <v>0</v>
      </c>
      <c r="Q244" s="22" t="s">
        <v>486</v>
      </c>
      <c r="R244" s="22" t="s">
        <v>478</v>
      </c>
      <c r="S244" s="24"/>
      <c r="T244" s="21"/>
    </row>
    <row r="245" spans="1:20" ht="30" hidden="1">
      <c r="A245" s="31">
        <v>242</v>
      </c>
      <c r="B245" s="22" t="s">
        <v>39</v>
      </c>
      <c r="C245" s="22" t="s">
        <v>462</v>
      </c>
      <c r="D245" s="22" t="s">
        <v>487</v>
      </c>
      <c r="E245" s="23" t="s">
        <v>91</v>
      </c>
      <c r="F245" s="22" t="s">
        <v>92</v>
      </c>
      <c r="G245" s="22" t="s">
        <v>93</v>
      </c>
      <c r="H245" s="22" t="s">
        <v>30</v>
      </c>
      <c r="I245" s="22" t="s">
        <v>488</v>
      </c>
      <c r="J245" s="22" t="s">
        <v>92</v>
      </c>
      <c r="K245" s="755" t="s">
        <v>2112</v>
      </c>
      <c r="L245" s="22" t="s">
        <v>465</v>
      </c>
      <c r="M245" s="429">
        <v>2021</v>
      </c>
      <c r="N245" s="780">
        <v>237.86750549205007</v>
      </c>
      <c r="O245" s="335">
        <v>879387.39271889604</v>
      </c>
      <c r="P245" s="335">
        <v>3696.9631093570561</v>
      </c>
      <c r="Q245" s="22" t="s">
        <v>48</v>
      </c>
      <c r="R245" s="22"/>
      <c r="S245" s="24"/>
      <c r="T245" s="21"/>
    </row>
    <row r="246" spans="1:20" ht="30" hidden="1">
      <c r="A246" s="31">
        <v>243</v>
      </c>
      <c r="B246" s="22" t="s">
        <v>39</v>
      </c>
      <c r="C246" s="22" t="s">
        <v>462</v>
      </c>
      <c r="D246" s="22" t="s">
        <v>487</v>
      </c>
      <c r="E246" s="23" t="s">
        <v>91</v>
      </c>
      <c r="F246" s="22" t="s">
        <v>95</v>
      </c>
      <c r="G246" s="22" t="s">
        <v>93</v>
      </c>
      <c r="H246" s="22" t="s">
        <v>30</v>
      </c>
      <c r="I246" s="22" t="s">
        <v>488</v>
      </c>
      <c r="J246" s="22" t="s">
        <v>95</v>
      </c>
      <c r="K246" s="755" t="s">
        <v>2112</v>
      </c>
      <c r="L246" s="22" t="s">
        <v>465</v>
      </c>
      <c r="M246" s="429">
        <v>2021</v>
      </c>
      <c r="N246" s="780">
        <v>3.2077483932052009E-2</v>
      </c>
      <c r="O246" s="335">
        <v>879387.39271889604</v>
      </c>
      <c r="P246" s="335">
        <v>27414475.355412994</v>
      </c>
      <c r="Q246" s="22" t="s">
        <v>48</v>
      </c>
      <c r="R246" s="22"/>
      <c r="S246" s="24"/>
      <c r="T246" s="21"/>
    </row>
    <row r="247" spans="1:20" ht="30" hidden="1">
      <c r="A247" s="31">
        <v>244</v>
      </c>
      <c r="B247" s="22" t="s">
        <v>39</v>
      </c>
      <c r="C247" s="22" t="s">
        <v>462</v>
      </c>
      <c r="D247" s="22" t="s">
        <v>487</v>
      </c>
      <c r="E247" s="23" t="s">
        <v>91</v>
      </c>
      <c r="F247" s="22" t="s">
        <v>96</v>
      </c>
      <c r="G247" s="22" t="s">
        <v>93</v>
      </c>
      <c r="H247" s="22" t="s">
        <v>30</v>
      </c>
      <c r="I247" s="22" t="s">
        <v>488</v>
      </c>
      <c r="J247" s="22" t="s">
        <v>96</v>
      </c>
      <c r="K247" s="755" t="s">
        <v>2112</v>
      </c>
      <c r="L247" s="22" t="s">
        <v>465</v>
      </c>
      <c r="M247" s="429">
        <v>2021</v>
      </c>
      <c r="N247" s="780">
        <v>0.39160901698294409</v>
      </c>
      <c r="O247" s="335">
        <v>384379.60933780239</v>
      </c>
      <c r="P247" s="335">
        <v>981539.22067260125</v>
      </c>
      <c r="Q247" s="22" t="s">
        <v>48</v>
      </c>
      <c r="R247" s="22" t="s">
        <v>49</v>
      </c>
      <c r="S247" s="24"/>
      <c r="T247" s="21"/>
    </row>
    <row r="248" spans="1:20" ht="30" hidden="1">
      <c r="A248" s="31">
        <v>245</v>
      </c>
      <c r="B248" s="22" t="s">
        <v>39</v>
      </c>
      <c r="C248" s="22" t="s">
        <v>462</v>
      </c>
      <c r="D248" s="22" t="s">
        <v>487</v>
      </c>
      <c r="E248" s="23" t="s">
        <v>91</v>
      </c>
      <c r="F248" s="22" t="s">
        <v>97</v>
      </c>
      <c r="G248" s="22" t="s">
        <v>93</v>
      </c>
      <c r="H248" s="22" t="s">
        <v>30</v>
      </c>
      <c r="I248" s="22" t="s">
        <v>488</v>
      </c>
      <c r="J248" s="22" t="s">
        <v>97</v>
      </c>
      <c r="K248" s="755" t="s">
        <v>2112</v>
      </c>
      <c r="L248" s="22" t="s">
        <v>465</v>
      </c>
      <c r="M248" s="429">
        <v>2021</v>
      </c>
      <c r="N248" s="780">
        <v>387.03783924478273</v>
      </c>
      <c r="O248" s="335">
        <v>1430864.6136132283</v>
      </c>
      <c r="P248" s="335">
        <v>3696.9631093570561</v>
      </c>
      <c r="Q248" s="22" t="s">
        <v>48</v>
      </c>
      <c r="R248" s="22"/>
      <c r="S248" s="24"/>
      <c r="T248" s="21"/>
    </row>
    <row r="249" spans="1:20" ht="30" hidden="1">
      <c r="A249" s="31">
        <v>246</v>
      </c>
      <c r="B249" s="22" t="s">
        <v>39</v>
      </c>
      <c r="C249" s="22" t="s">
        <v>462</v>
      </c>
      <c r="D249" s="22" t="s">
        <v>487</v>
      </c>
      <c r="E249" s="23" t="s">
        <v>91</v>
      </c>
      <c r="F249" s="22" t="s">
        <v>98</v>
      </c>
      <c r="G249" s="22" t="s">
        <v>93</v>
      </c>
      <c r="H249" s="22" t="s">
        <v>30</v>
      </c>
      <c r="I249" s="22" t="s">
        <v>488</v>
      </c>
      <c r="J249" s="22" t="s">
        <v>98</v>
      </c>
      <c r="K249" s="755" t="s">
        <v>2112</v>
      </c>
      <c r="L249" s="22" t="s">
        <v>465</v>
      </c>
      <c r="M249" s="429">
        <v>2021</v>
      </c>
      <c r="N249" s="780">
        <v>5.2193762421599794E-2</v>
      </c>
      <c r="O249" s="335">
        <v>1430864.6136132283</v>
      </c>
      <c r="P249" s="335">
        <v>27414475.355412994</v>
      </c>
      <c r="Q249" s="22" t="s">
        <v>48</v>
      </c>
      <c r="R249" s="22"/>
      <c r="S249" s="24"/>
      <c r="T249" s="21"/>
    </row>
    <row r="250" spans="1:20" ht="30" hidden="1">
      <c r="A250" s="31">
        <v>247</v>
      </c>
      <c r="B250" s="22" t="s">
        <v>39</v>
      </c>
      <c r="C250" s="22" t="s">
        <v>462</v>
      </c>
      <c r="D250" s="22" t="s">
        <v>487</v>
      </c>
      <c r="E250" s="23" t="s">
        <v>91</v>
      </c>
      <c r="F250" s="22" t="s">
        <v>99</v>
      </c>
      <c r="G250" s="22" t="s">
        <v>93</v>
      </c>
      <c r="H250" s="22" t="s">
        <v>30</v>
      </c>
      <c r="I250" s="22" t="s">
        <v>488</v>
      </c>
      <c r="J250" s="22" t="s">
        <v>99</v>
      </c>
      <c r="K250" s="755" t="s">
        <v>2112</v>
      </c>
      <c r="L250" s="22" t="s">
        <v>465</v>
      </c>
      <c r="M250" s="429">
        <v>2021</v>
      </c>
      <c r="N250" s="780">
        <v>0.63719299299970056</v>
      </c>
      <c r="O250" s="335">
        <v>625429.9137669683</v>
      </c>
      <c r="P250" s="335">
        <v>981539.22067260125</v>
      </c>
      <c r="Q250" s="22" t="s">
        <v>48</v>
      </c>
      <c r="R250" s="22" t="s">
        <v>49</v>
      </c>
      <c r="S250" s="24"/>
      <c r="T250" s="21"/>
    </row>
    <row r="251" spans="1:20" ht="45" hidden="1">
      <c r="A251" s="31">
        <v>248</v>
      </c>
      <c r="B251" s="22" t="s">
        <v>39</v>
      </c>
      <c r="C251" s="22" t="s">
        <v>462</v>
      </c>
      <c r="D251" s="22" t="s">
        <v>489</v>
      </c>
      <c r="E251" s="23" t="s">
        <v>296</v>
      </c>
      <c r="F251" s="22" t="s">
        <v>297</v>
      </c>
      <c r="G251" s="22" t="s">
        <v>298</v>
      </c>
      <c r="H251" s="22" t="s">
        <v>30</v>
      </c>
      <c r="I251" s="22" t="s">
        <v>490</v>
      </c>
      <c r="J251" s="22" t="s">
        <v>297</v>
      </c>
      <c r="K251" s="755" t="s">
        <v>2109</v>
      </c>
      <c r="L251" s="22" t="s">
        <v>465</v>
      </c>
      <c r="M251" s="429">
        <v>2021</v>
      </c>
      <c r="N251" s="780">
        <v>5.039499796822939E-4</v>
      </c>
      <c r="O251" s="335">
        <v>526.97448667001686</v>
      </c>
      <c r="P251" s="335">
        <v>1045688.08</v>
      </c>
      <c r="Q251" s="22"/>
      <c r="R251" s="22"/>
      <c r="S251" s="24"/>
      <c r="T251" s="21"/>
    </row>
    <row r="252" spans="1:20" ht="45" hidden="1">
      <c r="A252" s="31">
        <v>249</v>
      </c>
      <c r="B252" s="22" t="s">
        <v>39</v>
      </c>
      <c r="C252" s="22" t="s">
        <v>462</v>
      </c>
      <c r="D252" s="22" t="s">
        <v>489</v>
      </c>
      <c r="E252" s="23" t="s">
        <v>296</v>
      </c>
      <c r="F252" s="22" t="s">
        <v>300</v>
      </c>
      <c r="G252" s="22" t="s">
        <v>298</v>
      </c>
      <c r="H252" s="22" t="s">
        <v>30</v>
      </c>
      <c r="I252" s="22" t="s">
        <v>490</v>
      </c>
      <c r="J252" s="22" t="s">
        <v>300</v>
      </c>
      <c r="K252" s="755" t="s">
        <v>2109</v>
      </c>
      <c r="L252" s="22" t="s">
        <v>465</v>
      </c>
      <c r="M252" s="429">
        <v>2021</v>
      </c>
      <c r="N252" s="780">
        <v>4.3808419330767303E-4</v>
      </c>
      <c r="O252" s="335">
        <v>458.09941897824945</v>
      </c>
      <c r="P252" s="335">
        <v>1045688.08</v>
      </c>
      <c r="Q252" s="22"/>
      <c r="R252" s="22"/>
      <c r="S252" s="24"/>
      <c r="T252" s="21"/>
    </row>
    <row r="253" spans="1:20" ht="45" hidden="1">
      <c r="A253" s="31">
        <v>250</v>
      </c>
      <c r="B253" s="22" t="s">
        <v>39</v>
      </c>
      <c r="C253" s="22" t="s">
        <v>462</v>
      </c>
      <c r="D253" s="22" t="s">
        <v>489</v>
      </c>
      <c r="E253" s="23" t="s">
        <v>296</v>
      </c>
      <c r="F253" s="22" t="s">
        <v>301</v>
      </c>
      <c r="G253" s="22" t="s">
        <v>298</v>
      </c>
      <c r="H253" s="22" t="s">
        <v>30</v>
      </c>
      <c r="I253" s="22" t="s">
        <v>490</v>
      </c>
      <c r="J253" s="22" t="s">
        <v>301</v>
      </c>
      <c r="K253" s="755" t="s">
        <v>2109</v>
      </c>
      <c r="L253" s="22" t="s">
        <v>465</v>
      </c>
      <c r="M253" s="429">
        <v>2021</v>
      </c>
      <c r="N253" s="780">
        <v>4.145190655787708E-3</v>
      </c>
      <c r="O253" s="335">
        <v>3936100.0098972721</v>
      </c>
      <c r="P253" s="335">
        <v>949558256</v>
      </c>
      <c r="Q253" s="22"/>
      <c r="R253" s="22"/>
      <c r="S253" s="24"/>
      <c r="T253" s="21"/>
    </row>
    <row r="254" spans="1:20" ht="45" hidden="1">
      <c r="A254" s="31">
        <v>251</v>
      </c>
      <c r="B254" s="22" t="s">
        <v>39</v>
      </c>
      <c r="C254" s="22" t="s">
        <v>462</v>
      </c>
      <c r="D254" s="22" t="s">
        <v>489</v>
      </c>
      <c r="E254" s="23" t="s">
        <v>296</v>
      </c>
      <c r="F254" s="22" t="s">
        <v>302</v>
      </c>
      <c r="G254" s="22" t="s">
        <v>298</v>
      </c>
      <c r="H254" s="22" t="s">
        <v>30</v>
      </c>
      <c r="I254" s="22" t="s">
        <v>490</v>
      </c>
      <c r="J254" s="22" t="s">
        <v>302</v>
      </c>
      <c r="K254" s="755" t="s">
        <v>2109</v>
      </c>
      <c r="L254" s="22" t="s">
        <v>465</v>
      </c>
      <c r="M254" s="429">
        <v>2021</v>
      </c>
      <c r="N254" s="780">
        <v>3.640267536358857E-3</v>
      </c>
      <c r="O254" s="335">
        <v>3456646.0931983329</v>
      </c>
      <c r="P254" s="335">
        <v>949558256</v>
      </c>
      <c r="Q254" s="22"/>
      <c r="R254" s="22"/>
      <c r="S254" s="24"/>
      <c r="T254" s="21"/>
    </row>
    <row r="255" spans="1:20" ht="45" hidden="1">
      <c r="A255" s="31">
        <v>252</v>
      </c>
      <c r="B255" s="22" t="s">
        <v>39</v>
      </c>
      <c r="C255" s="22" t="s">
        <v>462</v>
      </c>
      <c r="D255" s="22" t="s">
        <v>489</v>
      </c>
      <c r="E255" s="23" t="s">
        <v>296</v>
      </c>
      <c r="F255" s="22" t="s">
        <v>303</v>
      </c>
      <c r="G255" s="22" t="s">
        <v>298</v>
      </c>
      <c r="H255" s="22" t="s">
        <v>30</v>
      </c>
      <c r="I255" s="22" t="s">
        <v>490</v>
      </c>
      <c r="J255" s="22" t="s">
        <v>303</v>
      </c>
      <c r="K255" s="755" t="s">
        <v>2109</v>
      </c>
      <c r="L255" s="22" t="s">
        <v>465</v>
      </c>
      <c r="M255" s="429">
        <v>2021</v>
      </c>
      <c r="N255" s="780">
        <v>3.0810051781206792E-4</v>
      </c>
      <c r="O255" s="335">
        <v>115481.60817746399</v>
      </c>
      <c r="P255" s="335">
        <v>374817962</v>
      </c>
      <c r="Q255" s="22" t="s">
        <v>304</v>
      </c>
      <c r="R255" s="22" t="s">
        <v>491</v>
      </c>
      <c r="S255" s="24"/>
      <c r="T255" s="21"/>
    </row>
    <row r="256" spans="1:20" ht="45" hidden="1">
      <c r="A256" s="31">
        <v>253</v>
      </c>
      <c r="B256" s="22" t="s">
        <v>39</v>
      </c>
      <c r="C256" s="22" t="s">
        <v>462</v>
      </c>
      <c r="D256" s="22" t="s">
        <v>489</v>
      </c>
      <c r="E256" s="23" t="s">
        <v>296</v>
      </c>
      <c r="F256" s="22" t="s">
        <v>305</v>
      </c>
      <c r="G256" s="22" t="s">
        <v>298</v>
      </c>
      <c r="H256" s="22" t="s">
        <v>30</v>
      </c>
      <c r="I256" s="22" t="s">
        <v>490</v>
      </c>
      <c r="J256" s="22" t="s">
        <v>305</v>
      </c>
      <c r="K256" s="755" t="s">
        <v>2109</v>
      </c>
      <c r="L256" s="22" t="s">
        <v>465</v>
      </c>
      <c r="M256" s="429">
        <v>2021</v>
      </c>
      <c r="N256" s="780">
        <v>2.3228224326210162E-4</v>
      </c>
      <c r="O256" s="335">
        <v>87063.557028289157</v>
      </c>
      <c r="P256" s="335">
        <v>374817962</v>
      </c>
      <c r="Q256" s="22" t="s">
        <v>304</v>
      </c>
      <c r="R256" s="22" t="s">
        <v>491</v>
      </c>
      <c r="S256" s="24"/>
      <c r="T256" s="21"/>
    </row>
    <row r="257" spans="1:20" ht="45" hidden="1">
      <c r="A257" s="31">
        <v>254</v>
      </c>
      <c r="B257" s="22" t="s">
        <v>39</v>
      </c>
      <c r="C257" s="22" t="s">
        <v>462</v>
      </c>
      <c r="D257" s="22" t="s">
        <v>489</v>
      </c>
      <c r="E257" s="23" t="s">
        <v>296</v>
      </c>
      <c r="F257" s="22" t="s">
        <v>306</v>
      </c>
      <c r="G257" s="22" t="s">
        <v>298</v>
      </c>
      <c r="H257" s="22" t="s">
        <v>30</v>
      </c>
      <c r="I257" s="22" t="s">
        <v>490</v>
      </c>
      <c r="J257" s="22" t="s">
        <v>306</v>
      </c>
      <c r="K257" s="755" t="s">
        <v>2109</v>
      </c>
      <c r="L257" s="22" t="s">
        <v>465</v>
      </c>
      <c r="M257" s="429">
        <v>2021</v>
      </c>
      <c r="N257" s="780">
        <v>4.5856048931609168E-3</v>
      </c>
      <c r="O257" s="335">
        <v>4795.1123763680444</v>
      </c>
      <c r="P257" s="335">
        <v>1045688.08</v>
      </c>
      <c r="Q257" s="22"/>
      <c r="R257" s="22"/>
      <c r="S257" s="24"/>
      <c r="T257" s="21"/>
    </row>
    <row r="258" spans="1:20" ht="45" hidden="1">
      <c r="A258" s="31">
        <v>255</v>
      </c>
      <c r="B258" s="22" t="s">
        <v>39</v>
      </c>
      <c r="C258" s="22" t="s">
        <v>462</v>
      </c>
      <c r="D258" s="22" t="s">
        <v>489</v>
      </c>
      <c r="E258" s="23" t="s">
        <v>296</v>
      </c>
      <c r="F258" s="22" t="s">
        <v>307</v>
      </c>
      <c r="G258" s="22" t="s">
        <v>298</v>
      </c>
      <c r="H258" s="22" t="s">
        <v>30</v>
      </c>
      <c r="I258" s="22" t="s">
        <v>490</v>
      </c>
      <c r="J258" s="22" t="s">
        <v>307</v>
      </c>
      <c r="K258" s="755" t="s">
        <v>2109</v>
      </c>
      <c r="L258" s="22" t="s">
        <v>465</v>
      </c>
      <c r="M258" s="429">
        <v>2021</v>
      </c>
      <c r="N258" s="780">
        <v>3.5354358341323508E-3</v>
      </c>
      <c r="O258" s="335">
        <v>3696.9631093570561</v>
      </c>
      <c r="P258" s="335">
        <v>1045688.08</v>
      </c>
      <c r="Q258" s="22"/>
      <c r="R258" s="22"/>
      <c r="S258" s="24"/>
      <c r="T258" s="21"/>
    </row>
    <row r="259" spans="1:20" ht="45" hidden="1">
      <c r="A259" s="31">
        <v>256</v>
      </c>
      <c r="B259" s="22" t="s">
        <v>39</v>
      </c>
      <c r="C259" s="22" t="s">
        <v>462</v>
      </c>
      <c r="D259" s="22" t="s">
        <v>489</v>
      </c>
      <c r="E259" s="23" t="s">
        <v>296</v>
      </c>
      <c r="F259" s="22" t="s">
        <v>308</v>
      </c>
      <c r="G259" s="22" t="s">
        <v>298</v>
      </c>
      <c r="H259" s="22" t="s">
        <v>30</v>
      </c>
      <c r="I259" s="22" t="s">
        <v>490</v>
      </c>
      <c r="J259" s="22" t="s">
        <v>308</v>
      </c>
      <c r="K259" s="755" t="s">
        <v>2109</v>
      </c>
      <c r="L259" s="22" t="s">
        <v>465</v>
      </c>
      <c r="M259" s="429">
        <v>2021</v>
      </c>
      <c r="N259" s="780">
        <v>3.710744792847518E-2</v>
      </c>
      <c r="O259" s="335">
        <v>35235683.539573707</v>
      </c>
      <c r="P259" s="335">
        <v>949558256</v>
      </c>
      <c r="Q259" s="22"/>
      <c r="R259" s="22"/>
      <c r="S259" s="24"/>
      <c r="T259" s="21"/>
    </row>
    <row r="260" spans="1:20" ht="45" hidden="1">
      <c r="A260" s="31">
        <v>257</v>
      </c>
      <c r="B260" s="22" t="s">
        <v>39</v>
      </c>
      <c r="C260" s="22" t="s">
        <v>462</v>
      </c>
      <c r="D260" s="22" t="s">
        <v>489</v>
      </c>
      <c r="E260" s="23" t="s">
        <v>296</v>
      </c>
      <c r="F260" s="22" t="s">
        <v>309</v>
      </c>
      <c r="G260" s="22" t="s">
        <v>298</v>
      </c>
      <c r="H260" s="22" t="s">
        <v>30</v>
      </c>
      <c r="I260" s="22" t="s">
        <v>490</v>
      </c>
      <c r="J260" s="22" t="s">
        <v>309</v>
      </c>
      <c r="K260" s="755" t="s">
        <v>2109</v>
      </c>
      <c r="L260" s="22" t="s">
        <v>465</v>
      </c>
      <c r="M260" s="429">
        <v>2021</v>
      </c>
      <c r="N260" s="780">
        <v>2.8870767203790174E-2</v>
      </c>
      <c r="O260" s="335">
        <v>27414475.355412994</v>
      </c>
      <c r="P260" s="335">
        <v>949558256</v>
      </c>
      <c r="Q260" s="22"/>
      <c r="R260" s="22"/>
      <c r="S260" s="24"/>
      <c r="T260" s="21"/>
    </row>
    <row r="261" spans="1:20" ht="60" hidden="1">
      <c r="A261" s="31">
        <v>258</v>
      </c>
      <c r="B261" s="22" t="s">
        <v>39</v>
      </c>
      <c r="C261" s="22" t="s">
        <v>462</v>
      </c>
      <c r="D261" s="22" t="s">
        <v>489</v>
      </c>
      <c r="E261" s="23" t="s">
        <v>296</v>
      </c>
      <c r="F261" s="22" t="s">
        <v>310</v>
      </c>
      <c r="G261" s="22" t="s">
        <v>298</v>
      </c>
      <c r="H261" s="22" t="s">
        <v>30</v>
      </c>
      <c r="I261" s="22" t="s">
        <v>490</v>
      </c>
      <c r="J261" s="22" t="s">
        <v>310</v>
      </c>
      <c r="K261" s="755" t="s">
        <v>2109</v>
      </c>
      <c r="L261" s="22" t="s">
        <v>465</v>
      </c>
      <c r="M261" s="429">
        <v>2021</v>
      </c>
      <c r="N261" s="780">
        <v>3.7848912335220223E-3</v>
      </c>
      <c r="O261" s="335">
        <v>1418645.2185403905</v>
      </c>
      <c r="P261" s="335">
        <v>374817962</v>
      </c>
      <c r="Q261" s="22" t="s">
        <v>304</v>
      </c>
      <c r="R261" s="22" t="s">
        <v>491</v>
      </c>
      <c r="S261" s="24"/>
      <c r="T261" s="21"/>
    </row>
    <row r="262" spans="1:20" ht="45" hidden="1">
      <c r="A262" s="31">
        <v>259</v>
      </c>
      <c r="B262" s="22" t="s">
        <v>39</v>
      </c>
      <c r="C262" s="22" t="s">
        <v>462</v>
      </c>
      <c r="D262" s="22" t="s">
        <v>489</v>
      </c>
      <c r="E262" s="23" t="s">
        <v>296</v>
      </c>
      <c r="F262" s="22" t="s">
        <v>311</v>
      </c>
      <c r="G262" s="22" t="s">
        <v>298</v>
      </c>
      <c r="H262" s="22" t="s">
        <v>30</v>
      </c>
      <c r="I262" s="22" t="s">
        <v>490</v>
      </c>
      <c r="J262" s="22" t="s">
        <v>311</v>
      </c>
      <c r="K262" s="755" t="s">
        <v>2109</v>
      </c>
      <c r="L262" s="22" t="s">
        <v>465</v>
      </c>
      <c r="M262" s="429">
        <v>2021</v>
      </c>
      <c r="N262" s="780">
        <v>2.6187091339891582E-3</v>
      </c>
      <c r="O262" s="335">
        <v>981539.22067260125</v>
      </c>
      <c r="P262" s="335">
        <v>374817962</v>
      </c>
      <c r="Q262" s="22" t="s">
        <v>304</v>
      </c>
      <c r="R262" s="22" t="s">
        <v>491</v>
      </c>
      <c r="S262" s="24"/>
      <c r="T262" s="21"/>
    </row>
    <row r="263" spans="1:20" ht="60" hidden="1">
      <c r="A263" s="31">
        <v>260</v>
      </c>
      <c r="B263" s="22" t="s">
        <v>39</v>
      </c>
      <c r="C263" s="22" t="s">
        <v>492</v>
      </c>
      <c r="D263" s="22" t="s">
        <v>493</v>
      </c>
      <c r="E263" s="23" t="s">
        <v>51</v>
      </c>
      <c r="F263" s="22" t="s">
        <v>52</v>
      </c>
      <c r="G263" s="22" t="s">
        <v>53</v>
      </c>
      <c r="H263" s="22" t="s">
        <v>30</v>
      </c>
      <c r="I263" s="22" t="s">
        <v>494</v>
      </c>
      <c r="J263" s="22" t="s">
        <v>52</v>
      </c>
      <c r="K263" s="755" t="s">
        <v>2109</v>
      </c>
      <c r="L263" s="22" t="s">
        <v>495</v>
      </c>
      <c r="M263" s="429">
        <v>2021</v>
      </c>
      <c r="N263" s="780">
        <v>2.96999992132187</v>
      </c>
      <c r="O263" s="756">
        <v>0</v>
      </c>
      <c r="P263" s="335">
        <v>0</v>
      </c>
      <c r="Q263" s="22" t="s">
        <v>899</v>
      </c>
      <c r="R263" s="22"/>
      <c r="S263" s="24"/>
      <c r="T263" s="21"/>
    </row>
    <row r="264" spans="1:20" ht="60" hidden="1">
      <c r="A264" s="31">
        <v>261</v>
      </c>
      <c r="B264" s="22" t="s">
        <v>39</v>
      </c>
      <c r="C264" s="22" t="s">
        <v>492</v>
      </c>
      <c r="D264" s="22" t="s">
        <v>493</v>
      </c>
      <c r="E264" s="23" t="s">
        <v>51</v>
      </c>
      <c r="F264" s="22" t="s">
        <v>55</v>
      </c>
      <c r="G264" s="22" t="s">
        <v>53</v>
      </c>
      <c r="H264" s="22" t="s">
        <v>30</v>
      </c>
      <c r="I264" s="22" t="s">
        <v>494</v>
      </c>
      <c r="J264" s="22" t="s">
        <v>55</v>
      </c>
      <c r="K264" s="755" t="s">
        <v>2109</v>
      </c>
      <c r="L264" s="22" t="s">
        <v>495</v>
      </c>
      <c r="M264" s="429">
        <v>2021</v>
      </c>
      <c r="N264" s="780">
        <v>1.9305000196695301</v>
      </c>
      <c r="O264" s="756">
        <v>0</v>
      </c>
      <c r="P264" s="335">
        <v>0</v>
      </c>
      <c r="Q264" s="22" t="s">
        <v>899</v>
      </c>
      <c r="R264" s="22"/>
      <c r="S264" s="24"/>
      <c r="T264" s="21"/>
    </row>
    <row r="265" spans="1:20" ht="60" hidden="1">
      <c r="A265" s="31">
        <v>262</v>
      </c>
      <c r="B265" s="22" t="s">
        <v>39</v>
      </c>
      <c r="C265" s="22" t="s">
        <v>492</v>
      </c>
      <c r="D265" s="22" t="s">
        <v>493</v>
      </c>
      <c r="E265" s="23" t="s">
        <v>51</v>
      </c>
      <c r="F265" s="22" t="s">
        <v>56</v>
      </c>
      <c r="G265" s="22" t="s">
        <v>53</v>
      </c>
      <c r="H265" s="22" t="s">
        <v>30</v>
      </c>
      <c r="I265" s="22" t="s">
        <v>494</v>
      </c>
      <c r="J265" s="22" t="s">
        <v>56</v>
      </c>
      <c r="K265" s="755" t="s">
        <v>2109</v>
      </c>
      <c r="L265" s="22" t="s">
        <v>495</v>
      </c>
      <c r="M265" s="429">
        <v>2021</v>
      </c>
      <c r="N265" s="780">
        <v>12751.4696622014</v>
      </c>
      <c r="O265" s="756">
        <v>0</v>
      </c>
      <c r="P265" s="335">
        <v>0</v>
      </c>
      <c r="Q265" s="22" t="s">
        <v>899</v>
      </c>
      <c r="R265" s="22"/>
      <c r="S265" s="24"/>
      <c r="T265" s="21"/>
    </row>
    <row r="266" spans="1:20" ht="60" hidden="1">
      <c r="A266" s="31">
        <v>263</v>
      </c>
      <c r="B266" s="22" t="s">
        <v>39</v>
      </c>
      <c r="C266" s="22" t="s">
        <v>492</v>
      </c>
      <c r="D266" s="22" t="s">
        <v>493</v>
      </c>
      <c r="E266" s="23" t="s">
        <v>51</v>
      </c>
      <c r="F266" s="22" t="s">
        <v>57</v>
      </c>
      <c r="G266" s="22" t="s">
        <v>53</v>
      </c>
      <c r="H266" s="22" t="s">
        <v>30</v>
      </c>
      <c r="I266" s="22" t="s">
        <v>494</v>
      </c>
      <c r="J266" s="22" t="s">
        <v>57</v>
      </c>
      <c r="K266" s="755" t="s">
        <v>2109</v>
      </c>
      <c r="L266" s="22" t="s">
        <v>495</v>
      </c>
      <c r="M266" s="429">
        <v>2021</v>
      </c>
      <c r="N266" s="780">
        <v>8288.4555844496408</v>
      </c>
      <c r="O266" s="756">
        <v>0</v>
      </c>
      <c r="P266" s="335">
        <v>0</v>
      </c>
      <c r="Q266" s="22" t="s">
        <v>899</v>
      </c>
      <c r="R266" s="22"/>
      <c r="S266" s="24"/>
      <c r="T266" s="21"/>
    </row>
    <row r="267" spans="1:20" ht="60" hidden="1">
      <c r="A267" s="31">
        <v>264</v>
      </c>
      <c r="B267" s="22" t="s">
        <v>39</v>
      </c>
      <c r="C267" s="22" t="s">
        <v>492</v>
      </c>
      <c r="D267" s="22" t="s">
        <v>493</v>
      </c>
      <c r="E267" s="23" t="s">
        <v>51</v>
      </c>
      <c r="F267" s="22" t="s">
        <v>58</v>
      </c>
      <c r="G267" s="22" t="s">
        <v>53</v>
      </c>
      <c r="H267" s="22" t="s">
        <v>30</v>
      </c>
      <c r="I267" s="22" t="s">
        <v>494</v>
      </c>
      <c r="J267" s="22" t="s">
        <v>58</v>
      </c>
      <c r="K267" s="755" t="s">
        <v>2109</v>
      </c>
      <c r="L267" s="22" t="s">
        <v>495</v>
      </c>
      <c r="M267" s="429">
        <v>2021</v>
      </c>
      <c r="N267" s="780">
        <v>0</v>
      </c>
      <c r="O267" s="66">
        <v>0</v>
      </c>
      <c r="P267" s="67">
        <v>0</v>
      </c>
      <c r="Q267" s="22" t="s">
        <v>899</v>
      </c>
      <c r="R267" s="22" t="s">
        <v>49</v>
      </c>
      <c r="S267" s="24"/>
      <c r="T267" s="21"/>
    </row>
    <row r="268" spans="1:20" ht="60" hidden="1">
      <c r="A268" s="31">
        <v>265</v>
      </c>
      <c r="B268" s="22" t="s">
        <v>39</v>
      </c>
      <c r="C268" s="22" t="s">
        <v>492</v>
      </c>
      <c r="D268" s="22" t="s">
        <v>493</v>
      </c>
      <c r="E268" s="23" t="s">
        <v>51</v>
      </c>
      <c r="F268" s="22" t="s">
        <v>60</v>
      </c>
      <c r="G268" s="22" t="s">
        <v>53</v>
      </c>
      <c r="H268" s="22" t="s">
        <v>30</v>
      </c>
      <c r="I268" s="22" t="s">
        <v>494</v>
      </c>
      <c r="J268" s="22" t="s">
        <v>60</v>
      </c>
      <c r="K268" s="755" t="s">
        <v>2109</v>
      </c>
      <c r="L268" s="22" t="s">
        <v>495</v>
      </c>
      <c r="M268" s="429">
        <v>2021</v>
      </c>
      <c r="N268" s="780">
        <v>0</v>
      </c>
      <c r="O268" s="66">
        <v>0</v>
      </c>
      <c r="P268" s="67">
        <v>0</v>
      </c>
      <c r="Q268" s="22" t="s">
        <v>899</v>
      </c>
      <c r="R268" s="22" t="s">
        <v>49</v>
      </c>
      <c r="S268" s="24"/>
      <c r="T268" s="21"/>
    </row>
    <row r="269" spans="1:20" ht="60" hidden="1">
      <c r="A269" s="31">
        <v>266</v>
      </c>
      <c r="B269" s="22" t="s">
        <v>39</v>
      </c>
      <c r="C269" s="22" t="s">
        <v>492</v>
      </c>
      <c r="D269" s="22" t="s">
        <v>493</v>
      </c>
      <c r="E269" s="23" t="s">
        <v>51</v>
      </c>
      <c r="F269" s="22" t="s">
        <v>61</v>
      </c>
      <c r="G269" s="22" t="s">
        <v>53</v>
      </c>
      <c r="H269" s="22" t="s">
        <v>30</v>
      </c>
      <c r="I269" s="22" t="s">
        <v>494</v>
      </c>
      <c r="J269" s="22" t="s">
        <v>61</v>
      </c>
      <c r="K269" s="755" t="s">
        <v>2109</v>
      </c>
      <c r="L269" s="22" t="s">
        <v>495</v>
      </c>
      <c r="M269" s="429">
        <v>2021</v>
      </c>
      <c r="N269" s="780">
        <v>8.9099997639655992</v>
      </c>
      <c r="O269" s="756">
        <v>0</v>
      </c>
      <c r="P269" s="335">
        <v>0</v>
      </c>
      <c r="Q269" s="22" t="s">
        <v>899</v>
      </c>
      <c r="R269" s="22"/>
      <c r="S269" s="24"/>
      <c r="T269" s="21"/>
    </row>
    <row r="270" spans="1:20" ht="60" hidden="1">
      <c r="A270" s="31">
        <v>267</v>
      </c>
      <c r="B270" s="22" t="s">
        <v>39</v>
      </c>
      <c r="C270" s="22" t="s">
        <v>492</v>
      </c>
      <c r="D270" s="22" t="s">
        <v>493</v>
      </c>
      <c r="E270" s="23" t="s">
        <v>51</v>
      </c>
      <c r="F270" s="22" t="s">
        <v>62</v>
      </c>
      <c r="G270" s="22" t="s">
        <v>53</v>
      </c>
      <c r="H270" s="22" t="s">
        <v>30</v>
      </c>
      <c r="I270" s="22" t="s">
        <v>494</v>
      </c>
      <c r="J270" s="22" t="s">
        <v>62</v>
      </c>
      <c r="K270" s="755" t="s">
        <v>2109</v>
      </c>
      <c r="L270" s="22" t="s">
        <v>495</v>
      </c>
      <c r="M270" s="429">
        <v>2021</v>
      </c>
      <c r="N270" s="780">
        <v>5.7915000590085901</v>
      </c>
      <c r="O270" s="756">
        <v>0</v>
      </c>
      <c r="P270" s="335">
        <v>0</v>
      </c>
      <c r="Q270" s="22" t="s">
        <v>899</v>
      </c>
      <c r="R270" s="22"/>
      <c r="S270" s="24"/>
      <c r="T270" s="21"/>
    </row>
    <row r="271" spans="1:20" ht="60" hidden="1">
      <c r="A271" s="31">
        <v>268</v>
      </c>
      <c r="B271" s="22" t="s">
        <v>39</v>
      </c>
      <c r="C271" s="22" t="s">
        <v>492</v>
      </c>
      <c r="D271" s="22" t="s">
        <v>493</v>
      </c>
      <c r="E271" s="23" t="s">
        <v>51</v>
      </c>
      <c r="F271" s="22" t="s">
        <v>63</v>
      </c>
      <c r="G271" s="22" t="s">
        <v>53</v>
      </c>
      <c r="H271" s="22" t="s">
        <v>30</v>
      </c>
      <c r="I271" s="22" t="s">
        <v>494</v>
      </c>
      <c r="J271" s="22" t="s">
        <v>63</v>
      </c>
      <c r="K271" s="755" t="s">
        <v>2109</v>
      </c>
      <c r="L271" s="22" t="s">
        <v>495</v>
      </c>
      <c r="M271" s="429">
        <v>2021</v>
      </c>
      <c r="N271" s="780">
        <v>38254.408986604198</v>
      </c>
      <c r="O271" s="756">
        <v>0</v>
      </c>
      <c r="P271" s="335">
        <v>0</v>
      </c>
      <c r="Q271" s="22" t="s">
        <v>899</v>
      </c>
      <c r="R271" s="22"/>
      <c r="S271" s="24"/>
      <c r="T271" s="21"/>
    </row>
    <row r="272" spans="1:20" ht="60" hidden="1">
      <c r="A272" s="31">
        <v>269</v>
      </c>
      <c r="B272" s="22" t="s">
        <v>39</v>
      </c>
      <c r="C272" s="22" t="s">
        <v>492</v>
      </c>
      <c r="D272" s="22" t="s">
        <v>493</v>
      </c>
      <c r="E272" s="23" t="s">
        <v>51</v>
      </c>
      <c r="F272" s="22" t="s">
        <v>64</v>
      </c>
      <c r="G272" s="22" t="s">
        <v>53</v>
      </c>
      <c r="H272" s="22" t="s">
        <v>30</v>
      </c>
      <c r="I272" s="22" t="s">
        <v>494</v>
      </c>
      <c r="J272" s="22" t="s">
        <v>64</v>
      </c>
      <c r="K272" s="755" t="s">
        <v>2109</v>
      </c>
      <c r="L272" s="22" t="s">
        <v>495</v>
      </c>
      <c r="M272" s="429">
        <v>2021</v>
      </c>
      <c r="N272" s="780">
        <v>24865.366753348899</v>
      </c>
      <c r="O272" s="756">
        <v>0</v>
      </c>
      <c r="P272" s="335">
        <v>0</v>
      </c>
      <c r="Q272" s="22" t="s">
        <v>899</v>
      </c>
      <c r="R272" s="22"/>
      <c r="S272" s="24"/>
      <c r="T272" s="21"/>
    </row>
    <row r="273" spans="1:20" ht="60" hidden="1">
      <c r="A273" s="31">
        <v>270</v>
      </c>
      <c r="B273" s="22" t="s">
        <v>39</v>
      </c>
      <c r="C273" s="22" t="s">
        <v>492</v>
      </c>
      <c r="D273" s="22" t="s">
        <v>493</v>
      </c>
      <c r="E273" s="23" t="s">
        <v>51</v>
      </c>
      <c r="F273" s="22" t="s">
        <v>65</v>
      </c>
      <c r="G273" s="22" t="s">
        <v>53</v>
      </c>
      <c r="H273" s="22" t="s">
        <v>30</v>
      </c>
      <c r="I273" s="22" t="s">
        <v>494</v>
      </c>
      <c r="J273" s="22" t="s">
        <v>65</v>
      </c>
      <c r="K273" s="755" t="s">
        <v>2109</v>
      </c>
      <c r="L273" s="22" t="s">
        <v>495</v>
      </c>
      <c r="M273" s="429">
        <v>2021</v>
      </c>
      <c r="N273" s="780">
        <v>0</v>
      </c>
      <c r="O273" s="66">
        <v>0</v>
      </c>
      <c r="P273" s="67">
        <v>0</v>
      </c>
      <c r="Q273" s="22" t="s">
        <v>899</v>
      </c>
      <c r="R273" s="22" t="s">
        <v>49</v>
      </c>
      <c r="S273" s="24"/>
      <c r="T273" s="21"/>
    </row>
    <row r="274" spans="1:20" ht="60" hidden="1">
      <c r="A274" s="31">
        <v>271</v>
      </c>
      <c r="B274" s="22" t="s">
        <v>39</v>
      </c>
      <c r="C274" s="22" t="s">
        <v>492</v>
      </c>
      <c r="D274" s="22" t="s">
        <v>493</v>
      </c>
      <c r="E274" s="23" t="s">
        <v>51</v>
      </c>
      <c r="F274" s="22" t="s">
        <v>66</v>
      </c>
      <c r="G274" s="22" t="s">
        <v>53</v>
      </c>
      <c r="H274" s="22" t="s">
        <v>30</v>
      </c>
      <c r="I274" s="22" t="s">
        <v>494</v>
      </c>
      <c r="J274" s="22" t="s">
        <v>66</v>
      </c>
      <c r="K274" s="755" t="s">
        <v>2109</v>
      </c>
      <c r="L274" s="22" t="s">
        <v>495</v>
      </c>
      <c r="M274" s="429">
        <v>2021</v>
      </c>
      <c r="N274" s="780">
        <v>0</v>
      </c>
      <c r="O274" s="66">
        <v>0</v>
      </c>
      <c r="P274" s="67">
        <v>0</v>
      </c>
      <c r="Q274" s="22" t="s">
        <v>899</v>
      </c>
      <c r="R274" s="22" t="s">
        <v>49</v>
      </c>
      <c r="S274" s="24"/>
      <c r="T274" s="21"/>
    </row>
    <row r="275" spans="1:20" ht="30" hidden="1">
      <c r="A275" s="31">
        <v>272</v>
      </c>
      <c r="B275" s="22" t="s">
        <v>39</v>
      </c>
      <c r="C275" s="22" t="s">
        <v>492</v>
      </c>
      <c r="D275" s="22" t="s">
        <v>496</v>
      </c>
      <c r="E275" s="23" t="s">
        <v>42</v>
      </c>
      <c r="F275" s="22" t="s">
        <v>43</v>
      </c>
      <c r="G275" s="22" t="s">
        <v>44</v>
      </c>
      <c r="H275" s="22" t="s">
        <v>30</v>
      </c>
      <c r="I275" s="22" t="s">
        <v>497</v>
      </c>
      <c r="J275" s="22" t="s">
        <v>46</v>
      </c>
      <c r="K275" s="755" t="s">
        <v>2107</v>
      </c>
      <c r="L275" s="22" t="s">
        <v>495</v>
      </c>
      <c r="M275" s="429">
        <v>2021</v>
      </c>
      <c r="N275" s="780">
        <v>1.8062420433562247</v>
      </c>
      <c r="O275" s="66">
        <v>0</v>
      </c>
      <c r="P275" s="67">
        <v>0</v>
      </c>
      <c r="Q275" s="22" t="s">
        <v>48</v>
      </c>
      <c r="R275" s="22"/>
      <c r="S275" s="24"/>
      <c r="T275" s="21"/>
    </row>
    <row r="276" spans="1:20" ht="150" hidden="1">
      <c r="A276" s="31">
        <v>273</v>
      </c>
      <c r="B276" s="22" t="s">
        <v>39</v>
      </c>
      <c r="C276" s="22" t="s">
        <v>492</v>
      </c>
      <c r="D276" s="22" t="s">
        <v>498</v>
      </c>
      <c r="E276" s="23" t="s">
        <v>499</v>
      </c>
      <c r="F276" s="22" t="s">
        <v>142</v>
      </c>
      <c r="G276" s="22" t="s">
        <v>143</v>
      </c>
      <c r="H276" s="22" t="s">
        <v>30</v>
      </c>
      <c r="I276" s="22" t="s">
        <v>500</v>
      </c>
      <c r="J276" s="22" t="s">
        <v>327</v>
      </c>
      <c r="K276" s="757" t="s">
        <v>2113</v>
      </c>
      <c r="L276" s="22" t="s">
        <v>495</v>
      </c>
      <c r="M276" s="429">
        <v>2021</v>
      </c>
      <c r="N276" s="780">
        <v>1.2500000000000001E-2</v>
      </c>
      <c r="O276" s="335">
        <v>1</v>
      </c>
      <c r="P276" s="335">
        <v>80</v>
      </c>
      <c r="Q276" s="22" t="s">
        <v>502</v>
      </c>
      <c r="R276" s="22" t="s">
        <v>246</v>
      </c>
      <c r="S276" s="24"/>
      <c r="T276" s="21"/>
    </row>
    <row r="277" spans="1:20" ht="150" hidden="1">
      <c r="A277" s="31">
        <v>274</v>
      </c>
      <c r="B277" s="22" t="s">
        <v>39</v>
      </c>
      <c r="C277" s="22" t="s">
        <v>492</v>
      </c>
      <c r="D277" s="22" t="s">
        <v>498</v>
      </c>
      <c r="E277" s="23" t="s">
        <v>499</v>
      </c>
      <c r="F277" s="22" t="s">
        <v>142</v>
      </c>
      <c r="G277" s="22" t="s">
        <v>143</v>
      </c>
      <c r="H277" s="22" t="s">
        <v>30</v>
      </c>
      <c r="I277" s="22" t="s">
        <v>503</v>
      </c>
      <c r="J277" s="22" t="s">
        <v>330</v>
      </c>
      <c r="K277" s="757" t="s">
        <v>2113</v>
      </c>
      <c r="L277" s="22" t="s">
        <v>495</v>
      </c>
      <c r="M277" s="429">
        <v>2021</v>
      </c>
      <c r="N277" s="780">
        <v>0</v>
      </c>
      <c r="O277" s="335">
        <v>0</v>
      </c>
      <c r="P277" s="335">
        <v>796</v>
      </c>
      <c r="Q277" s="22" t="s">
        <v>502</v>
      </c>
      <c r="R277" s="22" t="s">
        <v>246</v>
      </c>
      <c r="S277" s="24"/>
      <c r="T277" s="21"/>
    </row>
    <row r="278" spans="1:20" ht="150" hidden="1">
      <c r="A278" s="31">
        <v>275</v>
      </c>
      <c r="B278" s="22" t="s">
        <v>39</v>
      </c>
      <c r="C278" s="22" t="s">
        <v>492</v>
      </c>
      <c r="D278" s="22" t="s">
        <v>498</v>
      </c>
      <c r="E278" s="23" t="s">
        <v>499</v>
      </c>
      <c r="F278" s="22" t="s">
        <v>142</v>
      </c>
      <c r="G278" s="22" t="s">
        <v>143</v>
      </c>
      <c r="H278" s="22" t="s">
        <v>30</v>
      </c>
      <c r="I278" s="22" t="s">
        <v>505</v>
      </c>
      <c r="J278" s="22" t="s">
        <v>333</v>
      </c>
      <c r="K278" s="757" t="s">
        <v>2113</v>
      </c>
      <c r="L278" s="22" t="s">
        <v>495</v>
      </c>
      <c r="M278" s="429">
        <v>2021</v>
      </c>
      <c r="N278" s="780">
        <v>0</v>
      </c>
      <c r="O278" s="335">
        <v>0</v>
      </c>
      <c r="P278" s="335">
        <v>2460</v>
      </c>
      <c r="Q278" s="22" t="s">
        <v>502</v>
      </c>
      <c r="R278" s="22" t="s">
        <v>246</v>
      </c>
      <c r="S278" s="24"/>
      <c r="T278" s="21"/>
    </row>
    <row r="279" spans="1:20" ht="30" hidden="1">
      <c r="A279" s="31">
        <v>276</v>
      </c>
      <c r="B279" s="22" t="s">
        <v>39</v>
      </c>
      <c r="C279" s="22" t="s">
        <v>492</v>
      </c>
      <c r="D279" s="22" t="s">
        <v>507</v>
      </c>
      <c r="E279" s="23" t="s">
        <v>91</v>
      </c>
      <c r="F279" s="22" t="s">
        <v>92</v>
      </c>
      <c r="G279" s="22" t="s">
        <v>93</v>
      </c>
      <c r="H279" s="22" t="s">
        <v>30</v>
      </c>
      <c r="I279" s="22" t="s">
        <v>508</v>
      </c>
      <c r="J279" s="22" t="s">
        <v>92</v>
      </c>
      <c r="K279" s="755" t="s">
        <v>2112</v>
      </c>
      <c r="L279" s="22" t="s">
        <v>495</v>
      </c>
      <c r="M279" s="429">
        <v>2021</v>
      </c>
      <c r="N279" s="780">
        <v>14177.448866483524</v>
      </c>
      <c r="O279" s="335">
        <v>82108.695946830601</v>
      </c>
      <c r="P279" s="335">
        <v>5.7915000590085901</v>
      </c>
      <c r="Q279" s="22"/>
      <c r="R279" s="22"/>
      <c r="S279" s="24"/>
      <c r="T279" s="21"/>
    </row>
    <row r="280" spans="1:20" ht="30" hidden="1">
      <c r="A280" s="31">
        <v>277</v>
      </c>
      <c r="B280" s="22" t="s">
        <v>39</v>
      </c>
      <c r="C280" s="22" t="s">
        <v>492</v>
      </c>
      <c r="D280" s="22" t="s">
        <v>507</v>
      </c>
      <c r="E280" s="23" t="s">
        <v>91</v>
      </c>
      <c r="F280" s="22" t="s">
        <v>95</v>
      </c>
      <c r="G280" s="22" t="s">
        <v>93</v>
      </c>
      <c r="H280" s="22" t="s">
        <v>30</v>
      </c>
      <c r="I280" s="22" t="s">
        <v>508</v>
      </c>
      <c r="J280" s="22" t="s">
        <v>95</v>
      </c>
      <c r="K280" s="755" t="s">
        <v>2112</v>
      </c>
      <c r="L280" s="22" t="s">
        <v>495</v>
      </c>
      <c r="M280" s="429">
        <v>2021</v>
      </c>
      <c r="N280" s="780">
        <v>3.3021309020415757</v>
      </c>
      <c r="O280" s="335">
        <v>82108.695946830601</v>
      </c>
      <c r="P280" s="335">
        <v>24865.366753348899</v>
      </c>
      <c r="Q280" s="22"/>
      <c r="R280" s="22"/>
      <c r="S280" s="24"/>
      <c r="T280" s="21"/>
    </row>
    <row r="281" spans="1:20" ht="30" hidden="1">
      <c r="A281" s="31">
        <v>278</v>
      </c>
      <c r="B281" s="22" t="s">
        <v>39</v>
      </c>
      <c r="C281" s="22" t="s">
        <v>492</v>
      </c>
      <c r="D281" s="22" t="s">
        <v>507</v>
      </c>
      <c r="E281" s="23" t="s">
        <v>91</v>
      </c>
      <c r="F281" s="22" t="s">
        <v>96</v>
      </c>
      <c r="G281" s="22" t="s">
        <v>93</v>
      </c>
      <c r="H281" s="22" t="s">
        <v>30</v>
      </c>
      <c r="I281" s="22" t="s">
        <v>508</v>
      </c>
      <c r="J281" s="22" t="s">
        <v>96</v>
      </c>
      <c r="K281" s="755" t="s">
        <v>2112</v>
      </c>
      <c r="L281" s="22" t="s">
        <v>495</v>
      </c>
      <c r="M281" s="429"/>
      <c r="N281" s="780">
        <v>0</v>
      </c>
      <c r="O281" s="335">
        <v>0</v>
      </c>
      <c r="P281" s="335">
        <v>0</v>
      </c>
      <c r="Q281" s="22" t="s">
        <v>48</v>
      </c>
      <c r="R281" s="22" t="s">
        <v>49</v>
      </c>
      <c r="S281" s="24"/>
      <c r="T281" s="21"/>
    </row>
    <row r="282" spans="1:20" ht="30" hidden="1">
      <c r="A282" s="31">
        <v>279</v>
      </c>
      <c r="B282" s="22" t="s">
        <v>39</v>
      </c>
      <c r="C282" s="22" t="s">
        <v>492</v>
      </c>
      <c r="D282" s="22" t="s">
        <v>507</v>
      </c>
      <c r="E282" s="23" t="s">
        <v>91</v>
      </c>
      <c r="F282" s="22" t="s">
        <v>97</v>
      </c>
      <c r="G282" s="22" t="s">
        <v>93</v>
      </c>
      <c r="H282" s="22" t="s">
        <v>30</v>
      </c>
      <c r="I282" s="22" t="s">
        <v>508</v>
      </c>
      <c r="J282" s="22" t="s">
        <v>97</v>
      </c>
      <c r="K282" s="755" t="s">
        <v>2112</v>
      </c>
      <c r="L282" s="22" t="s">
        <v>495</v>
      </c>
      <c r="M282" s="429">
        <v>2021</v>
      </c>
      <c r="N282" s="780">
        <v>16419.62890544207</v>
      </c>
      <c r="O282" s="335">
        <v>95094.281774766903</v>
      </c>
      <c r="P282" s="335">
        <v>5.7915000590085901</v>
      </c>
      <c r="Q282" s="22"/>
      <c r="R282" s="22"/>
      <c r="S282" s="24"/>
      <c r="T282" s="21"/>
    </row>
    <row r="283" spans="1:20" ht="30" hidden="1">
      <c r="A283" s="31">
        <v>280</v>
      </c>
      <c r="B283" s="22" t="s">
        <v>39</v>
      </c>
      <c r="C283" s="22" t="s">
        <v>492</v>
      </c>
      <c r="D283" s="22" t="s">
        <v>507</v>
      </c>
      <c r="E283" s="23" t="s">
        <v>91</v>
      </c>
      <c r="F283" s="22" t="s">
        <v>98</v>
      </c>
      <c r="G283" s="22" t="s">
        <v>93</v>
      </c>
      <c r="H283" s="22" t="s">
        <v>30</v>
      </c>
      <c r="I283" s="22" t="s">
        <v>508</v>
      </c>
      <c r="J283" s="22" t="s">
        <v>98</v>
      </c>
      <c r="K283" s="755" t="s">
        <v>2112</v>
      </c>
      <c r="L283" s="22" t="s">
        <v>495</v>
      </c>
      <c r="M283" s="429">
        <v>2021</v>
      </c>
      <c r="N283" s="780">
        <v>3.8243667474544485</v>
      </c>
      <c r="O283" s="335">
        <v>95094.281774766903</v>
      </c>
      <c r="P283" s="335">
        <v>24865.366753348899</v>
      </c>
      <c r="Q283" s="22"/>
      <c r="R283" s="22"/>
      <c r="S283" s="24"/>
      <c r="T283" s="21"/>
    </row>
    <row r="284" spans="1:20" ht="30" hidden="1">
      <c r="A284" s="31">
        <v>281</v>
      </c>
      <c r="B284" s="22" t="s">
        <v>39</v>
      </c>
      <c r="C284" s="22" t="s">
        <v>492</v>
      </c>
      <c r="D284" s="22" t="s">
        <v>507</v>
      </c>
      <c r="E284" s="23" t="s">
        <v>91</v>
      </c>
      <c r="F284" s="22" t="s">
        <v>99</v>
      </c>
      <c r="G284" s="22" t="s">
        <v>93</v>
      </c>
      <c r="H284" s="22" t="s">
        <v>30</v>
      </c>
      <c r="I284" s="22" t="s">
        <v>508</v>
      </c>
      <c r="J284" s="22" t="s">
        <v>99</v>
      </c>
      <c r="K284" s="755" t="s">
        <v>2112</v>
      </c>
      <c r="L284" s="22" t="s">
        <v>495</v>
      </c>
      <c r="M284" s="429"/>
      <c r="N284" s="780">
        <v>0</v>
      </c>
      <c r="O284" s="335">
        <v>0</v>
      </c>
      <c r="P284" s="335">
        <v>0</v>
      </c>
      <c r="Q284" s="22" t="s">
        <v>48</v>
      </c>
      <c r="R284" s="22" t="s">
        <v>49</v>
      </c>
      <c r="S284" s="24"/>
      <c r="T284" s="21"/>
    </row>
    <row r="285" spans="1:20" s="13" customFormat="1" ht="105" hidden="1">
      <c r="A285" s="31">
        <v>282</v>
      </c>
      <c r="B285" s="22" t="s">
        <v>39</v>
      </c>
      <c r="C285" s="22" t="s">
        <v>509</v>
      </c>
      <c r="D285" s="22" t="s">
        <v>510</v>
      </c>
      <c r="E285" s="23" t="s">
        <v>51</v>
      </c>
      <c r="F285" s="22" t="s">
        <v>511</v>
      </c>
      <c r="G285" s="22" t="s">
        <v>53</v>
      </c>
      <c r="H285" s="22" t="s">
        <v>30</v>
      </c>
      <c r="I285" s="22" t="s">
        <v>512</v>
      </c>
      <c r="J285" s="22" t="s">
        <v>513</v>
      </c>
      <c r="K285" s="755" t="s">
        <v>1385</v>
      </c>
      <c r="L285" s="22" t="s">
        <v>514</v>
      </c>
      <c r="M285" s="429">
        <v>2021</v>
      </c>
      <c r="N285" s="780">
        <v>2890.5791851996769</v>
      </c>
      <c r="O285" s="756">
        <v>0</v>
      </c>
      <c r="P285" s="335">
        <v>0</v>
      </c>
      <c r="Q285" s="429" t="s">
        <v>515</v>
      </c>
      <c r="R285" s="22" t="s">
        <v>516</v>
      </c>
      <c r="S285" s="24" t="e">
        <v>#NAME?</v>
      </c>
      <c r="T285" s="21"/>
    </row>
    <row r="286" spans="1:20" s="13" customFormat="1" ht="105" hidden="1">
      <c r="A286" s="31">
        <v>283</v>
      </c>
      <c r="B286" s="22" t="s">
        <v>39</v>
      </c>
      <c r="C286" s="22" t="s">
        <v>509</v>
      </c>
      <c r="D286" s="22" t="s">
        <v>510</v>
      </c>
      <c r="E286" s="23" t="s">
        <v>51</v>
      </c>
      <c r="F286" s="22" t="s">
        <v>517</v>
      </c>
      <c r="G286" s="22" t="s">
        <v>53</v>
      </c>
      <c r="H286" s="22" t="s">
        <v>30</v>
      </c>
      <c r="I286" s="22" t="s">
        <v>512</v>
      </c>
      <c r="J286" s="22" t="s">
        <v>518</v>
      </c>
      <c r="K286" s="755" t="s">
        <v>1385</v>
      </c>
      <c r="L286" s="22" t="s">
        <v>514</v>
      </c>
      <c r="M286" s="429">
        <v>2021</v>
      </c>
      <c r="N286" s="780">
        <v>42</v>
      </c>
      <c r="O286" s="66">
        <v>0</v>
      </c>
      <c r="P286" s="67">
        <v>0</v>
      </c>
      <c r="Q286" s="429" t="s">
        <v>515</v>
      </c>
      <c r="R286" s="22" t="s">
        <v>519</v>
      </c>
      <c r="S286" s="24"/>
      <c r="T286" s="21"/>
    </row>
    <row r="287" spans="1:20" s="13" customFormat="1" ht="105" hidden="1">
      <c r="A287" s="31">
        <v>284</v>
      </c>
      <c r="B287" s="22" t="s">
        <v>39</v>
      </c>
      <c r="C287" s="22" t="s">
        <v>509</v>
      </c>
      <c r="D287" s="22" t="s">
        <v>510</v>
      </c>
      <c r="E287" s="23" t="s">
        <v>51</v>
      </c>
      <c r="F287" s="22" t="s">
        <v>520</v>
      </c>
      <c r="G287" s="22" t="s">
        <v>53</v>
      </c>
      <c r="H287" s="22" t="s">
        <v>30</v>
      </c>
      <c r="I287" s="22" t="s">
        <v>512</v>
      </c>
      <c r="J287" s="22" t="s">
        <v>521</v>
      </c>
      <c r="K287" s="755" t="s">
        <v>1385</v>
      </c>
      <c r="L287" s="22" t="s">
        <v>514</v>
      </c>
      <c r="M287" s="429">
        <v>2021</v>
      </c>
      <c r="N287" s="780">
        <v>493</v>
      </c>
      <c r="O287" s="756">
        <v>0</v>
      </c>
      <c r="P287" s="335">
        <v>0</v>
      </c>
      <c r="Q287" s="429" t="s">
        <v>515</v>
      </c>
      <c r="R287" s="22" t="s">
        <v>516</v>
      </c>
      <c r="S287" s="24"/>
      <c r="T287" s="21"/>
    </row>
    <row r="288" spans="1:20" s="13" customFormat="1" ht="45" hidden="1">
      <c r="A288" s="31">
        <v>285</v>
      </c>
      <c r="B288" s="22" t="s">
        <v>39</v>
      </c>
      <c r="C288" s="22" t="s">
        <v>509</v>
      </c>
      <c r="D288" s="22" t="s">
        <v>522</v>
      </c>
      <c r="E288" s="23">
        <v>1</v>
      </c>
      <c r="F288" s="22" t="s">
        <v>523</v>
      </c>
      <c r="G288" s="22" t="s">
        <v>524</v>
      </c>
      <c r="H288" s="22" t="s">
        <v>30</v>
      </c>
      <c r="I288" s="22" t="s">
        <v>525</v>
      </c>
      <c r="J288" s="22" t="s">
        <v>525</v>
      </c>
      <c r="K288" s="757" t="s">
        <v>1385</v>
      </c>
      <c r="L288" s="22" t="s">
        <v>514</v>
      </c>
      <c r="M288" s="429">
        <v>2021</v>
      </c>
      <c r="N288" s="780">
        <v>91</v>
      </c>
      <c r="O288" s="66">
        <v>0</v>
      </c>
      <c r="P288" s="67">
        <v>0</v>
      </c>
      <c r="Q288" s="429" t="s">
        <v>526</v>
      </c>
      <c r="R288" s="22" t="s">
        <v>527</v>
      </c>
      <c r="S288" s="24"/>
      <c r="T288" s="21"/>
    </row>
    <row r="289" spans="1:20" s="13" customFormat="1" ht="45" hidden="1">
      <c r="A289" s="31">
        <v>286</v>
      </c>
      <c r="B289" s="22" t="s">
        <v>39</v>
      </c>
      <c r="C289" s="22" t="s">
        <v>509</v>
      </c>
      <c r="D289" s="22" t="s">
        <v>522</v>
      </c>
      <c r="E289" s="23">
        <v>2</v>
      </c>
      <c r="F289" s="22" t="s">
        <v>523</v>
      </c>
      <c r="G289" s="22" t="s">
        <v>524</v>
      </c>
      <c r="H289" s="22" t="s">
        <v>30</v>
      </c>
      <c r="I289" s="22" t="s">
        <v>528</v>
      </c>
      <c r="J289" s="22" t="s">
        <v>528</v>
      </c>
      <c r="K289" s="757" t="s">
        <v>1385</v>
      </c>
      <c r="L289" s="22" t="s">
        <v>514</v>
      </c>
      <c r="M289" s="429">
        <v>2021</v>
      </c>
      <c r="N289" s="780">
        <v>66</v>
      </c>
      <c r="O289" s="66">
        <v>0</v>
      </c>
      <c r="P289" s="67">
        <v>0</v>
      </c>
      <c r="Q289" s="429" t="s">
        <v>529</v>
      </c>
      <c r="R289" s="22" t="s">
        <v>527</v>
      </c>
      <c r="S289" s="24"/>
      <c r="T289" s="21"/>
    </row>
    <row r="290" spans="1:20" s="13" customFormat="1" ht="75" hidden="1">
      <c r="A290" s="31">
        <v>287</v>
      </c>
      <c r="B290" s="22" t="s">
        <v>39</v>
      </c>
      <c r="C290" s="22" t="s">
        <v>509</v>
      </c>
      <c r="D290" s="22" t="s">
        <v>530</v>
      </c>
      <c r="E290" s="23">
        <v>1</v>
      </c>
      <c r="F290" s="22" t="s">
        <v>523</v>
      </c>
      <c r="G290" s="22" t="s">
        <v>531</v>
      </c>
      <c r="H290" s="22" t="s">
        <v>30</v>
      </c>
      <c r="I290" s="22" t="s">
        <v>532</v>
      </c>
      <c r="J290" s="22" t="s">
        <v>532</v>
      </c>
      <c r="K290" s="757" t="s">
        <v>1385</v>
      </c>
      <c r="L290" s="22" t="s">
        <v>514</v>
      </c>
      <c r="M290" s="429">
        <v>2021</v>
      </c>
      <c r="N290" s="780">
        <v>0</v>
      </c>
      <c r="O290" s="66">
        <v>0</v>
      </c>
      <c r="P290" s="67">
        <v>0</v>
      </c>
      <c r="Q290" s="429" t="s">
        <v>533</v>
      </c>
      <c r="R290" s="22" t="s">
        <v>534</v>
      </c>
      <c r="S290" s="24"/>
      <c r="T290" s="21"/>
    </row>
    <row r="291" spans="1:20" ht="45" hidden="1">
      <c r="A291" s="31">
        <v>288</v>
      </c>
      <c r="B291" s="22" t="s">
        <v>39</v>
      </c>
      <c r="C291" s="22" t="s">
        <v>509</v>
      </c>
      <c r="D291" s="22" t="s">
        <v>530</v>
      </c>
      <c r="E291" s="23">
        <v>2</v>
      </c>
      <c r="F291" s="22" t="s">
        <v>523</v>
      </c>
      <c r="G291" s="22" t="s">
        <v>531</v>
      </c>
      <c r="H291" s="22" t="s">
        <v>30</v>
      </c>
      <c r="I291" s="22" t="s">
        <v>535</v>
      </c>
      <c r="J291" s="22" t="s">
        <v>535</v>
      </c>
      <c r="K291" s="757" t="s">
        <v>1385</v>
      </c>
      <c r="L291" s="22" t="s">
        <v>514</v>
      </c>
      <c r="M291" s="429">
        <v>2021</v>
      </c>
      <c r="N291" s="780">
        <v>0</v>
      </c>
      <c r="O291" s="66">
        <v>0</v>
      </c>
      <c r="P291" s="67">
        <v>0</v>
      </c>
      <c r="Q291" s="429" t="s">
        <v>529</v>
      </c>
      <c r="R291" s="22" t="s">
        <v>536</v>
      </c>
      <c r="S291" s="24"/>
      <c r="T291" s="21"/>
    </row>
    <row r="292" spans="1:20" ht="60" hidden="1">
      <c r="A292" s="31">
        <v>289</v>
      </c>
      <c r="B292" s="22" t="s">
        <v>39</v>
      </c>
      <c r="C292" s="22" t="s">
        <v>509</v>
      </c>
      <c r="D292" s="22" t="s">
        <v>537</v>
      </c>
      <c r="E292" s="23">
        <v>1</v>
      </c>
      <c r="F292" s="22" t="s">
        <v>523</v>
      </c>
      <c r="G292" s="22" t="s">
        <v>538</v>
      </c>
      <c r="H292" s="22" t="s">
        <v>30</v>
      </c>
      <c r="I292" s="22" t="s">
        <v>539</v>
      </c>
      <c r="J292" s="22" t="s">
        <v>539</v>
      </c>
      <c r="K292" s="757" t="s">
        <v>1385</v>
      </c>
      <c r="L292" s="22" t="s">
        <v>514</v>
      </c>
      <c r="M292" s="429">
        <v>2021</v>
      </c>
      <c r="N292" s="780">
        <v>15</v>
      </c>
      <c r="O292" s="66">
        <v>0</v>
      </c>
      <c r="P292" s="67">
        <v>0</v>
      </c>
      <c r="Q292" s="429" t="s">
        <v>540</v>
      </c>
      <c r="R292" s="22" t="s">
        <v>541</v>
      </c>
      <c r="S292" s="24"/>
      <c r="T292" s="21"/>
    </row>
    <row r="293" spans="1:20" ht="60" hidden="1">
      <c r="A293" s="31">
        <v>290</v>
      </c>
      <c r="B293" s="22" t="s">
        <v>39</v>
      </c>
      <c r="C293" s="22" t="s">
        <v>509</v>
      </c>
      <c r="D293" s="22" t="s">
        <v>537</v>
      </c>
      <c r="E293" s="23">
        <v>2</v>
      </c>
      <c r="F293" s="22" t="s">
        <v>523</v>
      </c>
      <c r="G293" s="22" t="s">
        <v>538</v>
      </c>
      <c r="H293" s="22" t="s">
        <v>30</v>
      </c>
      <c r="I293" s="22" t="s">
        <v>542</v>
      </c>
      <c r="J293" s="22" t="s">
        <v>542</v>
      </c>
      <c r="K293" s="757" t="s">
        <v>1385</v>
      </c>
      <c r="L293" s="22" t="s">
        <v>514</v>
      </c>
      <c r="M293" s="429">
        <v>2021</v>
      </c>
      <c r="N293" s="780">
        <v>1</v>
      </c>
      <c r="O293" s="66">
        <v>0</v>
      </c>
      <c r="P293" s="67">
        <v>0</v>
      </c>
      <c r="Q293" s="429" t="s">
        <v>543</v>
      </c>
      <c r="R293" s="22" t="s">
        <v>544</v>
      </c>
      <c r="S293" s="24"/>
      <c r="T293" s="21"/>
    </row>
    <row r="294" spans="1:20" ht="135" hidden="1">
      <c r="A294" s="31">
        <v>291</v>
      </c>
      <c r="B294" s="22" t="s">
        <v>39</v>
      </c>
      <c r="C294" s="22" t="s">
        <v>509</v>
      </c>
      <c r="D294" s="22" t="s">
        <v>545</v>
      </c>
      <c r="E294" s="23">
        <v>1</v>
      </c>
      <c r="F294" s="22" t="s">
        <v>523</v>
      </c>
      <c r="G294" s="22" t="s">
        <v>546</v>
      </c>
      <c r="H294" s="22" t="s">
        <v>30</v>
      </c>
      <c r="I294" s="22" t="s">
        <v>547</v>
      </c>
      <c r="J294" s="22" t="s">
        <v>547</v>
      </c>
      <c r="K294" s="757" t="s">
        <v>1385</v>
      </c>
      <c r="L294" s="22" t="s">
        <v>514</v>
      </c>
      <c r="M294" s="429">
        <v>2021</v>
      </c>
      <c r="N294" s="780">
        <v>24</v>
      </c>
      <c r="O294" s="66">
        <v>0</v>
      </c>
      <c r="P294" s="67">
        <v>0</v>
      </c>
      <c r="Q294" s="429" t="s">
        <v>548</v>
      </c>
      <c r="R294" s="22" t="s">
        <v>549</v>
      </c>
      <c r="S294" s="24"/>
      <c r="T294" s="21"/>
    </row>
    <row r="295" spans="1:20" ht="120" hidden="1">
      <c r="A295" s="31">
        <v>292</v>
      </c>
      <c r="B295" s="22" t="s">
        <v>39</v>
      </c>
      <c r="C295" s="22" t="s">
        <v>550</v>
      </c>
      <c r="D295" s="22" t="s">
        <v>551</v>
      </c>
      <c r="E295" s="23">
        <v>1</v>
      </c>
      <c r="F295" s="22" t="s">
        <v>523</v>
      </c>
      <c r="G295" s="22" t="s">
        <v>552</v>
      </c>
      <c r="H295" s="22" t="s">
        <v>30</v>
      </c>
      <c r="I295" s="22" t="s">
        <v>553</v>
      </c>
      <c r="J295" s="22" t="s">
        <v>553</v>
      </c>
      <c r="K295" s="757" t="s">
        <v>1385</v>
      </c>
      <c r="L295" s="22" t="s">
        <v>514</v>
      </c>
      <c r="M295" s="429">
        <v>2021</v>
      </c>
      <c r="N295" s="780">
        <v>159</v>
      </c>
      <c r="O295" s="66">
        <v>0</v>
      </c>
      <c r="P295" s="67">
        <v>0</v>
      </c>
      <c r="Q295" s="429" t="s">
        <v>554</v>
      </c>
      <c r="R295" s="22" t="s">
        <v>555</v>
      </c>
      <c r="S295" s="24"/>
      <c r="T295" s="21"/>
    </row>
    <row r="296" spans="1:20" ht="150" hidden="1">
      <c r="A296" s="31">
        <v>293</v>
      </c>
      <c r="B296" s="22" t="s">
        <v>39</v>
      </c>
      <c r="C296" s="22" t="s">
        <v>550</v>
      </c>
      <c r="D296" s="22" t="s">
        <v>551</v>
      </c>
      <c r="E296" s="23">
        <v>2</v>
      </c>
      <c r="F296" s="22" t="s">
        <v>523</v>
      </c>
      <c r="G296" s="22" t="s">
        <v>552</v>
      </c>
      <c r="H296" s="22" t="s">
        <v>30</v>
      </c>
      <c r="I296" s="22" t="s">
        <v>556</v>
      </c>
      <c r="J296" s="22" t="s">
        <v>556</v>
      </c>
      <c r="K296" s="757" t="s">
        <v>1385</v>
      </c>
      <c r="L296" s="22" t="s">
        <v>514</v>
      </c>
      <c r="M296" s="429">
        <v>2021</v>
      </c>
      <c r="N296" s="780">
        <v>3514</v>
      </c>
      <c r="O296" s="66">
        <v>0</v>
      </c>
      <c r="P296" s="67">
        <v>0</v>
      </c>
      <c r="Q296" s="429" t="s">
        <v>557</v>
      </c>
      <c r="R296" s="22" t="s">
        <v>558</v>
      </c>
      <c r="S296" s="24"/>
      <c r="T296" s="21"/>
    </row>
    <row r="297" spans="1:20" ht="150" hidden="1">
      <c r="A297" s="31">
        <v>294</v>
      </c>
      <c r="B297" s="22" t="s">
        <v>39</v>
      </c>
      <c r="C297" s="22" t="s">
        <v>550</v>
      </c>
      <c r="D297" s="22" t="s">
        <v>551</v>
      </c>
      <c r="E297" s="23">
        <v>3</v>
      </c>
      <c r="F297" s="22" t="s">
        <v>559</v>
      </c>
      <c r="G297" s="22" t="s">
        <v>552</v>
      </c>
      <c r="H297" s="22" t="s">
        <v>30</v>
      </c>
      <c r="I297" s="22" t="s">
        <v>560</v>
      </c>
      <c r="J297" s="22" t="s">
        <v>560</v>
      </c>
      <c r="K297" s="757" t="s">
        <v>1385</v>
      </c>
      <c r="L297" s="22" t="s">
        <v>514</v>
      </c>
      <c r="M297" s="429">
        <v>2021</v>
      </c>
      <c r="N297" s="780">
        <v>0.27</v>
      </c>
      <c r="O297" s="66">
        <v>0</v>
      </c>
      <c r="P297" s="67">
        <v>0</v>
      </c>
      <c r="Q297" s="429" t="s">
        <v>561</v>
      </c>
      <c r="R297" s="22" t="s">
        <v>562</v>
      </c>
      <c r="S297" s="24"/>
      <c r="T297" s="21"/>
    </row>
    <row r="298" spans="1:20" ht="60" hidden="1">
      <c r="A298" s="31">
        <v>295</v>
      </c>
      <c r="B298" s="22" t="s">
        <v>563</v>
      </c>
      <c r="C298" s="22" t="s">
        <v>550</v>
      </c>
      <c r="D298" s="22" t="s">
        <v>564</v>
      </c>
      <c r="E298" s="23">
        <v>1</v>
      </c>
      <c r="F298" s="22" t="s">
        <v>142</v>
      </c>
      <c r="G298" s="22" t="s">
        <v>552</v>
      </c>
      <c r="H298" s="22" t="s">
        <v>30</v>
      </c>
      <c r="I298" s="22" t="s">
        <v>565</v>
      </c>
      <c r="J298" s="22" t="s">
        <v>565</v>
      </c>
      <c r="K298" s="757" t="s">
        <v>1385</v>
      </c>
      <c r="L298" s="22" t="s">
        <v>514</v>
      </c>
      <c r="M298" s="429">
        <v>2021</v>
      </c>
      <c r="N298" s="780" t="s">
        <v>59</v>
      </c>
      <c r="O298" s="69">
        <v>0</v>
      </c>
      <c r="P298" s="414">
        <v>0</v>
      </c>
      <c r="Q298" s="429" t="s">
        <v>566</v>
      </c>
      <c r="R298" s="22" t="s">
        <v>566</v>
      </c>
      <c r="S298" s="24"/>
      <c r="T298" s="21"/>
    </row>
    <row r="299" spans="1:20" ht="60" hidden="1">
      <c r="A299" s="31">
        <v>296</v>
      </c>
      <c r="B299" s="22" t="s">
        <v>563</v>
      </c>
      <c r="C299" s="22" t="s">
        <v>550</v>
      </c>
      <c r="D299" s="22" t="s">
        <v>567</v>
      </c>
      <c r="E299" s="23">
        <v>1</v>
      </c>
      <c r="F299" s="22" t="s">
        <v>523</v>
      </c>
      <c r="G299" s="22" t="s">
        <v>552</v>
      </c>
      <c r="H299" s="22" t="s">
        <v>164</v>
      </c>
      <c r="I299" s="22" t="s">
        <v>568</v>
      </c>
      <c r="J299" s="22" t="s">
        <v>568</v>
      </c>
      <c r="K299" s="757" t="s">
        <v>1385</v>
      </c>
      <c r="L299" s="22" t="s">
        <v>514</v>
      </c>
      <c r="M299" s="429">
        <v>2021</v>
      </c>
      <c r="N299" s="780" t="s">
        <v>167</v>
      </c>
      <c r="O299" s="69" t="s">
        <v>59</v>
      </c>
      <c r="P299" s="414" t="s">
        <v>59</v>
      </c>
      <c r="Q299" s="429" t="s">
        <v>569</v>
      </c>
      <c r="R299" s="22" t="s">
        <v>569</v>
      </c>
      <c r="S299" s="24"/>
      <c r="T299" s="21"/>
    </row>
    <row r="300" spans="1:20" ht="60" hidden="1">
      <c r="A300" s="31">
        <v>297</v>
      </c>
      <c r="B300" s="22" t="s">
        <v>563</v>
      </c>
      <c r="C300" s="22" t="s">
        <v>550</v>
      </c>
      <c r="D300" s="22" t="s">
        <v>567</v>
      </c>
      <c r="E300" s="23">
        <v>1</v>
      </c>
      <c r="F300" s="22" t="s">
        <v>142</v>
      </c>
      <c r="G300" s="22" t="s">
        <v>552</v>
      </c>
      <c r="H300" s="22" t="s">
        <v>164</v>
      </c>
      <c r="I300" s="22" t="s">
        <v>568</v>
      </c>
      <c r="J300" s="22" t="s">
        <v>568</v>
      </c>
      <c r="K300" s="757" t="s">
        <v>1385</v>
      </c>
      <c r="L300" s="22" t="s">
        <v>514</v>
      </c>
      <c r="M300" s="429">
        <v>2021</v>
      </c>
      <c r="N300" s="780" t="s">
        <v>167</v>
      </c>
      <c r="O300" s="69" t="s">
        <v>59</v>
      </c>
      <c r="P300" s="414" t="s">
        <v>59</v>
      </c>
      <c r="Q300" s="429" t="s">
        <v>569</v>
      </c>
      <c r="R300" s="22" t="s">
        <v>569</v>
      </c>
      <c r="S300" s="24"/>
      <c r="T300" s="21"/>
    </row>
    <row r="301" spans="1:20" ht="45" hidden="1">
      <c r="A301" s="31">
        <v>298</v>
      </c>
      <c r="B301" s="22" t="s">
        <v>563</v>
      </c>
      <c r="C301" s="22" t="s">
        <v>550</v>
      </c>
      <c r="D301" s="22" t="s">
        <v>567</v>
      </c>
      <c r="E301" s="23">
        <v>2</v>
      </c>
      <c r="F301" s="22" t="s">
        <v>523</v>
      </c>
      <c r="G301" s="22" t="s">
        <v>552</v>
      </c>
      <c r="H301" s="22" t="s">
        <v>164</v>
      </c>
      <c r="I301" s="22" t="s">
        <v>570</v>
      </c>
      <c r="J301" s="22" t="s">
        <v>570</v>
      </c>
      <c r="K301" s="757" t="s">
        <v>1385</v>
      </c>
      <c r="L301" s="22" t="s">
        <v>514</v>
      </c>
      <c r="M301" s="429">
        <v>2021</v>
      </c>
      <c r="N301" s="780" t="s">
        <v>167</v>
      </c>
      <c r="O301" s="69" t="s">
        <v>59</v>
      </c>
      <c r="P301" s="414" t="s">
        <v>59</v>
      </c>
      <c r="Q301" s="429" t="s">
        <v>569</v>
      </c>
      <c r="R301" s="22" t="s">
        <v>569</v>
      </c>
      <c r="S301" s="24"/>
      <c r="T301" s="21"/>
    </row>
    <row r="302" spans="1:20" ht="45" hidden="1">
      <c r="A302" s="31">
        <v>299</v>
      </c>
      <c r="B302" s="22" t="s">
        <v>563</v>
      </c>
      <c r="C302" s="22" t="s">
        <v>550</v>
      </c>
      <c r="D302" s="22" t="s">
        <v>567</v>
      </c>
      <c r="E302" s="23">
        <v>2</v>
      </c>
      <c r="F302" s="22" t="s">
        <v>142</v>
      </c>
      <c r="G302" s="22" t="s">
        <v>552</v>
      </c>
      <c r="H302" s="22" t="s">
        <v>164</v>
      </c>
      <c r="I302" s="22" t="s">
        <v>570</v>
      </c>
      <c r="J302" s="22" t="s">
        <v>570</v>
      </c>
      <c r="K302" s="757" t="s">
        <v>1385</v>
      </c>
      <c r="L302" s="22" t="s">
        <v>514</v>
      </c>
      <c r="M302" s="429">
        <v>2021</v>
      </c>
      <c r="N302" s="780" t="s">
        <v>167</v>
      </c>
      <c r="O302" s="69" t="s">
        <v>59</v>
      </c>
      <c r="P302" s="414" t="s">
        <v>59</v>
      </c>
      <c r="Q302" s="429" t="s">
        <v>569</v>
      </c>
      <c r="R302" s="22" t="s">
        <v>569</v>
      </c>
      <c r="S302" s="24"/>
      <c r="T302" s="21"/>
    </row>
    <row r="303" spans="1:20" ht="60" hidden="1">
      <c r="A303" s="31">
        <v>300</v>
      </c>
      <c r="B303" s="22" t="s">
        <v>563</v>
      </c>
      <c r="C303" s="22" t="s">
        <v>550</v>
      </c>
      <c r="D303" s="22" t="s">
        <v>567</v>
      </c>
      <c r="E303" s="23">
        <v>3</v>
      </c>
      <c r="F303" s="22" t="s">
        <v>523</v>
      </c>
      <c r="G303" s="22" t="s">
        <v>552</v>
      </c>
      <c r="H303" s="22" t="s">
        <v>164</v>
      </c>
      <c r="I303" s="22" t="s">
        <v>571</v>
      </c>
      <c r="J303" s="22" t="s">
        <v>571</v>
      </c>
      <c r="K303" s="757" t="s">
        <v>1385</v>
      </c>
      <c r="L303" s="22" t="s">
        <v>514</v>
      </c>
      <c r="M303" s="429">
        <v>2021</v>
      </c>
      <c r="N303" s="780" t="s">
        <v>167</v>
      </c>
      <c r="O303" s="69" t="s">
        <v>59</v>
      </c>
      <c r="P303" s="414" t="s">
        <v>59</v>
      </c>
      <c r="Q303" s="429" t="s">
        <v>569</v>
      </c>
      <c r="R303" s="22" t="s">
        <v>569</v>
      </c>
      <c r="S303" s="24"/>
      <c r="T303" s="21"/>
    </row>
    <row r="304" spans="1:20" ht="105" hidden="1">
      <c r="A304" s="31">
        <v>301</v>
      </c>
      <c r="B304" s="22" t="s">
        <v>39</v>
      </c>
      <c r="C304" s="22" t="s">
        <v>572</v>
      </c>
      <c r="D304" s="22" t="s">
        <v>573</v>
      </c>
      <c r="E304" s="23">
        <v>1</v>
      </c>
      <c r="F304" s="22" t="s">
        <v>523</v>
      </c>
      <c r="G304" s="22" t="s">
        <v>574</v>
      </c>
      <c r="H304" s="22" t="s">
        <v>30</v>
      </c>
      <c r="I304" s="22" t="s">
        <v>575</v>
      </c>
      <c r="J304" s="22" t="s">
        <v>575</v>
      </c>
      <c r="K304" s="757" t="s">
        <v>1487</v>
      </c>
      <c r="L304" s="22" t="s">
        <v>576</v>
      </c>
      <c r="M304" s="429">
        <v>2021</v>
      </c>
      <c r="N304" s="780" t="s">
        <v>1878</v>
      </c>
      <c r="O304" s="66">
        <v>0</v>
      </c>
      <c r="P304" s="67">
        <v>0</v>
      </c>
      <c r="Q304" s="22" t="s">
        <v>577</v>
      </c>
      <c r="R304" s="22" t="s">
        <v>578</v>
      </c>
      <c r="S304" s="24"/>
      <c r="T304" s="21"/>
    </row>
    <row r="305" spans="1:20" ht="409.5">
      <c r="A305" s="31">
        <v>302</v>
      </c>
      <c r="B305" s="22" t="s">
        <v>39</v>
      </c>
      <c r="C305" s="22" t="s">
        <v>572</v>
      </c>
      <c r="D305" s="22" t="s">
        <v>579</v>
      </c>
      <c r="E305" s="23">
        <v>1</v>
      </c>
      <c r="F305" s="22" t="s">
        <v>523</v>
      </c>
      <c r="G305" s="22" t="s">
        <v>580</v>
      </c>
      <c r="H305" s="22" t="s">
        <v>30</v>
      </c>
      <c r="I305" s="22" t="s">
        <v>581</v>
      </c>
      <c r="J305" s="22" t="s">
        <v>581</v>
      </c>
      <c r="K305" s="757" t="s">
        <v>1487</v>
      </c>
      <c r="L305" s="22" t="s">
        <v>576</v>
      </c>
      <c r="M305" s="429">
        <v>2021</v>
      </c>
      <c r="N305" s="780" t="s">
        <v>1879</v>
      </c>
      <c r="O305" s="66">
        <v>0</v>
      </c>
      <c r="P305" s="67">
        <v>0</v>
      </c>
      <c r="Q305" s="22" t="s">
        <v>582</v>
      </c>
      <c r="R305" s="22" t="s">
        <v>583</v>
      </c>
      <c r="S305" s="24"/>
      <c r="T305" s="21"/>
    </row>
    <row r="306" spans="1:20" ht="270" hidden="1">
      <c r="A306" s="31">
        <v>303</v>
      </c>
      <c r="B306" s="22" t="s">
        <v>39</v>
      </c>
      <c r="C306" s="22" t="s">
        <v>572</v>
      </c>
      <c r="D306" s="22" t="s">
        <v>579</v>
      </c>
      <c r="E306" s="23">
        <v>1</v>
      </c>
      <c r="F306" s="22" t="s">
        <v>584</v>
      </c>
      <c r="G306" s="22" t="s">
        <v>580</v>
      </c>
      <c r="H306" s="22" t="s">
        <v>30</v>
      </c>
      <c r="I306" s="22" t="s">
        <v>585</v>
      </c>
      <c r="J306" s="22" t="s">
        <v>585</v>
      </c>
      <c r="K306" s="757" t="s">
        <v>1487</v>
      </c>
      <c r="L306" s="22" t="s">
        <v>576</v>
      </c>
      <c r="M306" s="429">
        <v>2021</v>
      </c>
      <c r="N306" s="780">
        <v>9.2100000000000001E-2</v>
      </c>
      <c r="O306" s="759">
        <v>0</v>
      </c>
      <c r="P306" s="759">
        <v>0</v>
      </c>
      <c r="Q306" s="22" t="s">
        <v>586</v>
      </c>
      <c r="R306" s="22" t="s">
        <v>587</v>
      </c>
      <c r="S306" s="24"/>
      <c r="T306" s="21"/>
    </row>
    <row r="307" spans="1:20" ht="315" hidden="1">
      <c r="A307" s="31">
        <v>304</v>
      </c>
      <c r="B307" s="22" t="s">
        <v>39</v>
      </c>
      <c r="C307" s="22" t="s">
        <v>572</v>
      </c>
      <c r="D307" s="22" t="s">
        <v>588</v>
      </c>
      <c r="E307" s="23">
        <v>1</v>
      </c>
      <c r="F307" s="22" t="s">
        <v>584</v>
      </c>
      <c r="G307" s="22" t="s">
        <v>589</v>
      </c>
      <c r="H307" s="22" t="s">
        <v>30</v>
      </c>
      <c r="I307" s="22" t="s">
        <v>590</v>
      </c>
      <c r="J307" s="22" t="s">
        <v>590</v>
      </c>
      <c r="K307" s="757" t="s">
        <v>1487</v>
      </c>
      <c r="L307" s="22" t="s">
        <v>576</v>
      </c>
      <c r="M307" s="429">
        <v>2021</v>
      </c>
      <c r="N307" s="780">
        <v>0.26950000000000002</v>
      </c>
      <c r="O307" s="66">
        <v>0</v>
      </c>
      <c r="P307" s="67">
        <v>0</v>
      </c>
      <c r="Q307" s="22" t="s">
        <v>591</v>
      </c>
      <c r="R307" s="22" t="s">
        <v>592</v>
      </c>
      <c r="S307" s="24"/>
      <c r="T307" s="21"/>
    </row>
    <row r="308" spans="1:20" ht="409.5" hidden="1">
      <c r="A308" s="31">
        <v>305</v>
      </c>
      <c r="B308" s="22" t="s">
        <v>39</v>
      </c>
      <c r="C308" s="22" t="s">
        <v>572</v>
      </c>
      <c r="D308" s="22" t="s">
        <v>588</v>
      </c>
      <c r="E308" s="23">
        <v>1</v>
      </c>
      <c r="F308" s="22" t="s">
        <v>584</v>
      </c>
      <c r="G308" s="22" t="s">
        <v>589</v>
      </c>
      <c r="H308" s="22" t="s">
        <v>30</v>
      </c>
      <c r="I308" s="22" t="s">
        <v>593</v>
      </c>
      <c r="J308" s="22" t="s">
        <v>593</v>
      </c>
      <c r="K308" s="757" t="s">
        <v>1487</v>
      </c>
      <c r="L308" s="22" t="s">
        <v>576</v>
      </c>
      <c r="M308" s="429">
        <v>2021</v>
      </c>
      <c r="N308" s="780" t="s">
        <v>59</v>
      </c>
      <c r="O308" s="66" t="s">
        <v>59</v>
      </c>
      <c r="P308" s="67" t="s">
        <v>59</v>
      </c>
      <c r="Q308" s="22" t="s">
        <v>594</v>
      </c>
      <c r="R308" s="22" t="s">
        <v>595</v>
      </c>
      <c r="S308" s="24"/>
      <c r="T308" s="21"/>
    </row>
    <row r="309" spans="1:20" ht="60" hidden="1">
      <c r="A309" s="31">
        <v>306</v>
      </c>
      <c r="B309" s="22" t="s">
        <v>39</v>
      </c>
      <c r="C309" s="22" t="s">
        <v>572</v>
      </c>
      <c r="D309" s="22" t="s">
        <v>596</v>
      </c>
      <c r="E309" s="23">
        <v>1</v>
      </c>
      <c r="F309" s="22" t="s">
        <v>523</v>
      </c>
      <c r="G309" s="22" t="s">
        <v>589</v>
      </c>
      <c r="H309" s="22" t="s">
        <v>164</v>
      </c>
      <c r="I309" s="22" t="s">
        <v>597</v>
      </c>
      <c r="J309" s="22" t="s">
        <v>597</v>
      </c>
      <c r="K309" s="757" t="s">
        <v>1487</v>
      </c>
      <c r="L309" s="22" t="s">
        <v>576</v>
      </c>
      <c r="M309" s="429">
        <v>2021</v>
      </c>
      <c r="N309" s="780" t="s">
        <v>59</v>
      </c>
      <c r="O309" s="67">
        <v>0</v>
      </c>
      <c r="P309" s="67">
        <v>0</v>
      </c>
      <c r="Q309" s="22" t="s">
        <v>598</v>
      </c>
      <c r="R309" s="22" t="s">
        <v>59</v>
      </c>
      <c r="S309" s="24"/>
      <c r="T309" s="21"/>
    </row>
    <row r="310" spans="1:20" ht="60" hidden="1">
      <c r="A310" s="31">
        <v>307</v>
      </c>
      <c r="B310" s="22" t="s">
        <v>39</v>
      </c>
      <c r="C310" s="22" t="s">
        <v>599</v>
      </c>
      <c r="D310" s="22" t="s">
        <v>600</v>
      </c>
      <c r="E310" s="23">
        <v>1</v>
      </c>
      <c r="F310" s="22" t="s">
        <v>523</v>
      </c>
      <c r="G310" s="22" t="s">
        <v>601</v>
      </c>
      <c r="H310" s="22" t="s">
        <v>30</v>
      </c>
      <c r="I310" s="22" t="s">
        <v>602</v>
      </c>
      <c r="J310" s="22" t="s">
        <v>603</v>
      </c>
      <c r="K310" s="755" t="s">
        <v>1438</v>
      </c>
      <c r="L310" s="22" t="s">
        <v>604</v>
      </c>
      <c r="M310" s="429">
        <v>2021</v>
      </c>
      <c r="N310" s="780">
        <v>0</v>
      </c>
      <c r="O310" s="66" t="s">
        <v>59</v>
      </c>
      <c r="P310" s="67" t="s">
        <v>59</v>
      </c>
      <c r="Q310" s="22" t="s">
        <v>608</v>
      </c>
      <c r="R310" s="22" t="s">
        <v>609</v>
      </c>
      <c r="S310" s="24"/>
      <c r="T310" s="21"/>
    </row>
    <row r="311" spans="1:20" ht="45" hidden="1">
      <c r="A311" s="31">
        <v>308</v>
      </c>
      <c r="B311" s="22" t="s">
        <v>39</v>
      </c>
      <c r="C311" s="22" t="s">
        <v>599</v>
      </c>
      <c r="D311" s="22" t="s">
        <v>610</v>
      </c>
      <c r="E311" s="23">
        <v>1</v>
      </c>
      <c r="F311" s="22" t="s">
        <v>611</v>
      </c>
      <c r="G311" s="22" t="s">
        <v>601</v>
      </c>
      <c r="H311" s="22" t="s">
        <v>30</v>
      </c>
      <c r="I311" s="22" t="s">
        <v>612</v>
      </c>
      <c r="J311" s="22" t="s">
        <v>613</v>
      </c>
      <c r="K311" s="757" t="s">
        <v>1438</v>
      </c>
      <c r="L311" s="22" t="s">
        <v>604</v>
      </c>
      <c r="M311" s="429">
        <v>2021</v>
      </c>
      <c r="N311" s="780">
        <v>0</v>
      </c>
      <c r="O311" s="66" t="s">
        <v>59</v>
      </c>
      <c r="P311" s="67" t="s">
        <v>59</v>
      </c>
      <c r="Q311" s="22" t="s">
        <v>608</v>
      </c>
      <c r="R311" s="22" t="s">
        <v>614</v>
      </c>
      <c r="S311" s="24"/>
      <c r="T311" s="21"/>
    </row>
    <row r="312" spans="1:20" ht="75" hidden="1">
      <c r="A312" s="31">
        <v>309</v>
      </c>
      <c r="B312" s="22" t="s">
        <v>39</v>
      </c>
      <c r="C312" s="22" t="s">
        <v>599</v>
      </c>
      <c r="D312" s="22" t="s">
        <v>615</v>
      </c>
      <c r="E312" s="23">
        <v>1</v>
      </c>
      <c r="F312" s="22" t="s">
        <v>616</v>
      </c>
      <c r="G312" s="22" t="s">
        <v>617</v>
      </c>
      <c r="H312" s="22" t="s">
        <v>30</v>
      </c>
      <c r="I312" s="22" t="s">
        <v>2116</v>
      </c>
      <c r="J312" s="22" t="s">
        <v>619</v>
      </c>
      <c r="K312" s="757" t="s">
        <v>1438</v>
      </c>
      <c r="L312" s="22" t="s">
        <v>604</v>
      </c>
      <c r="M312" s="429">
        <v>2021</v>
      </c>
      <c r="N312" s="780">
        <v>31</v>
      </c>
      <c r="O312" s="66" t="s">
        <v>59</v>
      </c>
      <c r="P312" s="67" t="s">
        <v>59</v>
      </c>
      <c r="Q312" s="22" t="s">
        <v>608</v>
      </c>
      <c r="R312" s="22" t="s">
        <v>622</v>
      </c>
      <c r="S312" s="24"/>
      <c r="T312" s="21"/>
    </row>
    <row r="313" spans="1:20" ht="120" hidden="1">
      <c r="A313" s="31">
        <v>310</v>
      </c>
      <c r="B313" s="22" t="s">
        <v>39</v>
      </c>
      <c r="C313" s="22" t="s">
        <v>599</v>
      </c>
      <c r="D313" s="22" t="s">
        <v>623</v>
      </c>
      <c r="E313" s="23">
        <v>1</v>
      </c>
      <c r="F313" s="22" t="s">
        <v>624</v>
      </c>
      <c r="G313" s="22" t="s">
        <v>625</v>
      </c>
      <c r="H313" s="22" t="s">
        <v>30</v>
      </c>
      <c r="I313" s="22" t="s">
        <v>626</v>
      </c>
      <c r="J313" s="22" t="s">
        <v>627</v>
      </c>
      <c r="K313" s="757" t="s">
        <v>1438</v>
      </c>
      <c r="L313" s="22" t="s">
        <v>604</v>
      </c>
      <c r="M313" s="429">
        <v>2021</v>
      </c>
      <c r="N313" s="780">
        <v>5</v>
      </c>
      <c r="O313" s="66" t="s">
        <v>59</v>
      </c>
      <c r="P313" s="67" t="s">
        <v>59</v>
      </c>
      <c r="Q313" s="22" t="s">
        <v>629</v>
      </c>
      <c r="R313" s="22" t="s">
        <v>630</v>
      </c>
      <c r="S313" s="24"/>
      <c r="T313" s="21"/>
    </row>
    <row r="314" spans="1:20" ht="120">
      <c r="A314" s="31">
        <v>311</v>
      </c>
      <c r="B314" s="22" t="s">
        <v>39</v>
      </c>
      <c r="C314" s="22" t="s">
        <v>599</v>
      </c>
      <c r="D314" s="22" t="s">
        <v>631</v>
      </c>
      <c r="E314" s="23">
        <v>1</v>
      </c>
      <c r="F314" s="22" t="s">
        <v>624</v>
      </c>
      <c r="G314" s="22" t="s">
        <v>625</v>
      </c>
      <c r="H314" s="22" t="s">
        <v>30</v>
      </c>
      <c r="I314" s="22" t="s">
        <v>632</v>
      </c>
      <c r="J314" s="22" t="s">
        <v>633</v>
      </c>
      <c r="K314" s="757" t="s">
        <v>1438</v>
      </c>
      <c r="L314" s="22" t="s">
        <v>604</v>
      </c>
      <c r="M314" s="429">
        <v>2021</v>
      </c>
      <c r="N314" s="780" t="s">
        <v>634</v>
      </c>
      <c r="O314" s="66" t="s">
        <v>59</v>
      </c>
      <c r="P314" s="67" t="s">
        <v>59</v>
      </c>
      <c r="Q314" s="22" t="s">
        <v>635</v>
      </c>
      <c r="R314" s="22" t="s">
        <v>636</v>
      </c>
      <c r="S314" s="24" t="s">
        <v>2117</v>
      </c>
      <c r="T314" s="21"/>
    </row>
    <row r="315" spans="1:20" ht="75">
      <c r="A315" s="31">
        <v>312</v>
      </c>
      <c r="B315" s="22" t="s">
        <v>39</v>
      </c>
      <c r="C315" s="22" t="s">
        <v>637</v>
      </c>
      <c r="D315" s="22" t="s">
        <v>638</v>
      </c>
      <c r="E315" s="23">
        <v>1</v>
      </c>
      <c r="F315" s="22" t="s">
        <v>639</v>
      </c>
      <c r="G315" s="22" t="s">
        <v>640</v>
      </c>
      <c r="H315" s="22" t="s">
        <v>30</v>
      </c>
      <c r="I315" s="22" t="s">
        <v>641</v>
      </c>
      <c r="J315" s="22" t="s">
        <v>642</v>
      </c>
      <c r="K315" s="757" t="s">
        <v>1438</v>
      </c>
      <c r="L315" s="22" t="s">
        <v>604</v>
      </c>
      <c r="M315" s="429">
        <v>2021</v>
      </c>
      <c r="N315" s="780" t="s">
        <v>643</v>
      </c>
      <c r="O315" s="66" t="s">
        <v>59</v>
      </c>
      <c r="P315" s="67" t="s">
        <v>59</v>
      </c>
      <c r="Q315" s="22" t="s">
        <v>645</v>
      </c>
      <c r="R315" s="22" t="s">
        <v>646</v>
      </c>
      <c r="S315" s="24"/>
      <c r="T315" s="21"/>
    </row>
    <row r="316" spans="1:20" ht="210">
      <c r="A316" s="31">
        <v>313</v>
      </c>
      <c r="B316" s="22" t="s">
        <v>39</v>
      </c>
      <c r="C316" s="22" t="s">
        <v>637</v>
      </c>
      <c r="D316" s="22" t="s">
        <v>647</v>
      </c>
      <c r="E316" s="23">
        <v>1</v>
      </c>
      <c r="F316" s="22" t="s">
        <v>639</v>
      </c>
      <c r="G316" s="22" t="s">
        <v>640</v>
      </c>
      <c r="H316" s="22" t="s">
        <v>30</v>
      </c>
      <c r="I316" s="22" t="s">
        <v>648</v>
      </c>
      <c r="J316" s="22" t="s">
        <v>649</v>
      </c>
      <c r="K316" s="757" t="s">
        <v>1438</v>
      </c>
      <c r="L316" s="22" t="s">
        <v>604</v>
      </c>
      <c r="M316" s="429">
        <v>2021</v>
      </c>
      <c r="N316" s="780" t="s">
        <v>643</v>
      </c>
      <c r="O316" s="66" t="s">
        <v>59</v>
      </c>
      <c r="P316" s="67" t="s">
        <v>59</v>
      </c>
      <c r="Q316" s="22" t="s">
        <v>608</v>
      </c>
      <c r="R316" s="22" t="s">
        <v>2092</v>
      </c>
      <c r="S316" s="24"/>
      <c r="T316" s="21"/>
    </row>
    <row r="317" spans="1:20" ht="180">
      <c r="A317" s="31">
        <v>314</v>
      </c>
      <c r="B317" s="22" t="s">
        <v>39</v>
      </c>
      <c r="C317" s="22" t="s">
        <v>651</v>
      </c>
      <c r="D317" s="22" t="s">
        <v>652</v>
      </c>
      <c r="E317" s="23">
        <v>1</v>
      </c>
      <c r="F317" s="22" t="s">
        <v>653</v>
      </c>
      <c r="G317" s="22" t="s">
        <v>654</v>
      </c>
      <c r="H317" s="22" t="s">
        <v>30</v>
      </c>
      <c r="I317" s="22" t="s">
        <v>655</v>
      </c>
      <c r="J317" s="22" t="s">
        <v>656</v>
      </c>
      <c r="K317" s="757" t="s">
        <v>1438</v>
      </c>
      <c r="L317" s="22" t="s">
        <v>604</v>
      </c>
      <c r="M317" s="429">
        <v>2021</v>
      </c>
      <c r="N317" s="780" t="s">
        <v>657</v>
      </c>
      <c r="O317" s="69" t="s">
        <v>657</v>
      </c>
      <c r="P317" s="414" t="s">
        <v>657</v>
      </c>
      <c r="Q317" s="22" t="s">
        <v>658</v>
      </c>
      <c r="R317" s="22" t="s">
        <v>2095</v>
      </c>
      <c r="S317" s="24"/>
      <c r="T317" s="21"/>
    </row>
    <row r="318" spans="1:20" ht="180">
      <c r="A318" s="31">
        <v>315</v>
      </c>
      <c r="B318" s="22" t="s">
        <v>39</v>
      </c>
      <c r="C318" s="22" t="s">
        <v>651</v>
      </c>
      <c r="D318" s="22" t="s">
        <v>660</v>
      </c>
      <c r="E318" s="23">
        <v>1</v>
      </c>
      <c r="F318" s="22" t="s">
        <v>661</v>
      </c>
      <c r="G318" s="22" t="s">
        <v>654</v>
      </c>
      <c r="H318" s="22" t="s">
        <v>30</v>
      </c>
      <c r="I318" s="22" t="s">
        <v>662</v>
      </c>
      <c r="J318" s="22" t="s">
        <v>663</v>
      </c>
      <c r="K318" s="757" t="s">
        <v>1438</v>
      </c>
      <c r="L318" s="22" t="s">
        <v>604</v>
      </c>
      <c r="M318" s="429">
        <v>2021</v>
      </c>
      <c r="N318" s="780" t="s">
        <v>657</v>
      </c>
      <c r="O318" s="66" t="s">
        <v>59</v>
      </c>
      <c r="P318" s="67" t="s">
        <v>59</v>
      </c>
      <c r="Q318" s="22" t="s">
        <v>664</v>
      </c>
      <c r="R318" s="22" t="s">
        <v>2095</v>
      </c>
      <c r="S318" s="24"/>
      <c r="T318" s="21"/>
    </row>
    <row r="319" spans="1:20" ht="180">
      <c r="A319" s="31">
        <v>316</v>
      </c>
      <c r="B319" s="22" t="s">
        <v>39</v>
      </c>
      <c r="C319" s="22" t="s">
        <v>651</v>
      </c>
      <c r="D319" s="22" t="s">
        <v>665</v>
      </c>
      <c r="E319" s="23">
        <v>1</v>
      </c>
      <c r="F319" s="22" t="s">
        <v>142</v>
      </c>
      <c r="G319" s="22" t="s">
        <v>654</v>
      </c>
      <c r="H319" s="22" t="s">
        <v>30</v>
      </c>
      <c r="I319" s="22" t="s">
        <v>2118</v>
      </c>
      <c r="J319" s="22" t="s">
        <v>667</v>
      </c>
      <c r="K319" s="757" t="s">
        <v>1438</v>
      </c>
      <c r="L319" s="22" t="s">
        <v>604</v>
      </c>
      <c r="M319" s="429">
        <v>2021</v>
      </c>
      <c r="N319" s="780" t="s">
        <v>657</v>
      </c>
      <c r="O319" s="69" t="s">
        <v>657</v>
      </c>
      <c r="P319" s="414" t="s">
        <v>657</v>
      </c>
      <c r="Q319" s="22" t="s">
        <v>668</v>
      </c>
      <c r="R319" s="22" t="s">
        <v>2095</v>
      </c>
      <c r="S319" s="24"/>
      <c r="T319" s="21"/>
    </row>
    <row r="320" spans="1:20" ht="180">
      <c r="A320" s="31">
        <v>317</v>
      </c>
      <c r="B320" s="22" t="s">
        <v>39</v>
      </c>
      <c r="C320" s="22" t="s">
        <v>651</v>
      </c>
      <c r="D320" s="22" t="s">
        <v>669</v>
      </c>
      <c r="E320" s="23">
        <v>1</v>
      </c>
      <c r="F320" s="22" t="s">
        <v>523</v>
      </c>
      <c r="G320" s="22" t="s">
        <v>654</v>
      </c>
      <c r="H320" s="22" t="s">
        <v>30</v>
      </c>
      <c r="I320" s="22" t="s">
        <v>670</v>
      </c>
      <c r="J320" s="22" t="s">
        <v>671</v>
      </c>
      <c r="K320" s="757" t="s">
        <v>1438</v>
      </c>
      <c r="L320" s="22" t="s">
        <v>604</v>
      </c>
      <c r="M320" s="429">
        <v>2021</v>
      </c>
      <c r="N320" s="780" t="s">
        <v>657</v>
      </c>
      <c r="O320" s="66" t="s">
        <v>59</v>
      </c>
      <c r="P320" s="67" t="s">
        <v>59</v>
      </c>
      <c r="Q320" s="22" t="s">
        <v>672</v>
      </c>
      <c r="R320" s="22" t="s">
        <v>673</v>
      </c>
      <c r="S320" s="24"/>
      <c r="T320" s="21"/>
    </row>
    <row r="321" spans="1:20" ht="210">
      <c r="A321" s="31">
        <v>318</v>
      </c>
      <c r="B321" s="22" t="s">
        <v>39</v>
      </c>
      <c r="C321" s="22" t="s">
        <v>651</v>
      </c>
      <c r="D321" s="22" t="s">
        <v>674</v>
      </c>
      <c r="E321" s="23">
        <v>1</v>
      </c>
      <c r="F321" s="22" t="s">
        <v>675</v>
      </c>
      <c r="G321" s="22" t="s">
        <v>676</v>
      </c>
      <c r="H321" s="22" t="s">
        <v>30</v>
      </c>
      <c r="I321" s="22" t="s">
        <v>2119</v>
      </c>
      <c r="J321" s="22" t="s">
        <v>678</v>
      </c>
      <c r="K321" s="757" t="s">
        <v>1438</v>
      </c>
      <c r="L321" s="22" t="s">
        <v>604</v>
      </c>
      <c r="M321" s="429">
        <v>2021</v>
      </c>
      <c r="N321" s="780" t="s">
        <v>657</v>
      </c>
      <c r="O321" s="66" t="s">
        <v>59</v>
      </c>
      <c r="P321" s="67" t="s">
        <v>59</v>
      </c>
      <c r="Q321" s="22" t="s">
        <v>679</v>
      </c>
      <c r="R321" s="22" t="s">
        <v>680</v>
      </c>
      <c r="S321" s="24"/>
      <c r="T321" s="21"/>
    </row>
    <row r="322" spans="1:20" ht="210">
      <c r="A322" s="31">
        <v>319</v>
      </c>
      <c r="B322" s="22" t="s">
        <v>39</v>
      </c>
      <c r="C322" s="22" t="s">
        <v>651</v>
      </c>
      <c r="D322" s="22" t="s">
        <v>681</v>
      </c>
      <c r="E322" s="23">
        <v>1</v>
      </c>
      <c r="F322" s="22" t="s">
        <v>682</v>
      </c>
      <c r="G322" s="22" t="s">
        <v>676</v>
      </c>
      <c r="H322" s="22" t="s">
        <v>30</v>
      </c>
      <c r="I322" s="22" t="s">
        <v>2120</v>
      </c>
      <c r="J322" s="22" t="s">
        <v>684</v>
      </c>
      <c r="K322" s="757" t="s">
        <v>1438</v>
      </c>
      <c r="L322" s="22" t="s">
        <v>604</v>
      </c>
      <c r="M322" s="429">
        <v>2021</v>
      </c>
      <c r="N322" s="780" t="s">
        <v>657</v>
      </c>
      <c r="O322" s="66" t="s">
        <v>59</v>
      </c>
      <c r="P322" s="67" t="s">
        <v>59</v>
      </c>
      <c r="Q322" s="22" t="s">
        <v>679</v>
      </c>
      <c r="R322" s="22" t="s">
        <v>680</v>
      </c>
      <c r="S322" s="24"/>
      <c r="T322" s="21"/>
    </row>
    <row r="323" spans="1:20" ht="210">
      <c r="A323" s="31">
        <v>320</v>
      </c>
      <c r="B323" s="22" t="s">
        <v>39</v>
      </c>
      <c r="C323" s="22" t="s">
        <v>651</v>
      </c>
      <c r="D323" s="22" t="s">
        <v>685</v>
      </c>
      <c r="E323" s="23">
        <v>1</v>
      </c>
      <c r="F323" s="22" t="s">
        <v>686</v>
      </c>
      <c r="G323" s="22" t="s">
        <v>676</v>
      </c>
      <c r="H323" s="22" t="s">
        <v>30</v>
      </c>
      <c r="I323" s="22" t="s">
        <v>2121</v>
      </c>
      <c r="J323" s="22" t="s">
        <v>688</v>
      </c>
      <c r="K323" s="757" t="s">
        <v>1438</v>
      </c>
      <c r="L323" s="22" t="s">
        <v>604</v>
      </c>
      <c r="M323" s="429">
        <v>2021</v>
      </c>
      <c r="N323" s="780" t="s">
        <v>657</v>
      </c>
      <c r="O323" s="66" t="s">
        <v>59</v>
      </c>
      <c r="P323" s="67" t="s">
        <v>59</v>
      </c>
      <c r="Q323" s="22" t="s">
        <v>679</v>
      </c>
      <c r="R323" s="22" t="s">
        <v>680</v>
      </c>
      <c r="S323" s="24"/>
      <c r="T323" s="21"/>
    </row>
    <row r="324" spans="1:20" ht="225">
      <c r="A324" s="31">
        <v>321</v>
      </c>
      <c r="B324" s="22" t="s">
        <v>39</v>
      </c>
      <c r="C324" s="22" t="s">
        <v>651</v>
      </c>
      <c r="D324" s="22" t="s">
        <v>689</v>
      </c>
      <c r="E324" s="23">
        <v>1</v>
      </c>
      <c r="F324" s="22" t="s">
        <v>690</v>
      </c>
      <c r="G324" s="22" t="s">
        <v>691</v>
      </c>
      <c r="H324" s="22" t="s">
        <v>30</v>
      </c>
      <c r="I324" s="22" t="s">
        <v>2122</v>
      </c>
      <c r="J324" s="22" t="s">
        <v>2123</v>
      </c>
      <c r="K324" s="757" t="s">
        <v>1438</v>
      </c>
      <c r="L324" s="22" t="s">
        <v>604</v>
      </c>
      <c r="M324" s="429">
        <v>2021</v>
      </c>
      <c r="N324" s="780" t="s">
        <v>2124</v>
      </c>
      <c r="O324" s="66" t="s">
        <v>59</v>
      </c>
      <c r="P324" s="67" t="s">
        <v>59</v>
      </c>
      <c r="Q324" s="22" t="s">
        <v>694</v>
      </c>
      <c r="R324" s="22" t="s">
        <v>695</v>
      </c>
      <c r="S324" s="24"/>
      <c r="T324" s="21"/>
    </row>
    <row r="325" spans="1:20" ht="225">
      <c r="A325" s="31">
        <v>322</v>
      </c>
      <c r="B325" s="22" t="s">
        <v>39</v>
      </c>
      <c r="C325" s="22" t="s">
        <v>651</v>
      </c>
      <c r="D325" s="22" t="s">
        <v>696</v>
      </c>
      <c r="E325" s="23">
        <v>1</v>
      </c>
      <c r="F325" s="22" t="s">
        <v>697</v>
      </c>
      <c r="G325" s="22" t="s">
        <v>691</v>
      </c>
      <c r="H325" s="22" t="s">
        <v>30</v>
      </c>
      <c r="I325" s="22" t="s">
        <v>2125</v>
      </c>
      <c r="J325" s="22" t="s">
        <v>2126</v>
      </c>
      <c r="K325" s="757" t="s">
        <v>1438</v>
      </c>
      <c r="L325" s="22" t="s">
        <v>604</v>
      </c>
      <c r="M325" s="429">
        <v>2021</v>
      </c>
      <c r="N325" s="780" t="s">
        <v>2127</v>
      </c>
      <c r="O325" s="66" t="s">
        <v>59</v>
      </c>
      <c r="P325" s="67" t="s">
        <v>59</v>
      </c>
      <c r="Q325" s="22" t="s">
        <v>694</v>
      </c>
      <c r="R325" s="22" t="s">
        <v>695</v>
      </c>
      <c r="S325" s="24"/>
      <c r="T325" s="21"/>
    </row>
    <row r="326" spans="1:20" ht="225">
      <c r="A326" s="31">
        <v>323</v>
      </c>
      <c r="B326" s="22" t="s">
        <v>39</v>
      </c>
      <c r="C326" s="22" t="s">
        <v>651</v>
      </c>
      <c r="D326" s="22" t="s">
        <v>700</v>
      </c>
      <c r="E326" s="23">
        <v>1</v>
      </c>
      <c r="F326" s="22" t="s">
        <v>701</v>
      </c>
      <c r="G326" s="22" t="s">
        <v>691</v>
      </c>
      <c r="H326" s="22" t="s">
        <v>30</v>
      </c>
      <c r="I326" s="22" t="s">
        <v>2128</v>
      </c>
      <c r="J326" s="22" t="s">
        <v>2129</v>
      </c>
      <c r="K326" s="757" t="s">
        <v>1438</v>
      </c>
      <c r="L326" s="22" t="s">
        <v>604</v>
      </c>
      <c r="M326" s="429">
        <v>2021</v>
      </c>
      <c r="N326" s="780" t="s">
        <v>2124</v>
      </c>
      <c r="O326" s="66" t="s">
        <v>59</v>
      </c>
      <c r="P326" s="67" t="s">
        <v>59</v>
      </c>
      <c r="Q326" s="22" t="s">
        <v>694</v>
      </c>
      <c r="R326" s="22" t="s">
        <v>695</v>
      </c>
      <c r="S326" s="24"/>
      <c r="T326" s="21"/>
    </row>
    <row r="327" spans="1:20" ht="195">
      <c r="A327" s="31">
        <v>324</v>
      </c>
      <c r="B327" s="22" t="s">
        <v>39</v>
      </c>
      <c r="C327" s="22" t="s">
        <v>651</v>
      </c>
      <c r="D327" s="22" t="s">
        <v>704</v>
      </c>
      <c r="E327" s="23">
        <v>1</v>
      </c>
      <c r="F327" s="22" t="s">
        <v>705</v>
      </c>
      <c r="G327" s="22" t="s">
        <v>691</v>
      </c>
      <c r="H327" s="22" t="s">
        <v>30</v>
      </c>
      <c r="I327" s="22" t="s">
        <v>2130</v>
      </c>
      <c r="J327" s="22" t="s">
        <v>2131</v>
      </c>
      <c r="K327" s="757" t="s">
        <v>1438</v>
      </c>
      <c r="L327" s="22" t="s">
        <v>604</v>
      </c>
      <c r="M327" s="429">
        <v>2021</v>
      </c>
      <c r="N327" s="780" t="s">
        <v>2124</v>
      </c>
      <c r="O327" s="66" t="s">
        <v>59</v>
      </c>
      <c r="P327" s="67" t="s">
        <v>59</v>
      </c>
      <c r="Q327" s="22" t="s">
        <v>694</v>
      </c>
      <c r="R327" s="22" t="s">
        <v>708</v>
      </c>
      <c r="S327" s="24"/>
      <c r="T327" s="21"/>
    </row>
    <row r="328" spans="1:20" ht="225">
      <c r="A328" s="31">
        <v>325</v>
      </c>
      <c r="B328" s="22" t="s">
        <v>39</v>
      </c>
      <c r="C328" s="22" t="s">
        <v>651</v>
      </c>
      <c r="D328" s="22" t="s">
        <v>709</v>
      </c>
      <c r="E328" s="23">
        <v>1</v>
      </c>
      <c r="F328" s="22" t="s">
        <v>690</v>
      </c>
      <c r="G328" s="22" t="s">
        <v>691</v>
      </c>
      <c r="H328" s="22" t="s">
        <v>30</v>
      </c>
      <c r="I328" s="22" t="s">
        <v>2132</v>
      </c>
      <c r="J328" s="22" t="s">
        <v>2102</v>
      </c>
      <c r="K328" s="757" t="s">
        <v>1438</v>
      </c>
      <c r="L328" s="22" t="s">
        <v>604</v>
      </c>
      <c r="M328" s="429">
        <v>2021</v>
      </c>
      <c r="N328" s="780" t="s">
        <v>2124</v>
      </c>
      <c r="O328" s="66" t="s">
        <v>59</v>
      </c>
      <c r="P328" s="67" t="s">
        <v>59</v>
      </c>
      <c r="Q328" s="22" t="s">
        <v>712</v>
      </c>
      <c r="R328" s="22" t="s">
        <v>695</v>
      </c>
      <c r="S328" s="24"/>
      <c r="T328" s="21"/>
    </row>
    <row r="329" spans="1:20" ht="225">
      <c r="A329" s="31">
        <v>326</v>
      </c>
      <c r="B329" s="22" t="s">
        <v>39</v>
      </c>
      <c r="C329" s="22" t="s">
        <v>651</v>
      </c>
      <c r="D329" s="22" t="s">
        <v>713</v>
      </c>
      <c r="E329" s="23">
        <v>1</v>
      </c>
      <c r="F329" s="22" t="s">
        <v>697</v>
      </c>
      <c r="G329" s="22" t="s">
        <v>691</v>
      </c>
      <c r="H329" s="22" t="s">
        <v>30</v>
      </c>
      <c r="I329" s="22" t="s">
        <v>2133</v>
      </c>
      <c r="J329" s="22" t="s">
        <v>2134</v>
      </c>
      <c r="K329" s="757" t="s">
        <v>1438</v>
      </c>
      <c r="L329" s="22" t="s">
        <v>604</v>
      </c>
      <c r="M329" s="429">
        <v>2021</v>
      </c>
      <c r="N329" s="780" t="s">
        <v>2124</v>
      </c>
      <c r="O329" s="66" t="s">
        <v>59</v>
      </c>
      <c r="P329" s="67" t="s">
        <v>59</v>
      </c>
      <c r="Q329" s="22" t="s">
        <v>712</v>
      </c>
      <c r="R329" s="22" t="s">
        <v>695</v>
      </c>
      <c r="S329" s="24"/>
      <c r="T329" s="21"/>
    </row>
    <row r="330" spans="1:20" ht="225">
      <c r="A330" s="31">
        <v>327</v>
      </c>
      <c r="B330" s="22" t="s">
        <v>39</v>
      </c>
      <c r="C330" s="22" t="s">
        <v>651</v>
      </c>
      <c r="D330" s="22" t="s">
        <v>716</v>
      </c>
      <c r="E330" s="23">
        <v>1</v>
      </c>
      <c r="F330" s="22" t="s">
        <v>701</v>
      </c>
      <c r="G330" s="22" t="s">
        <v>691</v>
      </c>
      <c r="H330" s="22" t="s">
        <v>30</v>
      </c>
      <c r="I330" s="22" t="s">
        <v>2135</v>
      </c>
      <c r="J330" s="22" t="s">
        <v>2136</v>
      </c>
      <c r="K330" s="757" t="s">
        <v>1438</v>
      </c>
      <c r="L330" s="22" t="s">
        <v>604</v>
      </c>
      <c r="M330" s="429">
        <v>2021</v>
      </c>
      <c r="N330" s="780" t="s">
        <v>2124</v>
      </c>
      <c r="O330" s="66" t="s">
        <v>59</v>
      </c>
      <c r="P330" s="67" t="s">
        <v>59</v>
      </c>
      <c r="Q330" s="22" t="s">
        <v>712</v>
      </c>
      <c r="R330" s="22" t="s">
        <v>695</v>
      </c>
      <c r="S330" s="24"/>
      <c r="T330" s="21"/>
    </row>
    <row r="331" spans="1:20" ht="225">
      <c r="A331" s="31">
        <v>328</v>
      </c>
      <c r="B331" s="22" t="s">
        <v>39</v>
      </c>
      <c r="C331" s="22" t="s">
        <v>651</v>
      </c>
      <c r="D331" s="22" t="s">
        <v>719</v>
      </c>
      <c r="E331" s="23">
        <v>1</v>
      </c>
      <c r="F331" s="22" t="s">
        <v>705</v>
      </c>
      <c r="G331" s="22" t="s">
        <v>691</v>
      </c>
      <c r="H331" s="22" t="s">
        <v>30</v>
      </c>
      <c r="I331" s="22" t="s">
        <v>2137</v>
      </c>
      <c r="J331" s="22" t="s">
        <v>2138</v>
      </c>
      <c r="K331" s="757" t="s">
        <v>1438</v>
      </c>
      <c r="L331" s="22" t="s">
        <v>604</v>
      </c>
      <c r="M331" s="429">
        <v>2021</v>
      </c>
      <c r="N331" s="780" t="s">
        <v>2124</v>
      </c>
      <c r="O331" s="66" t="s">
        <v>59</v>
      </c>
      <c r="P331" s="67" t="s">
        <v>59</v>
      </c>
      <c r="Q331" s="22" t="s">
        <v>712</v>
      </c>
      <c r="R331" s="22" t="s">
        <v>695</v>
      </c>
      <c r="S331" s="24"/>
      <c r="T331" s="21"/>
    </row>
    <row r="332" spans="1:20" ht="285">
      <c r="A332" s="32">
        <v>329</v>
      </c>
      <c r="B332" s="25" t="s">
        <v>39</v>
      </c>
      <c r="C332" s="25" t="s">
        <v>722</v>
      </c>
      <c r="D332" s="25" t="s">
        <v>723</v>
      </c>
      <c r="E332" s="26">
        <v>1</v>
      </c>
      <c r="F332" s="25" t="s">
        <v>724</v>
      </c>
      <c r="G332" s="25" t="s">
        <v>725</v>
      </c>
      <c r="H332" s="25" t="s">
        <v>30</v>
      </c>
      <c r="I332" s="25" t="s">
        <v>726</v>
      </c>
      <c r="J332" s="25" t="s">
        <v>727</v>
      </c>
      <c r="K332" s="757" t="s">
        <v>1438</v>
      </c>
      <c r="L332" s="25" t="s">
        <v>604</v>
      </c>
      <c r="M332" s="760">
        <v>2021</v>
      </c>
      <c r="N332" s="780" t="s">
        <v>2139</v>
      </c>
      <c r="O332" s="281" t="s">
        <v>59</v>
      </c>
      <c r="P332" s="526" t="s">
        <v>59</v>
      </c>
      <c r="Q332" s="25" t="s">
        <v>730</v>
      </c>
      <c r="R332" s="25" t="s">
        <v>2106</v>
      </c>
      <c r="S332" s="28"/>
      <c r="T332" s="27"/>
    </row>
    <row r="333" spans="1:20">
      <c r="M333" s="761"/>
      <c r="N333" s="781"/>
    </row>
  </sheetData>
  <autoFilter xmlns:x14="http://schemas.microsoft.com/office/spreadsheetml/2009/9/main" ref="A2:T332" xr:uid="{DD722625-2FFE-4D73-B946-0368D2113E98}">
    <filterColumn colId="13">
      <filters>
        <mc:AlternateContent xmlns:mc="http://schemas.openxmlformats.org/markup-compatibility/2006">
          <mc:Choice Requires="x14">
            <x14:filter val="N/A - The statewide goals to be tracked are still under collaborative discussion with ED and not yet available; hence, no data will be reported for 2020"/>
            <x14:filter val="N/A—  TPMs will be used once 3P implentation contracts have been awarded."/>
            <x14:filter val="N/A—TFPs will begin once 3P implentation contracts have been awarded."/>
            <x14:filter val="N/A—TPMs will initiated once 3P implentation contracts have been awarded."/>
            <x14:filter val="Per ED, to be determined by an ED study*"/>
            <x14:filter val="Sector:_x000a_ Residential = 605  _x000a_Non-res= 8244_x000a__x000a__x000a_Segment: _x000a_Agriculture - 59               _x000a_Building Design &amp; Construction - 1065_x000a_Building Performance - 191 _x000a_Commercial &amp; Industrial Energy Process &amp; Technology (CIEPT) - 244_x000a_Energy Codes &amp; Standards - 36_x000a_Food Service - 35_x000a_Home Performance - 719_x000a_HVAC - 4699_x000a_Lighting - 246_x000a_Market, Finance &amp; Sales - 654_x000a_Rates, Rebate &amp; Incentive Programs - 43_x000a_Real Estate - 295_x000a_Renewable Energy &amp; Sustainability - 232_x000a_Zero-Net Energy - 331_x000a__x000a_*Data was not tracked in line with other segments"/>
            <x14:filter val="See ETP-M4"/>
          </mc:Choice>
          <mc:Fallback>
            <filter val="N/A - The statewide goals to be tracked are still under collaborative discussion with ED and not yet available; hence, no data will be reported for 2020"/>
            <filter val="N/A—  TPMs will be used once 3P implentation contracts have been awarded."/>
            <filter val="N/A—TFPs will begin once 3P implentation contracts have been awarded."/>
            <filter val="N/A—TPMs will initiated once 3P implentation contracts have been awarded."/>
            <filter val="Per ED, to be determined by an ED study*"/>
            <filter val="See ETP-M4"/>
          </mc:Fallback>
        </mc:AlternateContent>
      </filters>
    </filterColumn>
  </autoFilter>
  <printOptions horizontalCentered="1"/>
  <pageMargins left="0.2" right="0.2" top="0.75" bottom="0.75" header="0.3" footer="0.3"/>
  <pageSetup scale="65" fitToHeight="0" orientation="landscape" r:id="rId1"/>
  <headerFooter>
    <oddFooter>&amp;RMay 1, 2019</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2528-72B9-4878-93C5-A074158937C8}">
  <sheetPr>
    <tabColor rgb="FF00B0F0"/>
    <pageSetUpPr fitToPage="1"/>
  </sheetPr>
  <dimension ref="A1:Y332"/>
  <sheetViews>
    <sheetView showGridLines="0" zoomScaleNormal="100" zoomScaleSheetLayoutView="70" workbookViewId="0">
      <pane xSplit="9" ySplit="2" topLeftCell="P3" activePane="bottomRight" state="frozen"/>
      <selection activeCell="H3" sqref="H3"/>
      <selection pane="topRight" activeCell="H3" sqref="H3"/>
      <selection pane="bottomLeft" activeCell="H3" sqref="H3"/>
      <selection pane="bottomRight" activeCell="Q4" sqref="Q4"/>
    </sheetView>
  </sheetViews>
  <sheetFormatPr defaultColWidth="49.7109375" defaultRowHeight="15"/>
  <cols>
    <col min="1" max="1" width="5.28515625" style="15" bestFit="1" customWidth="1"/>
    <col min="2" max="2" width="9.28515625" style="13" bestFit="1" customWidth="1"/>
    <col min="3" max="3" width="10.85546875" style="13" bestFit="1" customWidth="1"/>
    <col min="4" max="4" width="12" style="13" bestFit="1" customWidth="1"/>
    <col min="5" max="5" width="12.85546875" style="15" bestFit="1" customWidth="1"/>
    <col min="6" max="6" width="19.28515625" style="15" bestFit="1" customWidth="1"/>
    <col min="7" max="7" width="22.140625" style="13" bestFit="1" customWidth="1"/>
    <col min="8" max="8" width="14.5703125" style="13" bestFit="1" customWidth="1"/>
    <col min="9" max="9" width="53.85546875" style="13" bestFit="1" customWidth="1"/>
    <col min="10" max="10" width="37.28515625" style="13" bestFit="1" customWidth="1"/>
    <col min="11" max="11" width="17.140625" style="516" bestFit="1" customWidth="1"/>
    <col min="12" max="12" width="13.140625" style="520" bestFit="1" customWidth="1"/>
    <col min="13" max="13" width="12.42578125" style="520" bestFit="1" customWidth="1"/>
    <col min="14" max="14" width="13.42578125" style="520" bestFit="1" customWidth="1"/>
    <col min="15" max="15" width="21.85546875" style="13" customWidth="1"/>
    <col min="16" max="16" width="21.5703125" style="427" bestFit="1" customWidth="1"/>
    <col min="17" max="17" width="23.140625" style="528" bestFit="1" customWidth="1"/>
    <col min="18" max="18" width="17.42578125" style="428" bestFit="1" customWidth="1"/>
    <col min="19" max="19" width="18.5703125" style="428" bestFit="1" customWidth="1"/>
    <col min="20" max="20" width="50.140625" style="16" bestFit="1" customWidth="1"/>
    <col min="21" max="21" width="63.85546875" style="13" bestFit="1" customWidth="1"/>
    <col min="22" max="22" width="17.28515625" style="13" bestFit="1" customWidth="1"/>
    <col min="23" max="23" width="11.5703125" style="13" bestFit="1" customWidth="1"/>
    <col min="24" max="24" width="15.42578125" style="488" hidden="1" customWidth="1"/>
    <col min="25" max="25" width="17.5703125" style="14" customWidth="1"/>
    <col min="26" max="16384" width="49.7109375" style="14"/>
  </cols>
  <sheetData>
    <row r="1" spans="1:25">
      <c r="A1" s="834" t="s">
        <v>16</v>
      </c>
      <c r="P1" s="845"/>
      <c r="Q1" s="846"/>
      <c r="R1" s="847"/>
      <c r="S1" s="848"/>
    </row>
    <row r="2" spans="1:25" s="18" customFormat="1" ht="50.45" customHeight="1">
      <c r="A2" s="834"/>
      <c r="B2" s="731" t="s">
        <v>22</v>
      </c>
      <c r="C2" s="731" t="s">
        <v>23</v>
      </c>
      <c r="D2" s="731" t="s">
        <v>24</v>
      </c>
      <c r="E2" s="333" t="s">
        <v>25</v>
      </c>
      <c r="F2" s="333" t="s">
        <v>26</v>
      </c>
      <c r="G2" s="333" t="s">
        <v>27</v>
      </c>
      <c r="H2" s="333" t="s">
        <v>28</v>
      </c>
      <c r="I2" s="333" t="s">
        <v>29</v>
      </c>
      <c r="J2" s="333" t="s">
        <v>30</v>
      </c>
      <c r="K2" s="581" t="s">
        <v>807</v>
      </c>
      <c r="L2" s="517" t="s">
        <v>808</v>
      </c>
      <c r="M2" s="517" t="s">
        <v>809</v>
      </c>
      <c r="N2" s="581" t="s">
        <v>810</v>
      </c>
      <c r="O2" s="413" t="s">
        <v>31</v>
      </c>
      <c r="P2" s="732" t="s">
        <v>32</v>
      </c>
      <c r="Q2" s="524" t="s">
        <v>811</v>
      </c>
      <c r="R2" s="370" t="s">
        <v>33</v>
      </c>
      <c r="S2" s="733" t="s">
        <v>34</v>
      </c>
      <c r="T2" s="333" t="s">
        <v>35</v>
      </c>
      <c r="U2" s="333" t="s">
        <v>36</v>
      </c>
      <c r="V2" s="333" t="s">
        <v>37</v>
      </c>
      <c r="W2" s="334" t="s">
        <v>38</v>
      </c>
      <c r="X2" s="489"/>
    </row>
    <row r="3" spans="1:25" s="18" customFormat="1" ht="30">
      <c r="A3" s="30">
        <v>0</v>
      </c>
      <c r="B3" s="19" t="s">
        <v>39</v>
      </c>
      <c r="C3" s="19" t="s">
        <v>40</v>
      </c>
      <c r="D3" s="19" t="s">
        <v>41</v>
      </c>
      <c r="E3" s="20" t="s">
        <v>42</v>
      </c>
      <c r="F3" s="19" t="s">
        <v>43</v>
      </c>
      <c r="G3" s="19" t="s">
        <v>44</v>
      </c>
      <c r="H3" s="19" t="s">
        <v>30</v>
      </c>
      <c r="I3" s="19" t="s">
        <v>45</v>
      </c>
      <c r="J3" s="19" t="s">
        <v>46</v>
      </c>
      <c r="K3" s="518" t="s">
        <v>812</v>
      </c>
      <c r="L3" s="521" t="s">
        <v>813</v>
      </c>
      <c r="M3" s="521" t="s">
        <v>814</v>
      </c>
      <c r="N3" s="521" t="s">
        <v>815</v>
      </c>
      <c r="O3" s="19" t="s">
        <v>47</v>
      </c>
      <c r="P3" s="426">
        <v>2021</v>
      </c>
      <c r="Q3" s="414">
        <f ca="1">SUMIF(INDIRECT("'"&amp;K3&amp;"'!c:c"),A3,INDIRECT("'"&amp;K3&amp;"'!i:i"))</f>
        <v>13909.089690152905</v>
      </c>
      <c r="R3" s="335" t="str">
        <f ca="1">IF($N3 = "N","N/A",SUMIF(INDIRECT("'"&amp;K3&amp;"'!j:j"),L3,INDIRECT("'"&amp;K3&amp;"'!q:q")))</f>
        <v>N/A</v>
      </c>
      <c r="S3" s="335" t="str">
        <f ca="1">IF($N3 = "N","N/A",SUMIF(INDIRECT("'"&amp;K3&amp;"'!j:j"),M3,INDIRECT("'"&amp;K3&amp;"'!q:q")))</f>
        <v>N/A</v>
      </c>
      <c r="T3" s="21" t="s">
        <v>48</v>
      </c>
      <c r="U3" s="19" t="s">
        <v>49</v>
      </c>
      <c r="V3" s="29"/>
      <c r="W3" s="21"/>
      <c r="X3" s="489"/>
      <c r="Y3" s="490"/>
    </row>
    <row r="4" spans="1:25" ht="45">
      <c r="A4" s="30">
        <v>1</v>
      </c>
      <c r="B4" s="19" t="s">
        <v>39</v>
      </c>
      <c r="C4" s="19" t="s">
        <v>50</v>
      </c>
      <c r="D4" s="19" t="s">
        <v>41</v>
      </c>
      <c r="E4" s="20" t="s">
        <v>51</v>
      </c>
      <c r="F4" s="19" t="s">
        <v>52</v>
      </c>
      <c r="G4" s="19" t="s">
        <v>53</v>
      </c>
      <c r="H4" s="19" t="s">
        <v>30</v>
      </c>
      <c r="I4" s="19" t="s">
        <v>54</v>
      </c>
      <c r="J4" s="22" t="s">
        <v>52</v>
      </c>
      <c r="K4" s="518" t="s">
        <v>812</v>
      </c>
      <c r="L4" s="521" t="s">
        <v>368</v>
      </c>
      <c r="M4" s="521" t="s">
        <v>816</v>
      </c>
      <c r="N4" s="521" t="s">
        <v>815</v>
      </c>
      <c r="O4" s="19" t="s">
        <v>47</v>
      </c>
      <c r="P4" s="426">
        <v>2021</v>
      </c>
      <c r="Q4" s="414">
        <f t="shared" ref="Q4:Q67" ca="1" si="0">SUMIF(INDIRECT("'"&amp;K4&amp;"'!c:c"),A4,INDIRECT("'"&amp;K4&amp;"'!i:i"))</f>
        <v>15503.688943589319</v>
      </c>
      <c r="R4" s="335" t="str">
        <f t="shared" ref="R4:R67" ca="1" si="1">IF($N4 = "N","N/A",SUMIF(INDIRECT("'"&amp;K4&amp;"'!j:j"),L4,INDIRECT("'"&amp;K4&amp;"'!q:q")))</f>
        <v>N/A</v>
      </c>
      <c r="S4" s="335" t="str">
        <f t="shared" ref="S4:S67" ca="1" si="2">IF($N4 = "N","N/A",SUMIF(INDIRECT("'"&amp;K4&amp;"'!j:j"),M4,INDIRECT("'"&amp;K4&amp;"'!q:q")))</f>
        <v>N/A</v>
      </c>
      <c r="T4" s="429" t="s">
        <v>48</v>
      </c>
      <c r="U4" s="19"/>
      <c r="V4" s="29"/>
      <c r="W4" s="21"/>
      <c r="Y4" s="490"/>
    </row>
    <row r="5" spans="1:25" ht="45">
      <c r="A5" s="31">
        <v>2</v>
      </c>
      <c r="B5" s="22" t="s">
        <v>39</v>
      </c>
      <c r="C5" s="22" t="s">
        <v>50</v>
      </c>
      <c r="D5" s="22" t="s">
        <v>41</v>
      </c>
      <c r="E5" s="23" t="s">
        <v>51</v>
      </c>
      <c r="F5" s="22" t="s">
        <v>55</v>
      </c>
      <c r="G5" s="22" t="s">
        <v>53</v>
      </c>
      <c r="H5" s="22" t="s">
        <v>30</v>
      </c>
      <c r="I5" s="22" t="s">
        <v>54</v>
      </c>
      <c r="J5" s="22" t="s">
        <v>55</v>
      </c>
      <c r="K5" s="518" t="s">
        <v>812</v>
      </c>
      <c r="L5" s="521" t="s">
        <v>373</v>
      </c>
      <c r="M5" s="521" t="s">
        <v>316</v>
      </c>
      <c r="N5" s="521" t="s">
        <v>815</v>
      </c>
      <c r="O5" s="22" t="s">
        <v>47</v>
      </c>
      <c r="P5" s="426">
        <v>2021</v>
      </c>
      <c r="Q5" s="414">
        <f t="shared" ca="1" si="0"/>
        <v>13165.070359019179</v>
      </c>
      <c r="R5" s="335" t="str">
        <f t="shared" ca="1" si="1"/>
        <v>N/A</v>
      </c>
      <c r="S5" s="335" t="str">
        <f t="shared" ca="1" si="2"/>
        <v>N/A</v>
      </c>
      <c r="T5" s="429" t="s">
        <v>48</v>
      </c>
      <c r="U5" s="22"/>
      <c r="V5" s="24"/>
      <c r="W5" s="21"/>
      <c r="Y5" s="490"/>
    </row>
    <row r="6" spans="1:25" ht="45">
      <c r="A6" s="31">
        <v>3</v>
      </c>
      <c r="B6" s="22" t="s">
        <v>39</v>
      </c>
      <c r="C6" s="22" t="s">
        <v>50</v>
      </c>
      <c r="D6" s="22" t="s">
        <v>41</v>
      </c>
      <c r="E6" s="23" t="s">
        <v>51</v>
      </c>
      <c r="F6" s="22" t="s">
        <v>56</v>
      </c>
      <c r="G6" s="22" t="s">
        <v>53</v>
      </c>
      <c r="H6" s="22" t="s">
        <v>30</v>
      </c>
      <c r="I6" s="22" t="s">
        <v>54</v>
      </c>
      <c r="J6" s="22" t="s">
        <v>56</v>
      </c>
      <c r="K6" s="518" t="s">
        <v>812</v>
      </c>
      <c r="L6" s="521" t="s">
        <v>817</v>
      </c>
      <c r="M6" s="521" t="s">
        <v>818</v>
      </c>
      <c r="N6" s="521" t="s">
        <v>815</v>
      </c>
      <c r="O6" s="22" t="s">
        <v>47</v>
      </c>
      <c r="P6" s="426">
        <v>2021</v>
      </c>
      <c r="Q6" s="414">
        <f t="shared" ca="1" si="0"/>
        <v>83775915.125015244</v>
      </c>
      <c r="R6" s="335" t="str">
        <f t="shared" ca="1" si="1"/>
        <v>N/A</v>
      </c>
      <c r="S6" s="335" t="str">
        <f t="shared" ca="1" si="2"/>
        <v>N/A</v>
      </c>
      <c r="T6" s="429" t="s">
        <v>48</v>
      </c>
      <c r="U6" s="22"/>
      <c r="V6" s="24"/>
      <c r="W6" s="21"/>
      <c r="Y6" s="490"/>
    </row>
    <row r="7" spans="1:25" ht="45">
      <c r="A7" s="31">
        <v>4</v>
      </c>
      <c r="B7" s="22" t="s">
        <v>39</v>
      </c>
      <c r="C7" s="22" t="s">
        <v>50</v>
      </c>
      <c r="D7" s="22" t="s">
        <v>41</v>
      </c>
      <c r="E7" s="23" t="s">
        <v>51</v>
      </c>
      <c r="F7" s="22" t="s">
        <v>57</v>
      </c>
      <c r="G7" s="22" t="s">
        <v>53</v>
      </c>
      <c r="H7" s="22" t="s">
        <v>30</v>
      </c>
      <c r="I7" s="22" t="s">
        <v>54</v>
      </c>
      <c r="J7" s="22" t="s">
        <v>57</v>
      </c>
      <c r="K7" s="518" t="s">
        <v>812</v>
      </c>
      <c r="L7" s="521" t="s">
        <v>819</v>
      </c>
      <c r="M7" s="521" t="s">
        <v>226</v>
      </c>
      <c r="N7" s="521" t="s">
        <v>815</v>
      </c>
      <c r="O7" s="22" t="s">
        <v>47</v>
      </c>
      <c r="P7" s="426">
        <v>2021</v>
      </c>
      <c r="Q7" s="414">
        <f t="shared" ca="1" si="0"/>
        <v>74953647.643607348</v>
      </c>
      <c r="R7" s="335" t="str">
        <f t="shared" ca="1" si="1"/>
        <v>N/A</v>
      </c>
      <c r="S7" s="335" t="str">
        <f t="shared" ca="1" si="2"/>
        <v>N/A</v>
      </c>
      <c r="T7" s="429" t="s">
        <v>48</v>
      </c>
      <c r="U7" s="22"/>
      <c r="V7" s="24"/>
      <c r="W7" s="21"/>
      <c r="Y7" s="490"/>
    </row>
    <row r="8" spans="1:25" ht="45">
      <c r="A8" s="31">
        <v>5</v>
      </c>
      <c r="B8" s="22" t="s">
        <v>39</v>
      </c>
      <c r="C8" s="22" t="s">
        <v>50</v>
      </c>
      <c r="D8" s="22" t="s">
        <v>41</v>
      </c>
      <c r="E8" s="23" t="s">
        <v>51</v>
      </c>
      <c r="F8" s="22" t="s">
        <v>58</v>
      </c>
      <c r="G8" s="22" t="s">
        <v>53</v>
      </c>
      <c r="H8" s="22" t="s">
        <v>30</v>
      </c>
      <c r="I8" s="22" t="s">
        <v>54</v>
      </c>
      <c r="J8" s="22" t="s">
        <v>58</v>
      </c>
      <c r="K8" s="518" t="s">
        <v>812</v>
      </c>
      <c r="L8" s="521" t="s">
        <v>820</v>
      </c>
      <c r="M8" s="521" t="s">
        <v>234</v>
      </c>
      <c r="N8" s="521" t="s">
        <v>815</v>
      </c>
      <c r="O8" s="22" t="s">
        <v>47</v>
      </c>
      <c r="P8" s="426">
        <v>2021</v>
      </c>
      <c r="Q8" s="414">
        <f t="shared" ca="1" si="0"/>
        <v>3628218.8727099746</v>
      </c>
      <c r="R8" s="335" t="str">
        <f t="shared" ca="1" si="1"/>
        <v>N/A</v>
      </c>
      <c r="S8" s="335" t="str">
        <f t="shared" ca="1" si="2"/>
        <v>N/A</v>
      </c>
      <c r="T8" s="429" t="s">
        <v>48</v>
      </c>
      <c r="U8" s="22" t="s">
        <v>49</v>
      </c>
      <c r="V8" s="24"/>
      <c r="W8" s="21"/>
      <c r="Y8" s="490"/>
    </row>
    <row r="9" spans="1:25" ht="45">
      <c r="A9" s="31">
        <v>6</v>
      </c>
      <c r="B9" s="22" t="s">
        <v>39</v>
      </c>
      <c r="C9" s="22" t="s">
        <v>50</v>
      </c>
      <c r="D9" s="22" t="s">
        <v>41</v>
      </c>
      <c r="E9" s="23" t="s">
        <v>51</v>
      </c>
      <c r="F9" s="22" t="s">
        <v>60</v>
      </c>
      <c r="G9" s="22" t="s">
        <v>53</v>
      </c>
      <c r="H9" s="22" t="s">
        <v>30</v>
      </c>
      <c r="I9" s="22" t="s">
        <v>54</v>
      </c>
      <c r="J9" s="22" t="s">
        <v>60</v>
      </c>
      <c r="K9" s="518" t="s">
        <v>812</v>
      </c>
      <c r="L9" s="521" t="s">
        <v>821</v>
      </c>
      <c r="M9" s="521" t="s">
        <v>822</v>
      </c>
      <c r="N9" s="521" t="s">
        <v>815</v>
      </c>
      <c r="O9" s="22" t="s">
        <v>47</v>
      </c>
      <c r="P9" s="426">
        <v>2021</v>
      </c>
      <c r="Q9" s="414">
        <f t="shared" ca="1" si="0"/>
        <v>2801901.2312931735</v>
      </c>
      <c r="R9" s="335" t="str">
        <f t="shared" ca="1" si="1"/>
        <v>N/A</v>
      </c>
      <c r="S9" s="335" t="str">
        <f t="shared" ca="1" si="2"/>
        <v>N/A</v>
      </c>
      <c r="T9" s="429" t="s">
        <v>48</v>
      </c>
      <c r="U9" s="22" t="s">
        <v>49</v>
      </c>
      <c r="V9" s="24"/>
      <c r="W9" s="21"/>
      <c r="Y9" s="490"/>
    </row>
    <row r="10" spans="1:25" ht="45">
      <c r="A10" s="31">
        <v>7</v>
      </c>
      <c r="B10" s="22" t="s">
        <v>39</v>
      </c>
      <c r="C10" s="22" t="s">
        <v>50</v>
      </c>
      <c r="D10" s="22" t="s">
        <v>41</v>
      </c>
      <c r="E10" s="23" t="s">
        <v>51</v>
      </c>
      <c r="F10" s="22" t="s">
        <v>61</v>
      </c>
      <c r="G10" s="22" t="s">
        <v>53</v>
      </c>
      <c r="H10" s="22" t="s">
        <v>30</v>
      </c>
      <c r="I10" s="22" t="s">
        <v>54</v>
      </c>
      <c r="J10" s="22" t="s">
        <v>61</v>
      </c>
      <c r="K10" s="518" t="s">
        <v>812</v>
      </c>
      <c r="L10" s="521" t="s">
        <v>823</v>
      </c>
      <c r="M10" s="521" t="s">
        <v>824</v>
      </c>
      <c r="N10" s="521" t="s">
        <v>815</v>
      </c>
      <c r="O10" s="22" t="s">
        <v>47</v>
      </c>
      <c r="P10" s="426">
        <v>2021</v>
      </c>
      <c r="Q10" s="414">
        <f t="shared" ca="1" si="0"/>
        <v>113656.46164690032</v>
      </c>
      <c r="R10" s="335" t="str">
        <f t="shared" ca="1" si="1"/>
        <v>N/A</v>
      </c>
      <c r="S10" s="335" t="str">
        <f t="shared" ca="1" si="2"/>
        <v>N/A</v>
      </c>
      <c r="T10" s="429" t="s">
        <v>48</v>
      </c>
      <c r="U10" s="22"/>
      <c r="V10" s="24"/>
      <c r="W10" s="21"/>
      <c r="Y10" s="490"/>
    </row>
    <row r="11" spans="1:25" ht="45">
      <c r="A11" s="31">
        <v>8</v>
      </c>
      <c r="B11" s="22" t="s">
        <v>39</v>
      </c>
      <c r="C11" s="22" t="s">
        <v>50</v>
      </c>
      <c r="D11" s="22" t="s">
        <v>41</v>
      </c>
      <c r="E11" s="23" t="s">
        <v>51</v>
      </c>
      <c r="F11" s="22" t="s">
        <v>62</v>
      </c>
      <c r="G11" s="22" t="s">
        <v>53</v>
      </c>
      <c r="H11" s="22" t="s">
        <v>30</v>
      </c>
      <c r="I11" s="22" t="s">
        <v>54</v>
      </c>
      <c r="J11" s="22" t="s">
        <v>62</v>
      </c>
      <c r="K11" s="518" t="s">
        <v>812</v>
      </c>
      <c r="L11" s="521" t="s">
        <v>825</v>
      </c>
      <c r="M11" s="521" t="s">
        <v>826</v>
      </c>
      <c r="N11" s="521" t="s">
        <v>815</v>
      </c>
      <c r="O11" s="22" t="s">
        <v>47</v>
      </c>
      <c r="P11" s="426">
        <v>2021</v>
      </c>
      <c r="Q11" s="414">
        <f t="shared" ca="1" si="0"/>
        <v>82591.919571197563</v>
      </c>
      <c r="R11" s="335" t="str">
        <f t="shared" ca="1" si="1"/>
        <v>N/A</v>
      </c>
      <c r="S11" s="335" t="str">
        <f t="shared" ca="1" si="2"/>
        <v>N/A</v>
      </c>
      <c r="T11" s="429" t="s">
        <v>48</v>
      </c>
      <c r="U11" s="22"/>
      <c r="V11" s="24"/>
      <c r="W11" s="21"/>
      <c r="Y11" s="490"/>
    </row>
    <row r="12" spans="1:25" ht="45">
      <c r="A12" s="31">
        <v>9</v>
      </c>
      <c r="B12" s="22" t="s">
        <v>39</v>
      </c>
      <c r="C12" s="22" t="s">
        <v>50</v>
      </c>
      <c r="D12" s="22" t="s">
        <v>41</v>
      </c>
      <c r="E12" s="23" t="s">
        <v>51</v>
      </c>
      <c r="F12" s="22" t="s">
        <v>63</v>
      </c>
      <c r="G12" s="22" t="s">
        <v>53</v>
      </c>
      <c r="H12" s="22" t="s">
        <v>30</v>
      </c>
      <c r="I12" s="22" t="s">
        <v>54</v>
      </c>
      <c r="J12" s="22" t="s">
        <v>63</v>
      </c>
      <c r="K12" s="518" t="s">
        <v>812</v>
      </c>
      <c r="L12" s="521" t="s">
        <v>827</v>
      </c>
      <c r="M12" s="521" t="s">
        <v>828</v>
      </c>
      <c r="N12" s="521" t="s">
        <v>815</v>
      </c>
      <c r="O12" s="22" t="s">
        <v>47</v>
      </c>
      <c r="P12" s="426">
        <v>2021</v>
      </c>
      <c r="Q12" s="414">
        <f t="shared" ca="1" si="0"/>
        <v>417357893.1534391</v>
      </c>
      <c r="R12" s="335" t="str">
        <f t="shared" ca="1" si="1"/>
        <v>N/A</v>
      </c>
      <c r="S12" s="335" t="str">
        <f t="shared" ca="1" si="2"/>
        <v>N/A</v>
      </c>
      <c r="T12" s="429" t="s">
        <v>48</v>
      </c>
      <c r="U12" s="22"/>
      <c r="V12" s="24"/>
      <c r="W12" s="21"/>
      <c r="Y12" s="490"/>
    </row>
    <row r="13" spans="1:25" ht="45">
      <c r="A13" s="31">
        <v>10</v>
      </c>
      <c r="B13" s="22" t="s">
        <v>39</v>
      </c>
      <c r="C13" s="22" t="s">
        <v>50</v>
      </c>
      <c r="D13" s="22" t="s">
        <v>41</v>
      </c>
      <c r="E13" s="23" t="s">
        <v>51</v>
      </c>
      <c r="F13" s="22" t="s">
        <v>64</v>
      </c>
      <c r="G13" s="22" t="s">
        <v>53</v>
      </c>
      <c r="H13" s="22" t="s">
        <v>30</v>
      </c>
      <c r="I13" s="22" t="s">
        <v>54</v>
      </c>
      <c r="J13" s="22" t="s">
        <v>64</v>
      </c>
      <c r="K13" s="518" t="s">
        <v>812</v>
      </c>
      <c r="L13" s="521" t="s">
        <v>829</v>
      </c>
      <c r="M13" s="521" t="s">
        <v>830</v>
      </c>
      <c r="N13" s="521" t="s">
        <v>815</v>
      </c>
      <c r="O13" s="22" t="s">
        <v>47</v>
      </c>
      <c r="P13" s="426">
        <v>2021</v>
      </c>
      <c r="Q13" s="414">
        <f t="shared" ca="1" si="0"/>
        <v>317861282.74625093</v>
      </c>
      <c r="R13" s="335" t="str">
        <f t="shared" ca="1" si="1"/>
        <v>N/A</v>
      </c>
      <c r="S13" s="335" t="str">
        <f t="shared" ca="1" si="2"/>
        <v>N/A</v>
      </c>
      <c r="T13" s="429" t="s">
        <v>48</v>
      </c>
      <c r="U13" s="22"/>
      <c r="V13" s="24"/>
      <c r="W13" s="21"/>
      <c r="Y13" s="490"/>
    </row>
    <row r="14" spans="1:25" ht="45">
      <c r="A14" s="31">
        <v>11</v>
      </c>
      <c r="B14" s="22" t="s">
        <v>39</v>
      </c>
      <c r="C14" s="22" t="s">
        <v>50</v>
      </c>
      <c r="D14" s="22" t="s">
        <v>41</v>
      </c>
      <c r="E14" s="23" t="s">
        <v>51</v>
      </c>
      <c r="F14" s="22" t="s">
        <v>65</v>
      </c>
      <c r="G14" s="22" t="s">
        <v>53</v>
      </c>
      <c r="H14" s="22" t="s">
        <v>30</v>
      </c>
      <c r="I14" s="22" t="s">
        <v>54</v>
      </c>
      <c r="J14" s="22" t="s">
        <v>65</v>
      </c>
      <c r="K14" s="518" t="s">
        <v>812</v>
      </c>
      <c r="L14" s="521" t="s">
        <v>831</v>
      </c>
      <c r="M14" s="521" t="s">
        <v>832</v>
      </c>
      <c r="N14" s="521" t="s">
        <v>815</v>
      </c>
      <c r="O14" s="22" t="s">
        <v>47</v>
      </c>
      <c r="P14" s="426">
        <v>2021</v>
      </c>
      <c r="Q14" s="414">
        <f t="shared" ca="1" si="0"/>
        <v>26799047.356759451</v>
      </c>
      <c r="R14" s="335" t="str">
        <f t="shared" ca="1" si="1"/>
        <v>N/A</v>
      </c>
      <c r="S14" s="335" t="str">
        <f t="shared" ca="1" si="2"/>
        <v>N/A</v>
      </c>
      <c r="T14" s="429" t="s">
        <v>48</v>
      </c>
      <c r="U14" s="22" t="s">
        <v>49</v>
      </c>
      <c r="V14" s="24"/>
      <c r="W14" s="21"/>
      <c r="Y14" s="490"/>
    </row>
    <row r="15" spans="1:25" ht="45">
      <c r="A15" s="31">
        <v>12</v>
      </c>
      <c r="B15" s="22" t="s">
        <v>39</v>
      </c>
      <c r="C15" s="22" t="s">
        <v>50</v>
      </c>
      <c r="D15" s="22" t="s">
        <v>41</v>
      </c>
      <c r="E15" s="23" t="s">
        <v>51</v>
      </c>
      <c r="F15" s="22" t="s">
        <v>66</v>
      </c>
      <c r="G15" s="22" t="s">
        <v>53</v>
      </c>
      <c r="H15" s="22" t="s">
        <v>30</v>
      </c>
      <c r="I15" s="22" t="s">
        <v>54</v>
      </c>
      <c r="J15" s="22" t="s">
        <v>66</v>
      </c>
      <c r="K15" s="518" t="s">
        <v>812</v>
      </c>
      <c r="L15" s="521" t="s">
        <v>833</v>
      </c>
      <c r="M15" s="521" t="s">
        <v>834</v>
      </c>
      <c r="N15" s="521" t="s">
        <v>815</v>
      </c>
      <c r="O15" s="22" t="s">
        <v>47</v>
      </c>
      <c r="P15" s="426">
        <v>2021</v>
      </c>
      <c r="Q15" s="414">
        <f t="shared" ca="1" si="0"/>
        <v>18119908.611436103</v>
      </c>
      <c r="R15" s="335" t="str">
        <f t="shared" ca="1" si="1"/>
        <v>N/A</v>
      </c>
      <c r="S15" s="335" t="str">
        <f t="shared" ca="1" si="2"/>
        <v>N/A</v>
      </c>
      <c r="T15" s="429" t="s">
        <v>48</v>
      </c>
      <c r="U15" s="22" t="s">
        <v>49</v>
      </c>
      <c r="V15" s="24"/>
      <c r="W15" s="21"/>
      <c r="Y15" s="490"/>
    </row>
    <row r="16" spans="1:25" ht="45">
      <c r="A16" s="31">
        <v>13</v>
      </c>
      <c r="B16" s="22" t="s">
        <v>39</v>
      </c>
      <c r="C16" s="22" t="s">
        <v>50</v>
      </c>
      <c r="D16" s="22" t="s">
        <v>67</v>
      </c>
      <c r="E16" s="23" t="s">
        <v>68</v>
      </c>
      <c r="F16" s="22" t="s">
        <v>52</v>
      </c>
      <c r="G16" s="22" t="s">
        <v>69</v>
      </c>
      <c r="H16" s="22" t="s">
        <v>30</v>
      </c>
      <c r="I16" s="22" t="s">
        <v>70</v>
      </c>
      <c r="J16" s="22" t="s">
        <v>71</v>
      </c>
      <c r="K16" s="518" t="s">
        <v>812</v>
      </c>
      <c r="L16" s="521" t="s">
        <v>835</v>
      </c>
      <c r="M16" s="521" t="s">
        <v>836</v>
      </c>
      <c r="N16" s="521" t="s">
        <v>815</v>
      </c>
      <c r="O16" s="22" t="s">
        <v>47</v>
      </c>
      <c r="P16" s="426">
        <v>2021</v>
      </c>
      <c r="Q16" s="414">
        <f t="shared" ca="1" si="0"/>
        <v>119.86782892385489</v>
      </c>
      <c r="R16" s="335" t="str">
        <f t="shared" ca="1" si="1"/>
        <v>N/A</v>
      </c>
      <c r="S16" s="335" t="str">
        <f t="shared" ca="1" si="2"/>
        <v>N/A</v>
      </c>
      <c r="T16" s="429"/>
      <c r="U16" s="22"/>
      <c r="V16" s="24"/>
      <c r="W16" s="21"/>
      <c r="Y16" s="490"/>
    </row>
    <row r="17" spans="1:25" ht="45">
      <c r="A17" s="31">
        <v>14</v>
      </c>
      <c r="B17" s="22" t="s">
        <v>39</v>
      </c>
      <c r="C17" s="22" t="s">
        <v>50</v>
      </c>
      <c r="D17" s="22" t="s">
        <v>67</v>
      </c>
      <c r="E17" s="23" t="s">
        <v>68</v>
      </c>
      <c r="F17" s="22" t="s">
        <v>55</v>
      </c>
      <c r="G17" s="22" t="s">
        <v>69</v>
      </c>
      <c r="H17" s="22" t="s">
        <v>30</v>
      </c>
      <c r="I17" s="22" t="s">
        <v>70</v>
      </c>
      <c r="J17" s="22" t="s">
        <v>72</v>
      </c>
      <c r="K17" s="518" t="s">
        <v>812</v>
      </c>
      <c r="L17" s="521" t="s">
        <v>837</v>
      </c>
      <c r="M17" s="521" t="s">
        <v>838</v>
      </c>
      <c r="N17" s="521" t="s">
        <v>815</v>
      </c>
      <c r="O17" s="22" t="s">
        <v>47</v>
      </c>
      <c r="P17" s="426">
        <v>2021</v>
      </c>
      <c r="Q17" s="414">
        <f t="shared" ca="1" si="0"/>
        <v>98.268089910008712</v>
      </c>
      <c r="R17" s="335" t="str">
        <f t="shared" ca="1" si="1"/>
        <v>N/A</v>
      </c>
      <c r="S17" s="335" t="str">
        <f t="shared" ca="1" si="2"/>
        <v>N/A</v>
      </c>
      <c r="T17" s="429"/>
      <c r="U17" s="22"/>
      <c r="V17" s="24"/>
      <c r="W17" s="21"/>
      <c r="Y17" s="490"/>
    </row>
    <row r="18" spans="1:25" ht="45">
      <c r="A18" s="31">
        <v>15</v>
      </c>
      <c r="B18" s="22" t="s">
        <v>39</v>
      </c>
      <c r="C18" s="22" t="s">
        <v>50</v>
      </c>
      <c r="D18" s="22" t="s">
        <v>67</v>
      </c>
      <c r="E18" s="23" t="s">
        <v>68</v>
      </c>
      <c r="F18" s="22" t="s">
        <v>56</v>
      </c>
      <c r="G18" s="22" t="s">
        <v>69</v>
      </c>
      <c r="H18" s="22" t="s">
        <v>30</v>
      </c>
      <c r="I18" s="22" t="s">
        <v>70</v>
      </c>
      <c r="J18" s="22" t="s">
        <v>73</v>
      </c>
      <c r="K18" s="518" t="s">
        <v>812</v>
      </c>
      <c r="L18" s="521" t="s">
        <v>839</v>
      </c>
      <c r="M18" s="521" t="s">
        <v>840</v>
      </c>
      <c r="N18" s="521" t="s">
        <v>815</v>
      </c>
      <c r="O18" s="22" t="s">
        <v>47</v>
      </c>
      <c r="P18" s="426">
        <v>2021</v>
      </c>
      <c r="Q18" s="414">
        <f t="shared" ca="1" si="0"/>
        <v>952500.30260660627</v>
      </c>
      <c r="R18" s="335" t="str">
        <f t="shared" ca="1" si="1"/>
        <v>N/A</v>
      </c>
      <c r="S18" s="335" t="str">
        <f t="shared" ca="1" si="2"/>
        <v>N/A</v>
      </c>
      <c r="T18" s="429"/>
      <c r="U18" s="22"/>
      <c r="V18" s="24"/>
      <c r="W18" s="21"/>
      <c r="Y18" s="490"/>
    </row>
    <row r="19" spans="1:25" ht="45">
      <c r="A19" s="31">
        <v>16</v>
      </c>
      <c r="B19" s="22" t="s">
        <v>39</v>
      </c>
      <c r="C19" s="22" t="s">
        <v>50</v>
      </c>
      <c r="D19" s="22" t="s">
        <v>67</v>
      </c>
      <c r="E19" s="23" t="s">
        <v>68</v>
      </c>
      <c r="F19" s="22" t="s">
        <v>57</v>
      </c>
      <c r="G19" s="22" t="s">
        <v>69</v>
      </c>
      <c r="H19" s="22" t="s">
        <v>30</v>
      </c>
      <c r="I19" s="22" t="s">
        <v>70</v>
      </c>
      <c r="J19" s="22" t="s">
        <v>74</v>
      </c>
      <c r="K19" s="518" t="s">
        <v>812</v>
      </c>
      <c r="L19" s="521" t="s">
        <v>841</v>
      </c>
      <c r="M19" s="521" t="s">
        <v>842</v>
      </c>
      <c r="N19" s="521" t="s">
        <v>815</v>
      </c>
      <c r="O19" s="22" t="s">
        <v>47</v>
      </c>
      <c r="P19" s="426">
        <v>2021</v>
      </c>
      <c r="Q19" s="414">
        <f t="shared" ca="1" si="0"/>
        <v>798826.68871966167</v>
      </c>
      <c r="R19" s="335" t="str">
        <f t="shared" ca="1" si="1"/>
        <v>N/A</v>
      </c>
      <c r="S19" s="335" t="str">
        <f t="shared" ca="1" si="2"/>
        <v>N/A</v>
      </c>
      <c r="T19" s="429"/>
      <c r="U19" s="22"/>
      <c r="V19" s="24"/>
      <c r="W19" s="21"/>
      <c r="Y19" s="490"/>
    </row>
    <row r="20" spans="1:25" ht="45">
      <c r="A20" s="31">
        <v>17</v>
      </c>
      <c r="B20" s="22" t="s">
        <v>39</v>
      </c>
      <c r="C20" s="22" t="s">
        <v>50</v>
      </c>
      <c r="D20" s="22" t="s">
        <v>67</v>
      </c>
      <c r="E20" s="23" t="s">
        <v>68</v>
      </c>
      <c r="F20" s="22" t="s">
        <v>58</v>
      </c>
      <c r="G20" s="22" t="s">
        <v>69</v>
      </c>
      <c r="H20" s="22" t="s">
        <v>30</v>
      </c>
      <c r="I20" s="22" t="s">
        <v>70</v>
      </c>
      <c r="J20" s="22" t="s">
        <v>75</v>
      </c>
      <c r="K20" s="518" t="s">
        <v>812</v>
      </c>
      <c r="L20" s="521" t="s">
        <v>843</v>
      </c>
      <c r="M20" s="521" t="s">
        <v>844</v>
      </c>
      <c r="N20" s="521" t="s">
        <v>815</v>
      </c>
      <c r="O20" s="22" t="s">
        <v>47</v>
      </c>
      <c r="P20" s="426">
        <v>2021</v>
      </c>
      <c r="Q20" s="414">
        <f t="shared" ca="1" si="0"/>
        <v>44926.468624972251</v>
      </c>
      <c r="R20" s="335" t="str">
        <f t="shared" ca="1" si="1"/>
        <v>N/A</v>
      </c>
      <c r="S20" s="335" t="str">
        <f t="shared" ca="1" si="2"/>
        <v>N/A</v>
      </c>
      <c r="T20" s="429" t="s">
        <v>59</v>
      </c>
      <c r="U20" s="22" t="str">
        <f>Definitions!C$7</f>
        <v>D.18-05-041: DAC = Bill accounts in census tracts corresponding to census tracts in the top quartile of CalEnviroScreen 3.0 scores.</v>
      </c>
      <c r="V20" s="24"/>
      <c r="W20" s="21"/>
      <c r="Y20" s="490"/>
    </row>
    <row r="21" spans="1:25" ht="45">
      <c r="A21" s="31">
        <v>18</v>
      </c>
      <c r="B21" s="22" t="s">
        <v>39</v>
      </c>
      <c r="C21" s="22" t="s">
        <v>50</v>
      </c>
      <c r="D21" s="22" t="s">
        <v>67</v>
      </c>
      <c r="E21" s="23" t="s">
        <v>68</v>
      </c>
      <c r="F21" s="22" t="s">
        <v>60</v>
      </c>
      <c r="G21" s="22" t="s">
        <v>69</v>
      </c>
      <c r="H21" s="22" t="s">
        <v>30</v>
      </c>
      <c r="I21" s="22" t="s">
        <v>70</v>
      </c>
      <c r="J21" s="22" t="s">
        <v>76</v>
      </c>
      <c r="K21" s="518" t="s">
        <v>812</v>
      </c>
      <c r="L21" s="521" t="s">
        <v>845</v>
      </c>
      <c r="M21" s="521" t="s">
        <v>846</v>
      </c>
      <c r="N21" s="521" t="s">
        <v>815</v>
      </c>
      <c r="O21" s="22" t="s">
        <v>47</v>
      </c>
      <c r="P21" s="426">
        <v>2021</v>
      </c>
      <c r="Q21" s="414">
        <f t="shared" ca="1" si="0"/>
        <v>40823.678343138941</v>
      </c>
      <c r="R21" s="335" t="str">
        <f t="shared" ca="1" si="1"/>
        <v>N/A</v>
      </c>
      <c r="S21" s="335" t="str">
        <f t="shared" ca="1" si="2"/>
        <v>N/A</v>
      </c>
      <c r="T21" s="429" t="s">
        <v>59</v>
      </c>
      <c r="U21" s="22" t="str">
        <f>Definitions!C$7</f>
        <v>D.18-05-041: DAC = Bill accounts in census tracts corresponding to census tracts in the top quartile of CalEnviroScreen 3.0 scores.</v>
      </c>
      <c r="V21" s="24"/>
      <c r="W21" s="21"/>
      <c r="Y21" s="490"/>
    </row>
    <row r="22" spans="1:25" ht="45">
      <c r="A22" s="31">
        <v>19</v>
      </c>
      <c r="B22" s="22" t="s">
        <v>39</v>
      </c>
      <c r="C22" s="22" t="s">
        <v>50</v>
      </c>
      <c r="D22" s="22" t="s">
        <v>67</v>
      </c>
      <c r="E22" s="23" t="s">
        <v>68</v>
      </c>
      <c r="F22" s="22" t="s">
        <v>61</v>
      </c>
      <c r="G22" s="22" t="s">
        <v>69</v>
      </c>
      <c r="H22" s="22" t="s">
        <v>30</v>
      </c>
      <c r="I22" s="22" t="s">
        <v>70</v>
      </c>
      <c r="J22" s="22" t="s">
        <v>77</v>
      </c>
      <c r="K22" s="518" t="s">
        <v>812</v>
      </c>
      <c r="L22" s="521" t="s">
        <v>847</v>
      </c>
      <c r="M22" s="521" t="s">
        <v>848</v>
      </c>
      <c r="N22" s="521" t="s">
        <v>815</v>
      </c>
      <c r="O22" s="22" t="s">
        <v>47</v>
      </c>
      <c r="P22" s="426">
        <v>2021</v>
      </c>
      <c r="Q22" s="414">
        <f t="shared" ca="1" si="0"/>
        <v>715.69793776193637</v>
      </c>
      <c r="R22" s="335" t="str">
        <f t="shared" ca="1" si="1"/>
        <v>N/A</v>
      </c>
      <c r="S22" s="335" t="str">
        <f t="shared" ca="1" si="2"/>
        <v>N/A</v>
      </c>
      <c r="T22" s="429"/>
      <c r="U22" s="22"/>
      <c r="V22" s="24"/>
      <c r="W22" s="21"/>
      <c r="Y22" s="490"/>
    </row>
    <row r="23" spans="1:25" ht="45">
      <c r="A23" s="31">
        <v>20</v>
      </c>
      <c r="B23" s="22" t="s">
        <v>39</v>
      </c>
      <c r="C23" s="22" t="s">
        <v>50</v>
      </c>
      <c r="D23" s="22" t="s">
        <v>67</v>
      </c>
      <c r="E23" s="23" t="s">
        <v>68</v>
      </c>
      <c r="F23" s="22" t="s">
        <v>62</v>
      </c>
      <c r="G23" s="22" t="s">
        <v>69</v>
      </c>
      <c r="H23" s="22" t="s">
        <v>30</v>
      </c>
      <c r="I23" s="22" t="s">
        <v>70</v>
      </c>
      <c r="J23" s="22" t="s">
        <v>78</v>
      </c>
      <c r="K23" s="518" t="s">
        <v>812</v>
      </c>
      <c r="L23" s="521" t="s">
        <v>849</v>
      </c>
      <c r="M23" s="521" t="s">
        <v>850</v>
      </c>
      <c r="N23" s="521" t="s">
        <v>815</v>
      </c>
      <c r="O23" s="22" t="s">
        <v>47</v>
      </c>
      <c r="P23" s="426">
        <v>2021</v>
      </c>
      <c r="Q23" s="414">
        <f t="shared" ca="1" si="0"/>
        <v>589.1050072071248</v>
      </c>
      <c r="R23" s="335" t="str">
        <f t="shared" ca="1" si="1"/>
        <v>N/A</v>
      </c>
      <c r="S23" s="335" t="str">
        <f t="shared" ca="1" si="2"/>
        <v>N/A</v>
      </c>
      <c r="T23" s="429"/>
      <c r="U23" s="22"/>
      <c r="V23" s="24"/>
      <c r="W23" s="21"/>
      <c r="Y23" s="490"/>
    </row>
    <row r="24" spans="1:25" ht="45">
      <c r="A24" s="31">
        <v>21</v>
      </c>
      <c r="B24" s="22" t="s">
        <v>39</v>
      </c>
      <c r="C24" s="22" t="s">
        <v>50</v>
      </c>
      <c r="D24" s="22" t="s">
        <v>67</v>
      </c>
      <c r="E24" s="23" t="s">
        <v>68</v>
      </c>
      <c r="F24" s="22" t="s">
        <v>63</v>
      </c>
      <c r="G24" s="22" t="s">
        <v>69</v>
      </c>
      <c r="H24" s="22" t="s">
        <v>30</v>
      </c>
      <c r="I24" s="22" t="s">
        <v>70</v>
      </c>
      <c r="J24" s="22" t="s">
        <v>79</v>
      </c>
      <c r="K24" s="518" t="s">
        <v>812</v>
      </c>
      <c r="L24" s="521" t="s">
        <v>851</v>
      </c>
      <c r="M24" s="521" t="s">
        <v>852</v>
      </c>
      <c r="N24" s="521" t="s">
        <v>815</v>
      </c>
      <c r="O24" s="22" t="s">
        <v>47</v>
      </c>
      <c r="P24" s="426">
        <v>2021</v>
      </c>
      <c r="Q24" s="414">
        <f t="shared" ca="1" si="0"/>
        <v>5055362.0642964551</v>
      </c>
      <c r="R24" s="335" t="str">
        <f t="shared" ca="1" si="1"/>
        <v>N/A</v>
      </c>
      <c r="S24" s="335" t="str">
        <f t="shared" ca="1" si="2"/>
        <v>N/A</v>
      </c>
      <c r="T24" s="429"/>
      <c r="U24" s="22"/>
      <c r="V24" s="24"/>
      <c r="W24" s="21"/>
      <c r="Y24" s="490"/>
    </row>
    <row r="25" spans="1:25" ht="45">
      <c r="A25" s="31">
        <v>22</v>
      </c>
      <c r="B25" s="22" t="s">
        <v>39</v>
      </c>
      <c r="C25" s="22" t="s">
        <v>50</v>
      </c>
      <c r="D25" s="22" t="s">
        <v>67</v>
      </c>
      <c r="E25" s="23" t="s">
        <v>68</v>
      </c>
      <c r="F25" s="22" t="s">
        <v>64</v>
      </c>
      <c r="G25" s="22" t="s">
        <v>69</v>
      </c>
      <c r="H25" s="22" t="s">
        <v>30</v>
      </c>
      <c r="I25" s="22" t="s">
        <v>70</v>
      </c>
      <c r="J25" s="22" t="s">
        <v>80</v>
      </c>
      <c r="K25" s="518" t="s">
        <v>812</v>
      </c>
      <c r="L25" s="521" t="s">
        <v>853</v>
      </c>
      <c r="M25" s="521" t="s">
        <v>854</v>
      </c>
      <c r="N25" s="521" t="s">
        <v>815</v>
      </c>
      <c r="O25" s="22" t="s">
        <v>47</v>
      </c>
      <c r="P25" s="426">
        <v>2021</v>
      </c>
      <c r="Q25" s="414">
        <f t="shared" ca="1" si="0"/>
        <v>4245994.4595415313</v>
      </c>
      <c r="R25" s="335" t="str">
        <f t="shared" ca="1" si="1"/>
        <v>N/A</v>
      </c>
      <c r="S25" s="335" t="str">
        <f t="shared" ca="1" si="2"/>
        <v>N/A</v>
      </c>
      <c r="T25" s="429"/>
      <c r="U25" s="22"/>
      <c r="V25" s="24"/>
      <c r="W25" s="21"/>
      <c r="Y25" s="490"/>
    </row>
    <row r="26" spans="1:25" ht="45">
      <c r="A26" s="31">
        <v>23</v>
      </c>
      <c r="B26" s="22" t="s">
        <v>39</v>
      </c>
      <c r="C26" s="22" t="s">
        <v>50</v>
      </c>
      <c r="D26" s="22" t="s">
        <v>67</v>
      </c>
      <c r="E26" s="23" t="s">
        <v>68</v>
      </c>
      <c r="F26" s="22" t="s">
        <v>65</v>
      </c>
      <c r="G26" s="22" t="s">
        <v>69</v>
      </c>
      <c r="H26" s="22" t="s">
        <v>30</v>
      </c>
      <c r="I26" s="22" t="s">
        <v>70</v>
      </c>
      <c r="J26" s="22" t="s">
        <v>81</v>
      </c>
      <c r="K26" s="518" t="s">
        <v>812</v>
      </c>
      <c r="L26" s="521" t="s">
        <v>855</v>
      </c>
      <c r="M26" s="521" t="s">
        <v>856</v>
      </c>
      <c r="N26" s="521" t="s">
        <v>815</v>
      </c>
      <c r="O26" s="22" t="s">
        <v>47</v>
      </c>
      <c r="P26" s="426">
        <v>2021</v>
      </c>
      <c r="Q26" s="414">
        <f t="shared" ca="1" si="0"/>
        <v>241039.21882535325</v>
      </c>
      <c r="R26" s="335" t="str">
        <f t="shared" ca="1" si="1"/>
        <v>N/A</v>
      </c>
      <c r="S26" s="335" t="str">
        <f t="shared" ca="1" si="2"/>
        <v>N/A</v>
      </c>
      <c r="T26" s="429" t="s">
        <v>59</v>
      </c>
      <c r="U26" s="22" t="str">
        <f>Definitions!C$7</f>
        <v>D.18-05-041: DAC = Bill accounts in census tracts corresponding to census tracts in the top quartile of CalEnviroScreen 3.0 scores.</v>
      </c>
      <c r="V26" s="24"/>
      <c r="W26" s="21"/>
      <c r="Y26" s="490"/>
    </row>
    <row r="27" spans="1:25" ht="45">
      <c r="A27" s="31">
        <v>24</v>
      </c>
      <c r="B27" s="22" t="s">
        <v>39</v>
      </c>
      <c r="C27" s="22" t="s">
        <v>50</v>
      </c>
      <c r="D27" s="22" t="s">
        <v>67</v>
      </c>
      <c r="E27" s="23" t="s">
        <v>68</v>
      </c>
      <c r="F27" s="22" t="s">
        <v>66</v>
      </c>
      <c r="G27" s="22" t="s">
        <v>69</v>
      </c>
      <c r="H27" s="22" t="s">
        <v>30</v>
      </c>
      <c r="I27" s="22" t="s">
        <v>70</v>
      </c>
      <c r="J27" s="22" t="s">
        <v>82</v>
      </c>
      <c r="K27" s="518" t="s">
        <v>812</v>
      </c>
      <c r="L27" s="521" t="s">
        <v>857</v>
      </c>
      <c r="M27" s="521" t="s">
        <v>858</v>
      </c>
      <c r="N27" s="521" t="s">
        <v>815</v>
      </c>
      <c r="O27" s="22" t="s">
        <v>47</v>
      </c>
      <c r="P27" s="426">
        <v>2021</v>
      </c>
      <c r="Q27" s="414">
        <f t="shared" ca="1" si="0"/>
        <v>218479.78036953663</v>
      </c>
      <c r="R27" s="335" t="str">
        <f t="shared" ca="1" si="1"/>
        <v>N/A</v>
      </c>
      <c r="S27" s="335" t="str">
        <f t="shared" ca="1" si="2"/>
        <v>N/A</v>
      </c>
      <c r="T27" s="429" t="s">
        <v>59</v>
      </c>
      <c r="U27" s="22" t="str">
        <f>Definitions!C$7</f>
        <v>D.18-05-041: DAC = Bill accounts in census tracts corresponding to census tracts in the top quartile of CalEnviroScreen 3.0 scores.</v>
      </c>
      <c r="V27" s="24"/>
      <c r="W27" s="21"/>
      <c r="Y27" s="490"/>
    </row>
    <row r="28" spans="1:25" ht="45">
      <c r="A28" s="31">
        <v>25</v>
      </c>
      <c r="B28" s="22" t="s">
        <v>39</v>
      </c>
      <c r="C28" s="22" t="s">
        <v>50</v>
      </c>
      <c r="D28" s="22" t="s">
        <v>83</v>
      </c>
      <c r="E28" s="23" t="s">
        <v>84</v>
      </c>
      <c r="F28" s="22" t="s">
        <v>52</v>
      </c>
      <c r="G28" s="22" t="s">
        <v>85</v>
      </c>
      <c r="H28" s="22" t="s">
        <v>30</v>
      </c>
      <c r="I28" s="22" t="s">
        <v>86</v>
      </c>
      <c r="J28" s="22" t="s">
        <v>87</v>
      </c>
      <c r="K28" s="518" t="s">
        <v>812</v>
      </c>
      <c r="L28" s="521" t="s">
        <v>859</v>
      </c>
      <c r="M28" s="521" t="s">
        <v>860</v>
      </c>
      <c r="N28" s="521" t="s">
        <v>815</v>
      </c>
      <c r="O28" s="22" t="s">
        <v>47</v>
      </c>
      <c r="P28" s="426">
        <v>2021</v>
      </c>
      <c r="Q28" s="414">
        <f t="shared" ca="1" si="0"/>
        <v>504.12470657915094</v>
      </c>
      <c r="R28" s="335" t="str">
        <f t="shared" ca="1" si="1"/>
        <v>N/A</v>
      </c>
      <c r="S28" s="335" t="str">
        <f t="shared" ca="1" si="2"/>
        <v>N/A</v>
      </c>
      <c r="T28" s="429"/>
      <c r="U28" s="22"/>
      <c r="V28" s="24"/>
      <c r="W28" s="21"/>
      <c r="Y28" s="490"/>
    </row>
    <row r="29" spans="1:25" ht="45">
      <c r="A29" s="31">
        <v>26</v>
      </c>
      <c r="B29" s="22" t="s">
        <v>39</v>
      </c>
      <c r="C29" s="22" t="s">
        <v>50</v>
      </c>
      <c r="D29" s="22" t="s">
        <v>83</v>
      </c>
      <c r="E29" s="23" t="s">
        <v>84</v>
      </c>
      <c r="F29" s="22" t="s">
        <v>55</v>
      </c>
      <c r="G29" s="22" t="s">
        <v>85</v>
      </c>
      <c r="H29" s="22" t="s">
        <v>30</v>
      </c>
      <c r="I29" s="22" t="s">
        <v>86</v>
      </c>
      <c r="J29" s="22" t="s">
        <v>88</v>
      </c>
      <c r="K29" s="518" t="s">
        <v>812</v>
      </c>
      <c r="L29" s="521" t="s">
        <v>861</v>
      </c>
      <c r="M29" s="521" t="s">
        <v>862</v>
      </c>
      <c r="N29" s="521" t="s">
        <v>815</v>
      </c>
      <c r="O29" s="22" t="s">
        <v>47</v>
      </c>
      <c r="P29" s="426">
        <v>2021</v>
      </c>
      <c r="Q29" s="414">
        <f t="shared" ca="1" si="0"/>
        <v>453.71224794050477</v>
      </c>
      <c r="R29" s="335" t="str">
        <f t="shared" ca="1" si="1"/>
        <v>N/A</v>
      </c>
      <c r="S29" s="335" t="str">
        <f t="shared" ca="1" si="2"/>
        <v>N/A</v>
      </c>
      <c r="T29" s="429"/>
      <c r="U29" s="22"/>
      <c r="V29" s="24"/>
      <c r="W29" s="21"/>
      <c r="Y29" s="490"/>
    </row>
    <row r="30" spans="1:25" ht="45">
      <c r="A30" s="31">
        <v>27</v>
      </c>
      <c r="B30" s="22" t="s">
        <v>39</v>
      </c>
      <c r="C30" s="22" t="s">
        <v>50</v>
      </c>
      <c r="D30" s="22" t="s">
        <v>83</v>
      </c>
      <c r="E30" s="23" t="s">
        <v>84</v>
      </c>
      <c r="F30" s="22" t="s">
        <v>56</v>
      </c>
      <c r="G30" s="22" t="s">
        <v>85</v>
      </c>
      <c r="H30" s="22" t="s">
        <v>30</v>
      </c>
      <c r="I30" s="22" t="s">
        <v>86</v>
      </c>
      <c r="J30" s="22" t="s">
        <v>89</v>
      </c>
      <c r="K30" s="518" t="s">
        <v>812</v>
      </c>
      <c r="L30" s="521" t="s">
        <v>863</v>
      </c>
      <c r="M30" s="521" t="s">
        <v>864</v>
      </c>
      <c r="N30" s="521" t="s">
        <v>815</v>
      </c>
      <c r="O30" s="22" t="s">
        <v>47</v>
      </c>
      <c r="P30" s="426">
        <v>2021</v>
      </c>
      <c r="Q30" s="414">
        <f t="shared" ca="1" si="0"/>
        <v>1894081.8274459834</v>
      </c>
      <c r="R30" s="335" t="str">
        <f t="shared" ca="1" si="1"/>
        <v>N/A</v>
      </c>
      <c r="S30" s="335" t="str">
        <f t="shared" ca="1" si="2"/>
        <v>N/A</v>
      </c>
      <c r="T30" s="429"/>
      <c r="U30" s="22"/>
      <c r="V30" s="24"/>
      <c r="W30" s="21"/>
      <c r="Y30" s="490"/>
    </row>
    <row r="31" spans="1:25" ht="45">
      <c r="A31" s="31">
        <v>28</v>
      </c>
      <c r="B31" s="22" t="s">
        <v>39</v>
      </c>
      <c r="C31" s="22" t="s">
        <v>50</v>
      </c>
      <c r="D31" s="22" t="s">
        <v>83</v>
      </c>
      <c r="E31" s="23" t="s">
        <v>84</v>
      </c>
      <c r="F31" s="22" t="s">
        <v>57</v>
      </c>
      <c r="G31" s="22" t="s">
        <v>85</v>
      </c>
      <c r="H31" s="22" t="s">
        <v>30</v>
      </c>
      <c r="I31" s="22" t="s">
        <v>86</v>
      </c>
      <c r="J31" s="22" t="s">
        <v>57</v>
      </c>
      <c r="K31" s="518" t="s">
        <v>812</v>
      </c>
      <c r="L31" s="521" t="s">
        <v>865</v>
      </c>
      <c r="M31" s="521" t="s">
        <v>866</v>
      </c>
      <c r="N31" s="521" t="s">
        <v>815</v>
      </c>
      <c r="O31" s="22" t="s">
        <v>47</v>
      </c>
      <c r="P31" s="426">
        <v>2021</v>
      </c>
      <c r="Q31" s="414">
        <f t="shared" ca="1" si="0"/>
        <v>1706087.5671114337</v>
      </c>
      <c r="R31" s="335" t="str">
        <f t="shared" ca="1" si="1"/>
        <v>N/A</v>
      </c>
      <c r="S31" s="335" t="str">
        <f t="shared" ca="1" si="2"/>
        <v>N/A</v>
      </c>
      <c r="T31" s="429"/>
      <c r="U31" s="22"/>
      <c r="V31" s="24"/>
      <c r="W31" s="21"/>
      <c r="Y31" s="490"/>
    </row>
    <row r="32" spans="1:25" ht="90">
      <c r="A32" s="31">
        <v>29</v>
      </c>
      <c r="B32" s="22" t="s">
        <v>39</v>
      </c>
      <c r="C32" s="22" t="s">
        <v>50</v>
      </c>
      <c r="D32" s="22" t="s">
        <v>83</v>
      </c>
      <c r="E32" s="23" t="s">
        <v>84</v>
      </c>
      <c r="F32" s="22" t="s">
        <v>58</v>
      </c>
      <c r="G32" s="22" t="s">
        <v>85</v>
      </c>
      <c r="H32" s="22" t="s">
        <v>30</v>
      </c>
      <c r="I32" s="22" t="s">
        <v>86</v>
      </c>
      <c r="J32" s="22" t="s">
        <v>58</v>
      </c>
      <c r="K32" s="518" t="s">
        <v>812</v>
      </c>
      <c r="L32" s="521" t="s">
        <v>867</v>
      </c>
      <c r="M32" s="521" t="s">
        <v>868</v>
      </c>
      <c r="N32" s="521" t="s">
        <v>815</v>
      </c>
      <c r="O32" s="22" t="s">
        <v>47</v>
      </c>
      <c r="P32" s="426">
        <v>2021</v>
      </c>
      <c r="Q32" s="414">
        <f t="shared" ca="1" si="0"/>
        <v>316804.82786543982</v>
      </c>
      <c r="R32" s="335" t="str">
        <f t="shared" ca="1" si="1"/>
        <v>N/A</v>
      </c>
      <c r="S32" s="335" t="str">
        <f t="shared" ca="1" si="2"/>
        <v>N/A</v>
      </c>
      <c r="T32" s="429" t="s">
        <v>59</v>
      </c>
      <c r="U32"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2" s="24"/>
      <c r="W32" s="21"/>
      <c r="Y32" s="490"/>
    </row>
    <row r="33" spans="1:25" ht="90">
      <c r="A33" s="31">
        <v>30</v>
      </c>
      <c r="B33" s="22" t="s">
        <v>39</v>
      </c>
      <c r="C33" s="22" t="s">
        <v>50</v>
      </c>
      <c r="D33" s="22" t="s">
        <v>83</v>
      </c>
      <c r="E33" s="23" t="s">
        <v>84</v>
      </c>
      <c r="F33" s="22" t="s">
        <v>60</v>
      </c>
      <c r="G33" s="22" t="s">
        <v>85</v>
      </c>
      <c r="H33" s="22" t="s">
        <v>30</v>
      </c>
      <c r="I33" s="22" t="s">
        <v>86</v>
      </c>
      <c r="J33" s="22" t="s">
        <v>60</v>
      </c>
      <c r="K33" s="518" t="s">
        <v>812</v>
      </c>
      <c r="L33" s="521" t="s">
        <v>869</v>
      </c>
      <c r="M33" s="521" t="s">
        <v>870</v>
      </c>
      <c r="N33" s="521" t="s">
        <v>815</v>
      </c>
      <c r="O33" s="22" t="s">
        <v>47</v>
      </c>
      <c r="P33" s="426">
        <v>2021</v>
      </c>
      <c r="Q33" s="414">
        <f t="shared" ca="1" si="0"/>
        <v>285159.16539891221</v>
      </c>
      <c r="R33" s="335" t="str">
        <f t="shared" ca="1" si="1"/>
        <v>N/A</v>
      </c>
      <c r="S33" s="335" t="str">
        <f t="shared" ca="1" si="2"/>
        <v>N/A</v>
      </c>
      <c r="T33" s="429" t="s">
        <v>59</v>
      </c>
      <c r="U3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3" s="24"/>
      <c r="W33" s="21"/>
      <c r="Y33" s="490"/>
    </row>
    <row r="34" spans="1:25" ht="45">
      <c r="A34" s="31">
        <v>31</v>
      </c>
      <c r="B34" s="22" t="s">
        <v>39</v>
      </c>
      <c r="C34" s="22" t="s">
        <v>50</v>
      </c>
      <c r="D34" s="22" t="s">
        <v>83</v>
      </c>
      <c r="E34" s="23" t="s">
        <v>84</v>
      </c>
      <c r="F34" s="22" t="s">
        <v>61</v>
      </c>
      <c r="G34" s="22" t="s">
        <v>85</v>
      </c>
      <c r="H34" s="22" t="s">
        <v>30</v>
      </c>
      <c r="I34" s="22" t="s">
        <v>86</v>
      </c>
      <c r="J34" s="22" t="s">
        <v>61</v>
      </c>
      <c r="K34" s="518" t="s">
        <v>812</v>
      </c>
      <c r="L34" s="521" t="s">
        <v>871</v>
      </c>
      <c r="M34" s="521" t="s">
        <v>872</v>
      </c>
      <c r="N34" s="521" t="s">
        <v>815</v>
      </c>
      <c r="O34" s="22" t="s">
        <v>47</v>
      </c>
      <c r="P34" s="426">
        <v>2021</v>
      </c>
      <c r="Q34" s="414">
        <f t="shared" ca="1" si="0"/>
        <v>3358.5738937092729</v>
      </c>
      <c r="R34" s="335" t="str">
        <f t="shared" ca="1" si="1"/>
        <v>N/A</v>
      </c>
      <c r="S34" s="335" t="str">
        <f t="shared" ca="1" si="2"/>
        <v>N/A</v>
      </c>
      <c r="T34" s="429"/>
      <c r="U34" s="22"/>
      <c r="V34" s="24"/>
      <c r="W34" s="21"/>
      <c r="Y34" s="490"/>
    </row>
    <row r="35" spans="1:25" ht="45">
      <c r="A35" s="31">
        <v>32</v>
      </c>
      <c r="B35" s="22" t="s">
        <v>39</v>
      </c>
      <c r="C35" s="22" t="s">
        <v>50</v>
      </c>
      <c r="D35" s="22" t="s">
        <v>83</v>
      </c>
      <c r="E35" s="23" t="s">
        <v>84</v>
      </c>
      <c r="F35" s="22" t="s">
        <v>62</v>
      </c>
      <c r="G35" s="22" t="s">
        <v>85</v>
      </c>
      <c r="H35" s="22" t="s">
        <v>30</v>
      </c>
      <c r="I35" s="22" t="s">
        <v>86</v>
      </c>
      <c r="J35" s="22" t="s">
        <v>62</v>
      </c>
      <c r="K35" s="518" t="s">
        <v>812</v>
      </c>
      <c r="L35" s="521" t="s">
        <v>873</v>
      </c>
      <c r="M35" s="521" t="s">
        <v>874</v>
      </c>
      <c r="N35" s="521" t="s">
        <v>815</v>
      </c>
      <c r="O35" s="22" t="s">
        <v>47</v>
      </c>
      <c r="P35" s="426">
        <v>2021</v>
      </c>
      <c r="Q35" s="414">
        <f t="shared" ca="1" si="0"/>
        <v>3022.716584412984</v>
      </c>
      <c r="R35" s="335" t="str">
        <f t="shared" ca="1" si="1"/>
        <v>N/A</v>
      </c>
      <c r="S35" s="335" t="str">
        <f t="shared" ca="1" si="2"/>
        <v>N/A</v>
      </c>
      <c r="T35" s="429"/>
      <c r="U35" s="22"/>
      <c r="V35" s="24"/>
      <c r="W35" s="21"/>
      <c r="Y35" s="490"/>
    </row>
    <row r="36" spans="1:25" ht="45">
      <c r="A36" s="31">
        <v>33</v>
      </c>
      <c r="B36" s="22" t="s">
        <v>39</v>
      </c>
      <c r="C36" s="22" t="s">
        <v>50</v>
      </c>
      <c r="D36" s="22" t="s">
        <v>83</v>
      </c>
      <c r="E36" s="23" t="s">
        <v>84</v>
      </c>
      <c r="F36" s="22" t="s">
        <v>63</v>
      </c>
      <c r="G36" s="22" t="s">
        <v>85</v>
      </c>
      <c r="H36" s="22" t="s">
        <v>30</v>
      </c>
      <c r="I36" s="22" t="s">
        <v>86</v>
      </c>
      <c r="J36" s="22" t="s">
        <v>63</v>
      </c>
      <c r="K36" s="518" t="s">
        <v>812</v>
      </c>
      <c r="L36" s="521" t="s">
        <v>875</v>
      </c>
      <c r="M36" s="521" t="s">
        <v>876</v>
      </c>
      <c r="N36" s="521" t="s">
        <v>815</v>
      </c>
      <c r="O36" s="22" t="s">
        <v>47</v>
      </c>
      <c r="P36" s="426">
        <v>2021</v>
      </c>
      <c r="Q36" s="414">
        <f t="shared" ca="1" si="0"/>
        <v>11163490.502552707</v>
      </c>
      <c r="R36" s="335" t="str">
        <f t="shared" ca="1" si="1"/>
        <v>N/A</v>
      </c>
      <c r="S36" s="335" t="str">
        <f t="shared" ca="1" si="2"/>
        <v>N/A</v>
      </c>
      <c r="T36" s="429"/>
      <c r="U36" s="22"/>
      <c r="V36" s="24"/>
      <c r="W36" s="21"/>
      <c r="Y36" s="490"/>
    </row>
    <row r="37" spans="1:25" ht="45">
      <c r="A37" s="31">
        <v>34</v>
      </c>
      <c r="B37" s="22" t="s">
        <v>39</v>
      </c>
      <c r="C37" s="22" t="s">
        <v>50</v>
      </c>
      <c r="D37" s="22" t="s">
        <v>83</v>
      </c>
      <c r="E37" s="23" t="s">
        <v>84</v>
      </c>
      <c r="F37" s="22" t="s">
        <v>64</v>
      </c>
      <c r="G37" s="22" t="s">
        <v>85</v>
      </c>
      <c r="H37" s="22" t="s">
        <v>30</v>
      </c>
      <c r="I37" s="22" t="s">
        <v>86</v>
      </c>
      <c r="J37" s="22" t="s">
        <v>64</v>
      </c>
      <c r="K37" s="518" t="s">
        <v>812</v>
      </c>
      <c r="L37" s="521" t="s">
        <v>877</v>
      </c>
      <c r="M37" s="521" t="s">
        <v>878</v>
      </c>
      <c r="N37" s="521" t="s">
        <v>815</v>
      </c>
      <c r="O37" s="22" t="s">
        <v>47</v>
      </c>
      <c r="P37" s="426">
        <v>2021</v>
      </c>
      <c r="Q37" s="414">
        <f t="shared" ca="1" si="0"/>
        <v>10060008.001984902</v>
      </c>
      <c r="R37" s="335" t="str">
        <f t="shared" ca="1" si="1"/>
        <v>N/A</v>
      </c>
      <c r="S37" s="335" t="str">
        <f t="shared" ca="1" si="2"/>
        <v>N/A</v>
      </c>
      <c r="T37" s="429"/>
      <c r="U37" s="22"/>
      <c r="V37" s="24"/>
      <c r="W37" s="21"/>
      <c r="Y37" s="490"/>
    </row>
    <row r="38" spans="1:25" ht="90">
      <c r="A38" s="31">
        <v>35</v>
      </c>
      <c r="B38" s="22" t="s">
        <v>39</v>
      </c>
      <c r="C38" s="22" t="s">
        <v>50</v>
      </c>
      <c r="D38" s="22" t="s">
        <v>83</v>
      </c>
      <c r="E38" s="23" t="s">
        <v>84</v>
      </c>
      <c r="F38" s="22" t="s">
        <v>65</v>
      </c>
      <c r="G38" s="22" t="s">
        <v>85</v>
      </c>
      <c r="H38" s="22" t="s">
        <v>30</v>
      </c>
      <c r="I38" s="22" t="s">
        <v>86</v>
      </c>
      <c r="J38" s="22" t="s">
        <v>65</v>
      </c>
      <c r="K38" s="518" t="s">
        <v>812</v>
      </c>
      <c r="L38" s="521" t="s">
        <v>879</v>
      </c>
      <c r="M38" s="521" t="s">
        <v>880</v>
      </c>
      <c r="N38" s="521" t="s">
        <v>815</v>
      </c>
      <c r="O38" s="22" t="s">
        <v>47</v>
      </c>
      <c r="P38" s="426">
        <v>2021</v>
      </c>
      <c r="Q38" s="414">
        <f t="shared" ca="1" si="0"/>
        <v>1668284.4438924666</v>
      </c>
      <c r="R38" s="335" t="str">
        <f t="shared" ca="1" si="1"/>
        <v>N/A</v>
      </c>
      <c r="S38" s="335" t="str">
        <f t="shared" ca="1" si="2"/>
        <v>N/A</v>
      </c>
      <c r="T38" s="429" t="s">
        <v>59</v>
      </c>
      <c r="U38"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8" s="24"/>
      <c r="W38" s="21"/>
      <c r="Y38" s="490"/>
    </row>
    <row r="39" spans="1:25" ht="90">
      <c r="A39" s="31">
        <v>36</v>
      </c>
      <c r="B39" s="22" t="s">
        <v>39</v>
      </c>
      <c r="C39" s="22" t="s">
        <v>50</v>
      </c>
      <c r="D39" s="22" t="s">
        <v>83</v>
      </c>
      <c r="E39" s="23" t="s">
        <v>84</v>
      </c>
      <c r="F39" s="22" t="s">
        <v>66</v>
      </c>
      <c r="G39" s="22" t="s">
        <v>85</v>
      </c>
      <c r="H39" s="22" t="s">
        <v>30</v>
      </c>
      <c r="I39" s="22" t="s">
        <v>86</v>
      </c>
      <c r="J39" s="22" t="s">
        <v>66</v>
      </c>
      <c r="K39" s="518" t="s">
        <v>812</v>
      </c>
      <c r="L39" s="521" t="s">
        <v>881</v>
      </c>
      <c r="M39" s="521" t="s">
        <v>882</v>
      </c>
      <c r="N39" s="521" t="s">
        <v>815</v>
      </c>
      <c r="O39" s="22" t="s">
        <v>47</v>
      </c>
      <c r="P39" s="426">
        <v>2021</v>
      </c>
      <c r="Q39" s="414">
        <f t="shared" ca="1" si="0"/>
        <v>1501772.8354693796</v>
      </c>
      <c r="R39" s="335" t="str">
        <f t="shared" ca="1" si="1"/>
        <v>N/A</v>
      </c>
      <c r="S39" s="335" t="str">
        <f t="shared" ca="1" si="2"/>
        <v>N/A</v>
      </c>
      <c r="T39" s="429" t="s">
        <v>59</v>
      </c>
      <c r="U39"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9" s="24"/>
      <c r="W39" s="21"/>
      <c r="Y39" s="490"/>
    </row>
    <row r="40" spans="1:25" ht="30">
      <c r="A40" s="31">
        <v>37</v>
      </c>
      <c r="B40" s="22" t="s">
        <v>39</v>
      </c>
      <c r="C40" s="22" t="s">
        <v>50</v>
      </c>
      <c r="D40" s="22" t="s">
        <v>90</v>
      </c>
      <c r="E40" s="23" t="s">
        <v>91</v>
      </c>
      <c r="F40" s="22" t="s">
        <v>92</v>
      </c>
      <c r="G40" s="22" t="s">
        <v>93</v>
      </c>
      <c r="H40" s="22" t="s">
        <v>30</v>
      </c>
      <c r="I40" s="22" t="s">
        <v>94</v>
      </c>
      <c r="J40" s="22" t="s">
        <v>92</v>
      </c>
      <c r="K40" s="518" t="s">
        <v>812</v>
      </c>
      <c r="L40" s="521" t="s">
        <v>883</v>
      </c>
      <c r="M40" s="521" t="s">
        <v>884</v>
      </c>
      <c r="N40" s="521" t="s">
        <v>885</v>
      </c>
      <c r="O40" s="22" t="s">
        <v>47</v>
      </c>
      <c r="P40" s="426">
        <v>2021</v>
      </c>
      <c r="Q40" s="414">
        <f t="shared" ca="1" si="0"/>
        <v>155.4677341965868</v>
      </c>
      <c r="R40" s="335">
        <f t="shared" ca="1" si="1"/>
        <v>12471327.800627246</v>
      </c>
      <c r="S40" s="335">
        <f t="shared" ca="1" si="2"/>
        <v>80218.109983242088</v>
      </c>
      <c r="T40" s="429"/>
      <c r="U40" s="22"/>
      <c r="V40" s="24"/>
      <c r="W40" s="21"/>
      <c r="Y40" s="490"/>
    </row>
    <row r="41" spans="1:25" ht="30">
      <c r="A41" s="31">
        <v>38</v>
      </c>
      <c r="B41" s="22" t="s">
        <v>39</v>
      </c>
      <c r="C41" s="22" t="s">
        <v>50</v>
      </c>
      <c r="D41" s="22" t="s">
        <v>90</v>
      </c>
      <c r="E41" s="23" t="s">
        <v>91</v>
      </c>
      <c r="F41" s="22" t="s">
        <v>95</v>
      </c>
      <c r="G41" s="22" t="s">
        <v>93</v>
      </c>
      <c r="H41" s="22" t="s">
        <v>30</v>
      </c>
      <c r="I41" s="22" t="s">
        <v>94</v>
      </c>
      <c r="J41" s="22" t="s">
        <v>95</v>
      </c>
      <c r="K41" s="518" t="s">
        <v>812</v>
      </c>
      <c r="L41" s="521" t="s">
        <v>886</v>
      </c>
      <c r="M41" s="521" t="s">
        <v>887</v>
      </c>
      <c r="N41" s="521" t="s">
        <v>885</v>
      </c>
      <c r="O41" s="22" t="s">
        <v>47</v>
      </c>
      <c r="P41" s="426">
        <v>2021</v>
      </c>
      <c r="Q41" s="720">
        <f t="shared" ca="1" si="0"/>
        <v>4.1299315466679955E-2</v>
      </c>
      <c r="R41" s="335">
        <f t="shared" ca="1" si="1"/>
        <v>12471327.800627246</v>
      </c>
      <c r="S41" s="335">
        <f t="shared" ca="1" si="2"/>
        <v>301974201.25980151</v>
      </c>
      <c r="T41" s="429"/>
      <c r="U41" s="22"/>
      <c r="V41" s="24"/>
      <c r="W41" s="21"/>
      <c r="Y41" s="490"/>
    </row>
    <row r="42" spans="1:25" ht="30">
      <c r="A42" s="31">
        <v>39</v>
      </c>
      <c r="B42" s="22" t="s">
        <v>39</v>
      </c>
      <c r="C42" s="22" t="s">
        <v>50</v>
      </c>
      <c r="D42" s="22" t="s">
        <v>90</v>
      </c>
      <c r="E42" s="23" t="s">
        <v>91</v>
      </c>
      <c r="F42" s="22" t="s">
        <v>96</v>
      </c>
      <c r="G42" s="22" t="s">
        <v>93</v>
      </c>
      <c r="H42" s="22" t="s">
        <v>30</v>
      </c>
      <c r="I42" s="22" t="s">
        <v>94</v>
      </c>
      <c r="J42" s="22" t="s">
        <v>96</v>
      </c>
      <c r="K42" s="518" t="s">
        <v>812</v>
      </c>
      <c r="L42" s="521" t="s">
        <v>888</v>
      </c>
      <c r="M42" s="521" t="s">
        <v>889</v>
      </c>
      <c r="N42" s="521" t="s">
        <v>885</v>
      </c>
      <c r="O42" s="22" t="s">
        <v>47</v>
      </c>
      <c r="P42" s="426">
        <v>2021</v>
      </c>
      <c r="Q42" s="720">
        <f t="shared" ca="1" si="0"/>
        <v>0.41742786847022956</v>
      </c>
      <c r="R42" s="335">
        <f t="shared" ca="1" si="1"/>
        <v>7398391.5386358108</v>
      </c>
      <c r="S42" s="335">
        <f t="shared" ca="1" si="2"/>
        <v>17723760.432548732</v>
      </c>
      <c r="T42" s="429" t="s">
        <v>48</v>
      </c>
      <c r="U42" s="22" t="s">
        <v>49</v>
      </c>
      <c r="V42" s="24"/>
      <c r="W42" s="21"/>
      <c r="Y42" s="490"/>
    </row>
    <row r="43" spans="1:25" ht="30">
      <c r="A43" s="31">
        <v>40</v>
      </c>
      <c r="B43" s="22" t="s">
        <v>39</v>
      </c>
      <c r="C43" s="22" t="s">
        <v>50</v>
      </c>
      <c r="D43" s="22" t="s">
        <v>90</v>
      </c>
      <c r="E43" s="23" t="s">
        <v>91</v>
      </c>
      <c r="F43" s="22" t="s">
        <v>97</v>
      </c>
      <c r="G43" s="22" t="s">
        <v>93</v>
      </c>
      <c r="H43" s="22" t="s">
        <v>30</v>
      </c>
      <c r="I43" s="22" t="s">
        <v>94</v>
      </c>
      <c r="J43" s="22" t="s">
        <v>97</v>
      </c>
      <c r="K43" s="518" t="s">
        <v>812</v>
      </c>
      <c r="L43" s="521" t="s">
        <v>890</v>
      </c>
      <c r="M43" s="521" t="s">
        <v>891</v>
      </c>
      <c r="N43" s="521" t="s">
        <v>885</v>
      </c>
      <c r="O43" s="22" t="s">
        <v>47</v>
      </c>
      <c r="P43" s="426">
        <v>2021</v>
      </c>
      <c r="Q43" s="414">
        <f t="shared" ca="1" si="0"/>
        <v>190.80499152585656</v>
      </c>
      <c r="R43" s="335">
        <f t="shared" ca="1" si="1"/>
        <v>15306015.795572737</v>
      </c>
      <c r="S43" s="335">
        <f t="shared" ca="1" si="2"/>
        <v>80218.109983242088</v>
      </c>
      <c r="T43" s="429"/>
      <c r="U43" s="22"/>
      <c r="V43" s="24"/>
      <c r="W43" s="21"/>
      <c r="Y43" s="490"/>
    </row>
    <row r="44" spans="1:25" ht="30">
      <c r="A44" s="31">
        <v>41</v>
      </c>
      <c r="B44" s="22" t="s">
        <v>39</v>
      </c>
      <c r="C44" s="22" t="s">
        <v>50</v>
      </c>
      <c r="D44" s="22" t="s">
        <v>90</v>
      </c>
      <c r="E44" s="23" t="s">
        <v>91</v>
      </c>
      <c r="F44" s="22" t="s">
        <v>98</v>
      </c>
      <c r="G44" s="22" t="s">
        <v>93</v>
      </c>
      <c r="H44" s="22" t="s">
        <v>30</v>
      </c>
      <c r="I44" s="22" t="s">
        <v>94</v>
      </c>
      <c r="J44" s="22" t="s">
        <v>98</v>
      </c>
      <c r="K44" s="518" t="s">
        <v>812</v>
      </c>
      <c r="L44" s="521" t="s">
        <v>892</v>
      </c>
      <c r="M44" s="521" t="s">
        <v>893</v>
      </c>
      <c r="N44" s="521" t="s">
        <v>885</v>
      </c>
      <c r="O44" s="22" t="s">
        <v>47</v>
      </c>
      <c r="P44" s="426">
        <v>2021</v>
      </c>
      <c r="Q44" s="720">
        <f t="shared" ca="1" si="0"/>
        <v>5.0686501468396331E-2</v>
      </c>
      <c r="R44" s="335">
        <f t="shared" ca="1" si="1"/>
        <v>15306015.795572737</v>
      </c>
      <c r="S44" s="335">
        <f t="shared" ca="1" si="2"/>
        <v>301974201.25980151</v>
      </c>
      <c r="T44" s="429"/>
      <c r="U44" s="22"/>
      <c r="V44" s="24"/>
      <c r="W44" s="21"/>
      <c r="Y44" s="490"/>
    </row>
    <row r="45" spans="1:25" ht="30">
      <c r="A45" s="31">
        <v>42</v>
      </c>
      <c r="B45" s="22" t="s">
        <v>39</v>
      </c>
      <c r="C45" s="22" t="s">
        <v>50</v>
      </c>
      <c r="D45" s="22" t="s">
        <v>90</v>
      </c>
      <c r="E45" s="23" t="s">
        <v>91</v>
      </c>
      <c r="F45" s="22" t="s">
        <v>99</v>
      </c>
      <c r="G45" s="22" t="s">
        <v>93</v>
      </c>
      <c r="H45" s="22" t="s">
        <v>30</v>
      </c>
      <c r="I45" s="22" t="s">
        <v>94</v>
      </c>
      <c r="J45" s="22" t="s">
        <v>99</v>
      </c>
      <c r="K45" s="518" t="s">
        <v>812</v>
      </c>
      <c r="L45" s="521" t="s">
        <v>894</v>
      </c>
      <c r="M45" s="521" t="s">
        <v>895</v>
      </c>
      <c r="N45" s="521" t="s">
        <v>885</v>
      </c>
      <c r="O45" s="22" t="s">
        <v>47</v>
      </c>
      <c r="P45" s="426">
        <v>2021</v>
      </c>
      <c r="Q45" s="414">
        <f t="shared" ca="1" si="0"/>
        <v>0.51230772299933036</v>
      </c>
      <c r="R45" s="335">
        <f t="shared" ca="1" si="1"/>
        <v>9080019.3501846679</v>
      </c>
      <c r="S45" s="335">
        <f t="shared" ca="1" si="2"/>
        <v>17723760.432548732</v>
      </c>
      <c r="T45" s="429" t="s">
        <v>48</v>
      </c>
      <c r="U45" s="22" t="s">
        <v>49</v>
      </c>
      <c r="V45" s="24"/>
      <c r="W45" s="21"/>
      <c r="Y45" s="490"/>
    </row>
    <row r="46" spans="1:25" ht="45">
      <c r="A46" s="31">
        <v>43</v>
      </c>
      <c r="B46" s="22" t="s">
        <v>39</v>
      </c>
      <c r="C46" s="22" t="s">
        <v>50</v>
      </c>
      <c r="D46" s="22" t="s">
        <v>100</v>
      </c>
      <c r="E46" s="23" t="s">
        <v>51</v>
      </c>
      <c r="F46" s="22" t="s">
        <v>52</v>
      </c>
      <c r="G46" s="22" t="s">
        <v>53</v>
      </c>
      <c r="H46" s="22" t="s">
        <v>30</v>
      </c>
      <c r="I46" s="22" t="s">
        <v>101</v>
      </c>
      <c r="J46" s="22" t="s">
        <v>52</v>
      </c>
      <c r="K46" s="519" t="s">
        <v>896</v>
      </c>
      <c r="L46" s="521" t="s">
        <v>897</v>
      </c>
      <c r="M46" s="521" t="s">
        <v>898</v>
      </c>
      <c r="N46" s="521" t="s">
        <v>815</v>
      </c>
      <c r="O46" s="22" t="s">
        <v>102</v>
      </c>
      <c r="P46" s="426">
        <v>2021</v>
      </c>
      <c r="Q46" s="414">
        <f t="shared" ca="1" si="0"/>
        <v>4247.8978907279998</v>
      </c>
      <c r="R46" s="335" t="str">
        <f t="shared" ca="1" si="1"/>
        <v>N/A</v>
      </c>
      <c r="S46" s="335" t="str">
        <f t="shared" ca="1" si="2"/>
        <v>N/A</v>
      </c>
      <c r="T46" s="429" t="s">
        <v>899</v>
      </c>
      <c r="U46" s="22"/>
      <c r="V46" s="24"/>
      <c r="W46" s="21"/>
      <c r="Y46" s="490"/>
    </row>
    <row r="47" spans="1:25" ht="45">
      <c r="A47" s="31">
        <v>44</v>
      </c>
      <c r="B47" s="22" t="s">
        <v>39</v>
      </c>
      <c r="C47" s="22" t="s">
        <v>50</v>
      </c>
      <c r="D47" s="22" t="s">
        <v>100</v>
      </c>
      <c r="E47" s="23" t="s">
        <v>51</v>
      </c>
      <c r="F47" s="22" t="s">
        <v>55</v>
      </c>
      <c r="G47" s="22" t="s">
        <v>53</v>
      </c>
      <c r="H47" s="22" t="s">
        <v>30</v>
      </c>
      <c r="I47" s="22" t="s">
        <v>101</v>
      </c>
      <c r="J47" s="22" t="s">
        <v>55</v>
      </c>
      <c r="K47" s="519" t="s">
        <v>896</v>
      </c>
      <c r="L47" s="521" t="s">
        <v>900</v>
      </c>
      <c r="M47" s="521" t="s">
        <v>901</v>
      </c>
      <c r="N47" s="521" t="s">
        <v>815</v>
      </c>
      <c r="O47" s="22" t="s">
        <v>102</v>
      </c>
      <c r="P47" s="426">
        <v>2021</v>
      </c>
      <c r="Q47" s="414">
        <f t="shared" ca="1" si="0"/>
        <v>4404.9346867308886</v>
      </c>
      <c r="R47" s="335" t="str">
        <f t="shared" ca="1" si="1"/>
        <v>N/A</v>
      </c>
      <c r="S47" s="335" t="str">
        <f t="shared" ca="1" si="2"/>
        <v>N/A</v>
      </c>
      <c r="T47" s="429" t="s">
        <v>899</v>
      </c>
      <c r="U47" s="22"/>
      <c r="V47" s="24"/>
      <c r="W47" s="21"/>
      <c r="Y47" s="490"/>
    </row>
    <row r="48" spans="1:25" ht="45">
      <c r="A48" s="31">
        <v>45</v>
      </c>
      <c r="B48" s="22" t="s">
        <v>39</v>
      </c>
      <c r="C48" s="22" t="s">
        <v>50</v>
      </c>
      <c r="D48" s="22" t="s">
        <v>100</v>
      </c>
      <c r="E48" s="23" t="s">
        <v>51</v>
      </c>
      <c r="F48" s="22" t="s">
        <v>56</v>
      </c>
      <c r="G48" s="22" t="s">
        <v>53</v>
      </c>
      <c r="H48" s="22" t="s">
        <v>30</v>
      </c>
      <c r="I48" s="22" t="s">
        <v>101</v>
      </c>
      <c r="J48" s="22" t="s">
        <v>56</v>
      </c>
      <c r="K48" s="519" t="s">
        <v>896</v>
      </c>
      <c r="L48" s="521" t="s">
        <v>902</v>
      </c>
      <c r="M48" s="521" t="s">
        <v>903</v>
      </c>
      <c r="N48" s="521" t="s">
        <v>815</v>
      </c>
      <c r="O48" s="22" t="s">
        <v>102</v>
      </c>
      <c r="P48" s="426">
        <v>2021</v>
      </c>
      <c r="Q48" s="414">
        <f t="shared" ca="1" si="0"/>
        <v>28894933.882561199</v>
      </c>
      <c r="R48" s="335" t="str">
        <f t="shared" ca="1" si="1"/>
        <v>N/A</v>
      </c>
      <c r="S48" s="335" t="str">
        <f t="shared" ca="1" si="2"/>
        <v>N/A</v>
      </c>
      <c r="T48" s="429" t="s">
        <v>899</v>
      </c>
      <c r="U48" s="22"/>
      <c r="V48" s="24"/>
      <c r="W48" s="21"/>
      <c r="Y48" s="490"/>
    </row>
    <row r="49" spans="1:25" ht="45">
      <c r="A49" s="31">
        <v>46</v>
      </c>
      <c r="B49" s="22" t="s">
        <v>39</v>
      </c>
      <c r="C49" s="22" t="s">
        <v>50</v>
      </c>
      <c r="D49" s="22" t="s">
        <v>100</v>
      </c>
      <c r="E49" s="23" t="s">
        <v>51</v>
      </c>
      <c r="F49" s="22" t="s">
        <v>57</v>
      </c>
      <c r="G49" s="22" t="s">
        <v>53</v>
      </c>
      <c r="H49" s="22" t="s">
        <v>30</v>
      </c>
      <c r="I49" s="22" t="s">
        <v>101</v>
      </c>
      <c r="J49" s="22" t="s">
        <v>57</v>
      </c>
      <c r="K49" s="519" t="s">
        <v>896</v>
      </c>
      <c r="L49" s="521" t="s">
        <v>904</v>
      </c>
      <c r="M49" s="521" t="s">
        <v>905</v>
      </c>
      <c r="N49" s="521" t="s">
        <v>815</v>
      </c>
      <c r="O49" s="22" t="s">
        <v>102</v>
      </c>
      <c r="P49" s="426">
        <v>2021</v>
      </c>
      <c r="Q49" s="414">
        <f t="shared" ca="1" si="0"/>
        <v>29659939.295696195</v>
      </c>
      <c r="R49" s="335" t="str">
        <f t="shared" ca="1" si="1"/>
        <v>N/A</v>
      </c>
      <c r="S49" s="335" t="str">
        <f t="shared" ca="1" si="2"/>
        <v>N/A</v>
      </c>
      <c r="T49" s="429" t="s">
        <v>899</v>
      </c>
      <c r="U49" s="22"/>
      <c r="V49" s="24"/>
      <c r="W49" s="21"/>
      <c r="Y49" s="490"/>
    </row>
    <row r="50" spans="1:25" ht="45">
      <c r="A50" s="31">
        <v>47</v>
      </c>
      <c r="B50" s="22" t="s">
        <v>39</v>
      </c>
      <c r="C50" s="22" t="s">
        <v>50</v>
      </c>
      <c r="D50" s="22" t="s">
        <v>100</v>
      </c>
      <c r="E50" s="23" t="s">
        <v>51</v>
      </c>
      <c r="F50" s="22" t="s">
        <v>58</v>
      </c>
      <c r="G50" s="22" t="s">
        <v>53</v>
      </c>
      <c r="H50" s="22" t="s">
        <v>30</v>
      </c>
      <c r="I50" s="22" t="s">
        <v>101</v>
      </c>
      <c r="J50" s="22" t="s">
        <v>58</v>
      </c>
      <c r="K50" s="519" t="s">
        <v>896</v>
      </c>
      <c r="L50" s="521" t="s">
        <v>906</v>
      </c>
      <c r="M50" s="521" t="s">
        <v>907</v>
      </c>
      <c r="N50" s="521" t="s">
        <v>815</v>
      </c>
      <c r="O50" s="22" t="s">
        <v>102</v>
      </c>
      <c r="P50" s="426">
        <v>2021</v>
      </c>
      <c r="Q50" s="414">
        <f t="shared" ca="1" si="0"/>
        <v>463417.08028299303</v>
      </c>
      <c r="R50" s="335" t="str">
        <f t="shared" ca="1" si="1"/>
        <v>N/A</v>
      </c>
      <c r="S50" s="335" t="str">
        <f t="shared" ca="1" si="2"/>
        <v>N/A</v>
      </c>
      <c r="T50" s="429" t="s">
        <v>899</v>
      </c>
      <c r="U50" s="22" t="s">
        <v>49</v>
      </c>
      <c r="V50" s="24"/>
      <c r="W50" s="21"/>
      <c r="Y50" s="490"/>
    </row>
    <row r="51" spans="1:25" ht="45">
      <c r="A51" s="31">
        <v>48</v>
      </c>
      <c r="B51" s="22" t="s">
        <v>39</v>
      </c>
      <c r="C51" s="22" t="s">
        <v>50</v>
      </c>
      <c r="D51" s="22" t="s">
        <v>100</v>
      </c>
      <c r="E51" s="23" t="s">
        <v>51</v>
      </c>
      <c r="F51" s="22" t="s">
        <v>60</v>
      </c>
      <c r="G51" s="22" t="s">
        <v>53</v>
      </c>
      <c r="H51" s="22" t="s">
        <v>30</v>
      </c>
      <c r="I51" s="22" t="s">
        <v>101</v>
      </c>
      <c r="J51" s="22" t="s">
        <v>60</v>
      </c>
      <c r="K51" s="519" t="s">
        <v>896</v>
      </c>
      <c r="L51" s="521" t="s">
        <v>908</v>
      </c>
      <c r="M51" s="521" t="s">
        <v>909</v>
      </c>
      <c r="N51" s="521" t="s">
        <v>815</v>
      </c>
      <c r="O51" s="22" t="s">
        <v>102</v>
      </c>
      <c r="P51" s="426">
        <v>2021</v>
      </c>
      <c r="Q51" s="414">
        <f t="shared" ca="1" si="0"/>
        <v>477086.22954885225</v>
      </c>
      <c r="R51" s="335" t="str">
        <f t="shared" ca="1" si="1"/>
        <v>N/A</v>
      </c>
      <c r="S51" s="335" t="str">
        <f t="shared" ca="1" si="2"/>
        <v>N/A</v>
      </c>
      <c r="T51" s="429" t="s">
        <v>899</v>
      </c>
      <c r="U51" s="22" t="s">
        <v>49</v>
      </c>
      <c r="V51" s="24"/>
      <c r="W51" s="21"/>
      <c r="Y51" s="490"/>
    </row>
    <row r="52" spans="1:25" ht="45">
      <c r="A52" s="31">
        <v>49</v>
      </c>
      <c r="B52" s="22" t="s">
        <v>39</v>
      </c>
      <c r="C52" s="22" t="s">
        <v>50</v>
      </c>
      <c r="D52" s="22" t="s">
        <v>100</v>
      </c>
      <c r="E52" s="23" t="s">
        <v>51</v>
      </c>
      <c r="F52" s="22" t="s">
        <v>61</v>
      </c>
      <c r="G52" s="22" t="s">
        <v>53</v>
      </c>
      <c r="H52" s="22" t="s">
        <v>30</v>
      </c>
      <c r="I52" s="22" t="s">
        <v>101</v>
      </c>
      <c r="J52" s="22" t="s">
        <v>61</v>
      </c>
      <c r="K52" s="519" t="s">
        <v>896</v>
      </c>
      <c r="L52" s="521" t="s">
        <v>910</v>
      </c>
      <c r="M52" s="521" t="s">
        <v>911</v>
      </c>
      <c r="N52" s="521" t="s">
        <v>815</v>
      </c>
      <c r="O52" s="22" t="s">
        <v>102</v>
      </c>
      <c r="P52" s="426">
        <v>2021</v>
      </c>
      <c r="Q52" s="414">
        <f t="shared" ca="1" si="0"/>
        <v>5355.059890728</v>
      </c>
      <c r="R52" s="335" t="str">
        <f t="shared" ca="1" si="1"/>
        <v>N/A</v>
      </c>
      <c r="S52" s="335" t="str">
        <f t="shared" ca="1" si="2"/>
        <v>N/A</v>
      </c>
      <c r="T52" s="429" t="s">
        <v>899</v>
      </c>
      <c r="U52" s="22"/>
      <c r="V52" s="24"/>
      <c r="W52" s="21"/>
      <c r="Y52" s="490"/>
    </row>
    <row r="53" spans="1:25" ht="45">
      <c r="A53" s="31">
        <v>50</v>
      </c>
      <c r="B53" s="22" t="s">
        <v>39</v>
      </c>
      <c r="C53" s="22" t="s">
        <v>50</v>
      </c>
      <c r="D53" s="22" t="s">
        <v>100</v>
      </c>
      <c r="E53" s="23" t="s">
        <v>51</v>
      </c>
      <c r="F53" s="22" t="s">
        <v>62</v>
      </c>
      <c r="G53" s="22" t="s">
        <v>53</v>
      </c>
      <c r="H53" s="22" t="s">
        <v>30</v>
      </c>
      <c r="I53" s="22" t="s">
        <v>101</v>
      </c>
      <c r="J53" s="22" t="s">
        <v>62</v>
      </c>
      <c r="K53" s="519" t="s">
        <v>896</v>
      </c>
      <c r="L53" s="521" t="s">
        <v>912</v>
      </c>
      <c r="M53" s="521" t="s">
        <v>913</v>
      </c>
      <c r="N53" s="521" t="s">
        <v>815</v>
      </c>
      <c r="O53" s="22" t="s">
        <v>102</v>
      </c>
      <c r="P53" s="426">
        <v>2021</v>
      </c>
      <c r="Q53" s="414">
        <f t="shared" ca="1" si="0"/>
        <v>5069.2318999292884</v>
      </c>
      <c r="R53" s="335" t="str">
        <f t="shared" ca="1" si="1"/>
        <v>N/A</v>
      </c>
      <c r="S53" s="335" t="str">
        <f t="shared" ca="1" si="2"/>
        <v>N/A</v>
      </c>
      <c r="T53" s="429" t="s">
        <v>899</v>
      </c>
      <c r="U53" s="22"/>
      <c r="V53" s="24"/>
      <c r="W53" s="21"/>
      <c r="Y53" s="490"/>
    </row>
    <row r="54" spans="1:25" ht="45">
      <c r="A54" s="31">
        <v>51</v>
      </c>
      <c r="B54" s="22" t="s">
        <v>39</v>
      </c>
      <c r="C54" s="22" t="s">
        <v>50</v>
      </c>
      <c r="D54" s="22" t="s">
        <v>100</v>
      </c>
      <c r="E54" s="23" t="s">
        <v>51</v>
      </c>
      <c r="F54" s="22" t="s">
        <v>63</v>
      </c>
      <c r="G54" s="22" t="s">
        <v>53</v>
      </c>
      <c r="H54" s="22" t="s">
        <v>30</v>
      </c>
      <c r="I54" s="22" t="s">
        <v>101</v>
      </c>
      <c r="J54" s="22" t="s">
        <v>63</v>
      </c>
      <c r="K54" s="519" t="s">
        <v>896</v>
      </c>
      <c r="L54" s="521" t="s">
        <v>914</v>
      </c>
      <c r="M54" s="521" t="s">
        <v>915</v>
      </c>
      <c r="N54" s="521" t="s">
        <v>815</v>
      </c>
      <c r="O54" s="22" t="s">
        <v>102</v>
      </c>
      <c r="P54" s="426">
        <v>2021</v>
      </c>
      <c r="Q54" s="414">
        <f t="shared" ca="1" si="0"/>
        <v>42489759.862561196</v>
      </c>
      <c r="R54" s="335" t="str">
        <f t="shared" ca="1" si="1"/>
        <v>N/A</v>
      </c>
      <c r="S54" s="335" t="str">
        <f t="shared" ca="1" si="2"/>
        <v>N/A</v>
      </c>
      <c r="T54" s="429" t="s">
        <v>899</v>
      </c>
      <c r="U54" s="22"/>
      <c r="V54" s="24"/>
      <c r="W54" s="21"/>
      <c r="Y54" s="490"/>
    </row>
    <row r="55" spans="1:25" ht="45">
      <c r="A55" s="31">
        <v>52</v>
      </c>
      <c r="B55" s="22" t="s">
        <v>39</v>
      </c>
      <c r="C55" s="22" t="s">
        <v>50</v>
      </c>
      <c r="D55" s="22" t="s">
        <v>100</v>
      </c>
      <c r="E55" s="23" t="s">
        <v>51</v>
      </c>
      <c r="F55" s="22" t="s">
        <v>64</v>
      </c>
      <c r="G55" s="22" t="s">
        <v>53</v>
      </c>
      <c r="H55" s="22" t="s">
        <v>30</v>
      </c>
      <c r="I55" s="22" t="s">
        <v>101</v>
      </c>
      <c r="J55" s="22" t="s">
        <v>64</v>
      </c>
      <c r="K55" s="519" t="s">
        <v>896</v>
      </c>
      <c r="L55" s="521" t="s">
        <v>916</v>
      </c>
      <c r="M55" s="521" t="s">
        <v>917</v>
      </c>
      <c r="N55" s="521" t="s">
        <v>815</v>
      </c>
      <c r="O55" s="22" t="s">
        <v>102</v>
      </c>
      <c r="P55" s="426">
        <v>2021</v>
      </c>
      <c r="Q55" s="414">
        <f t="shared" ca="1" si="0"/>
        <v>37816835.045759149</v>
      </c>
      <c r="R55" s="335" t="str">
        <f t="shared" ca="1" si="1"/>
        <v>N/A</v>
      </c>
      <c r="S55" s="335" t="str">
        <f t="shared" ca="1" si="2"/>
        <v>N/A</v>
      </c>
      <c r="T55" s="429" t="s">
        <v>899</v>
      </c>
      <c r="U55" s="22"/>
      <c r="V55" s="24"/>
      <c r="W55" s="21"/>
      <c r="Y55" s="490"/>
    </row>
    <row r="56" spans="1:25" ht="45">
      <c r="A56" s="31">
        <v>53</v>
      </c>
      <c r="B56" s="22" t="s">
        <v>39</v>
      </c>
      <c r="C56" s="22" t="s">
        <v>50</v>
      </c>
      <c r="D56" s="22" t="s">
        <v>100</v>
      </c>
      <c r="E56" s="23" t="s">
        <v>51</v>
      </c>
      <c r="F56" s="22" t="s">
        <v>65</v>
      </c>
      <c r="G56" s="22" t="s">
        <v>53</v>
      </c>
      <c r="H56" s="22" t="s">
        <v>30</v>
      </c>
      <c r="I56" s="22" t="s">
        <v>101</v>
      </c>
      <c r="J56" s="22" t="s">
        <v>65</v>
      </c>
      <c r="K56" s="519" t="s">
        <v>896</v>
      </c>
      <c r="L56" s="521" t="s">
        <v>918</v>
      </c>
      <c r="M56" s="521" t="s">
        <v>919</v>
      </c>
      <c r="N56" s="521" t="s">
        <v>815</v>
      </c>
      <c r="O56" s="22" t="s">
        <v>102</v>
      </c>
      <c r="P56" s="426">
        <v>2021</v>
      </c>
      <c r="Q56" s="414">
        <f t="shared" ca="1" si="0"/>
        <v>674566.08028299303</v>
      </c>
      <c r="R56" s="335" t="str">
        <f t="shared" ca="1" si="1"/>
        <v>N/A</v>
      </c>
      <c r="S56" s="335" t="str">
        <f t="shared" ca="1" si="2"/>
        <v>N/A</v>
      </c>
      <c r="T56" s="429" t="s">
        <v>899</v>
      </c>
      <c r="U56" s="22" t="s">
        <v>49</v>
      </c>
      <c r="V56" s="24"/>
      <c r="W56" s="21"/>
      <c r="Y56" s="490"/>
    </row>
    <row r="57" spans="1:25" ht="45">
      <c r="A57" s="31">
        <v>54</v>
      </c>
      <c r="B57" s="22" t="s">
        <v>39</v>
      </c>
      <c r="C57" s="22" t="s">
        <v>50</v>
      </c>
      <c r="D57" s="22" t="s">
        <v>100</v>
      </c>
      <c r="E57" s="23" t="s">
        <v>51</v>
      </c>
      <c r="F57" s="22" t="s">
        <v>66</v>
      </c>
      <c r="G57" s="22" t="s">
        <v>53</v>
      </c>
      <c r="H57" s="22" t="s">
        <v>30</v>
      </c>
      <c r="I57" s="22" t="s">
        <v>101</v>
      </c>
      <c r="J57" s="22" t="s">
        <v>66</v>
      </c>
      <c r="K57" s="519" t="s">
        <v>896</v>
      </c>
      <c r="L57" s="521" t="s">
        <v>920</v>
      </c>
      <c r="M57" s="521" t="s">
        <v>921</v>
      </c>
      <c r="N57" s="521" t="s">
        <v>815</v>
      </c>
      <c r="O57" s="22" t="s">
        <v>102</v>
      </c>
      <c r="P57" s="426">
        <v>2021</v>
      </c>
      <c r="Q57" s="414">
        <f t="shared" ca="1" si="0"/>
        <v>603775.63206594472</v>
      </c>
      <c r="R57" s="335" t="str">
        <f t="shared" ca="1" si="1"/>
        <v>N/A</v>
      </c>
      <c r="S57" s="335" t="str">
        <f t="shared" ca="1" si="2"/>
        <v>N/A</v>
      </c>
      <c r="T57" s="429" t="s">
        <v>899</v>
      </c>
      <c r="U57" s="22" t="s">
        <v>49</v>
      </c>
      <c r="V57" s="24"/>
      <c r="W57" s="21"/>
      <c r="Y57" s="490"/>
    </row>
    <row r="58" spans="1:25" ht="30">
      <c r="A58" s="31">
        <v>55</v>
      </c>
      <c r="B58" s="22" t="s">
        <v>39</v>
      </c>
      <c r="C58" s="22" t="s">
        <v>40</v>
      </c>
      <c r="D58" s="22" t="s">
        <v>103</v>
      </c>
      <c r="E58" s="23" t="s">
        <v>42</v>
      </c>
      <c r="F58" s="22" t="s">
        <v>43</v>
      </c>
      <c r="G58" s="22" t="s">
        <v>44</v>
      </c>
      <c r="H58" s="22" t="s">
        <v>30</v>
      </c>
      <c r="I58" s="22" t="s">
        <v>104</v>
      </c>
      <c r="J58" s="19" t="s">
        <v>46</v>
      </c>
      <c r="K58" s="519" t="s">
        <v>896</v>
      </c>
      <c r="L58" s="521" t="s">
        <v>922</v>
      </c>
      <c r="M58" s="521" t="s">
        <v>923</v>
      </c>
      <c r="N58" s="521" t="s">
        <v>815</v>
      </c>
      <c r="O58" s="22" t="s">
        <v>102</v>
      </c>
      <c r="P58" s="426">
        <v>2021</v>
      </c>
      <c r="Q58" s="414">
        <f t="shared" ca="1" si="0"/>
        <v>6460.5659519101091</v>
      </c>
      <c r="R58" s="335" t="str">
        <f t="shared" ca="1" si="1"/>
        <v>N/A</v>
      </c>
      <c r="S58" s="335" t="str">
        <f t="shared" ca="1" si="2"/>
        <v>N/A</v>
      </c>
      <c r="T58" s="429" t="s">
        <v>48</v>
      </c>
      <c r="U58" s="22" t="s">
        <v>105</v>
      </c>
      <c r="V58" s="24"/>
      <c r="W58" s="21"/>
      <c r="Y58" s="490"/>
    </row>
    <row r="59" spans="1:25" ht="60">
      <c r="A59" s="31">
        <v>56</v>
      </c>
      <c r="B59" s="22" t="s">
        <v>39</v>
      </c>
      <c r="C59" s="22" t="s">
        <v>40</v>
      </c>
      <c r="D59" s="22" t="s">
        <v>106</v>
      </c>
      <c r="E59" s="23" t="s">
        <v>107</v>
      </c>
      <c r="F59" s="22" t="s">
        <v>108</v>
      </c>
      <c r="G59" s="22" t="s">
        <v>109</v>
      </c>
      <c r="H59" s="22" t="s">
        <v>30</v>
      </c>
      <c r="I59" s="22" t="s">
        <v>110</v>
      </c>
      <c r="J59" s="101" t="s">
        <v>111</v>
      </c>
      <c r="K59" s="519" t="s">
        <v>896</v>
      </c>
      <c r="L59" s="521" t="s">
        <v>924</v>
      </c>
      <c r="M59" s="521" t="s">
        <v>925</v>
      </c>
      <c r="N59" s="521" t="s">
        <v>885</v>
      </c>
      <c r="O59" s="22" t="s">
        <v>102</v>
      </c>
      <c r="P59" s="426">
        <v>2021</v>
      </c>
      <c r="Q59" s="414">
        <f t="shared" ca="1" si="0"/>
        <v>7.2833791665650693</v>
      </c>
      <c r="R59" s="335">
        <f t="shared" ca="1" si="1"/>
        <v>5069.2318999292884</v>
      </c>
      <c r="S59" s="335">
        <f t="shared" ca="1" si="2"/>
        <v>696</v>
      </c>
      <c r="T59" s="429"/>
      <c r="U59" s="22"/>
      <c r="V59" s="24"/>
      <c r="W59" s="21"/>
      <c r="Y59" s="490"/>
    </row>
    <row r="60" spans="1:25" ht="60">
      <c r="A60" s="31">
        <v>57</v>
      </c>
      <c r="B60" s="22" t="s">
        <v>39</v>
      </c>
      <c r="C60" s="22" t="s">
        <v>40</v>
      </c>
      <c r="D60" s="22" t="s">
        <v>106</v>
      </c>
      <c r="E60" s="23" t="s">
        <v>107</v>
      </c>
      <c r="F60" s="22" t="s">
        <v>112</v>
      </c>
      <c r="G60" s="22" t="s">
        <v>109</v>
      </c>
      <c r="H60" s="22" t="s">
        <v>30</v>
      </c>
      <c r="I60" s="22" t="s">
        <v>110</v>
      </c>
      <c r="J60" s="101" t="s">
        <v>113</v>
      </c>
      <c r="K60" s="519" t="s">
        <v>896</v>
      </c>
      <c r="L60" s="521" t="s">
        <v>926</v>
      </c>
      <c r="M60" s="521" t="s">
        <v>927</v>
      </c>
      <c r="N60" s="521" t="s">
        <v>885</v>
      </c>
      <c r="O60" s="22" t="s">
        <v>102</v>
      </c>
      <c r="P60" s="426">
        <v>2021</v>
      </c>
      <c r="Q60" s="414">
        <f t="shared" ca="1" si="0"/>
        <v>54334.533111722914</v>
      </c>
      <c r="R60" s="335">
        <f t="shared" ca="1" si="1"/>
        <v>37816835.045759149</v>
      </c>
      <c r="S60" s="335">
        <f t="shared" ca="1" si="2"/>
        <v>696</v>
      </c>
      <c r="T60" s="429"/>
      <c r="U60" s="22"/>
      <c r="V60" s="24"/>
      <c r="W60" s="21"/>
      <c r="Y60" s="490"/>
    </row>
    <row r="61" spans="1:25" ht="60">
      <c r="A61" s="31">
        <v>58</v>
      </c>
      <c r="B61" s="22" t="s">
        <v>39</v>
      </c>
      <c r="C61" s="22" t="s">
        <v>40</v>
      </c>
      <c r="D61" s="22" t="s">
        <v>106</v>
      </c>
      <c r="E61" s="23" t="s">
        <v>107</v>
      </c>
      <c r="F61" s="22" t="s">
        <v>114</v>
      </c>
      <c r="G61" s="22" t="s">
        <v>109</v>
      </c>
      <c r="H61" s="22" t="s">
        <v>30</v>
      </c>
      <c r="I61" s="22" t="s">
        <v>110</v>
      </c>
      <c r="J61" s="101" t="s">
        <v>115</v>
      </c>
      <c r="K61" s="519" t="s">
        <v>896</v>
      </c>
      <c r="L61" s="521" t="s">
        <v>928</v>
      </c>
      <c r="M61" s="521" t="s">
        <v>929</v>
      </c>
      <c r="N61" s="521" t="s">
        <v>885</v>
      </c>
      <c r="O61" s="22" t="s">
        <v>102</v>
      </c>
      <c r="P61" s="426">
        <v>2021</v>
      </c>
      <c r="Q61" s="414">
        <f t="shared" ca="1" si="0"/>
        <v>867.49372423267903</v>
      </c>
      <c r="R61" s="335">
        <f t="shared" ca="1" si="1"/>
        <v>603775.63206594461</v>
      </c>
      <c r="S61" s="335">
        <f t="shared" ca="1" si="2"/>
        <v>696</v>
      </c>
      <c r="T61" s="429" t="s">
        <v>116</v>
      </c>
      <c r="U61" s="22" t="s">
        <v>117</v>
      </c>
      <c r="V61" s="24"/>
      <c r="W61" s="21"/>
      <c r="Y61" s="490"/>
    </row>
    <row r="62" spans="1:25" ht="45">
      <c r="A62" s="31">
        <v>59</v>
      </c>
      <c r="B62" s="22" t="s">
        <v>39</v>
      </c>
      <c r="C62" s="22" t="s">
        <v>40</v>
      </c>
      <c r="D62" s="22" t="s">
        <v>106</v>
      </c>
      <c r="E62" s="23" t="s">
        <v>118</v>
      </c>
      <c r="F62" s="22" t="s">
        <v>108</v>
      </c>
      <c r="G62" s="22" t="s">
        <v>119</v>
      </c>
      <c r="H62" s="22" t="s">
        <v>30</v>
      </c>
      <c r="I62" s="22" t="s">
        <v>120</v>
      </c>
      <c r="J62" s="101" t="s">
        <v>121</v>
      </c>
      <c r="K62" s="519" t="s">
        <v>896</v>
      </c>
      <c r="L62" s="521" t="s">
        <v>930</v>
      </c>
      <c r="M62" s="521" t="s">
        <v>931</v>
      </c>
      <c r="N62" s="521" t="s">
        <v>885</v>
      </c>
      <c r="O62" s="22" t="s">
        <v>102</v>
      </c>
      <c r="P62" s="426">
        <v>2021</v>
      </c>
      <c r="Q62" s="414">
        <f t="shared" ca="1" si="0"/>
        <v>1.0620259203811342</v>
      </c>
      <c r="R62" s="335">
        <f t="shared" ca="1" si="1"/>
        <v>738.10801466488829</v>
      </c>
      <c r="S62" s="335">
        <f t="shared" ca="1" si="2"/>
        <v>695</v>
      </c>
      <c r="T62" s="429"/>
      <c r="U62" s="22"/>
      <c r="V62" s="24"/>
      <c r="W62" s="21"/>
      <c r="Y62" s="490"/>
    </row>
    <row r="63" spans="1:25" ht="45">
      <c r="A63" s="31">
        <v>60</v>
      </c>
      <c r="B63" s="22" t="s">
        <v>39</v>
      </c>
      <c r="C63" s="22" t="s">
        <v>40</v>
      </c>
      <c r="D63" s="22" t="s">
        <v>106</v>
      </c>
      <c r="E63" s="23" t="s">
        <v>118</v>
      </c>
      <c r="F63" s="22" t="s">
        <v>112</v>
      </c>
      <c r="G63" s="22" t="s">
        <v>119</v>
      </c>
      <c r="H63" s="22" t="s">
        <v>30</v>
      </c>
      <c r="I63" s="22" t="s">
        <v>120</v>
      </c>
      <c r="J63" s="101" t="s">
        <v>122</v>
      </c>
      <c r="K63" s="519" t="s">
        <v>896</v>
      </c>
      <c r="L63" s="521" t="s">
        <v>932</v>
      </c>
      <c r="M63" s="521" t="s">
        <v>933</v>
      </c>
      <c r="N63" s="521" t="s">
        <v>885</v>
      </c>
      <c r="O63" s="22" t="s">
        <v>102</v>
      </c>
      <c r="P63" s="426">
        <v>2021</v>
      </c>
      <c r="Q63" s="414">
        <f t="shared" ca="1" si="0"/>
        <v>13040.600719525108</v>
      </c>
      <c r="R63" s="335">
        <f t="shared" ca="1" si="1"/>
        <v>9063217.5000699498</v>
      </c>
      <c r="S63" s="335">
        <f t="shared" ca="1" si="2"/>
        <v>695</v>
      </c>
      <c r="T63" s="429"/>
      <c r="U63" s="22"/>
      <c r="V63" s="24"/>
      <c r="W63" s="21"/>
      <c r="Y63" s="490"/>
    </row>
    <row r="64" spans="1:25" ht="60">
      <c r="A64" s="31">
        <v>61</v>
      </c>
      <c r="B64" s="22" t="s">
        <v>39</v>
      </c>
      <c r="C64" s="22" t="s">
        <v>40</v>
      </c>
      <c r="D64" s="22" t="s">
        <v>106</v>
      </c>
      <c r="E64" s="23" t="s">
        <v>118</v>
      </c>
      <c r="F64" s="22" t="s">
        <v>114</v>
      </c>
      <c r="G64" s="22" t="s">
        <v>119</v>
      </c>
      <c r="H64" s="22" t="s">
        <v>30</v>
      </c>
      <c r="I64" s="22" t="s">
        <v>120</v>
      </c>
      <c r="J64" s="101" t="s">
        <v>123</v>
      </c>
      <c r="K64" s="519" t="s">
        <v>896</v>
      </c>
      <c r="L64" s="521" t="s">
        <v>934</v>
      </c>
      <c r="M64" s="521" t="s">
        <v>935</v>
      </c>
      <c r="N64" s="521" t="s">
        <v>885</v>
      </c>
      <c r="O64" s="22" t="s">
        <v>102</v>
      </c>
      <c r="P64" s="426">
        <v>2021</v>
      </c>
      <c r="Q64" s="414">
        <f t="shared" ca="1" si="0"/>
        <v>200.51560110618948</v>
      </c>
      <c r="R64" s="335">
        <f t="shared" ca="1" si="1"/>
        <v>139358.3427688017</v>
      </c>
      <c r="S64" s="335">
        <f t="shared" ca="1" si="2"/>
        <v>695</v>
      </c>
      <c r="T64" s="429" t="s">
        <v>124</v>
      </c>
      <c r="U64" s="22" t="s">
        <v>117</v>
      </c>
      <c r="V64" s="24"/>
      <c r="W64" s="21"/>
      <c r="Y64" s="490"/>
    </row>
    <row r="65" spans="1:25" ht="45">
      <c r="A65" s="31">
        <v>62</v>
      </c>
      <c r="B65" s="22" t="s">
        <v>39</v>
      </c>
      <c r="C65" s="22" t="s">
        <v>40</v>
      </c>
      <c r="D65" s="22" t="s">
        <v>106</v>
      </c>
      <c r="E65" s="23" t="s">
        <v>125</v>
      </c>
      <c r="F65" s="22" t="s">
        <v>108</v>
      </c>
      <c r="G65" s="22" t="s">
        <v>126</v>
      </c>
      <c r="H65" s="22" t="s">
        <v>30</v>
      </c>
      <c r="I65" s="22" t="s">
        <v>127</v>
      </c>
      <c r="J65" s="101" t="s">
        <v>128</v>
      </c>
      <c r="K65" s="519" t="s">
        <v>896</v>
      </c>
      <c r="L65" s="521" t="s">
        <v>936</v>
      </c>
      <c r="M65" s="521" t="s">
        <v>937</v>
      </c>
      <c r="N65" s="521" t="s">
        <v>815</v>
      </c>
      <c r="O65" s="22" t="s">
        <v>102</v>
      </c>
      <c r="P65" s="426">
        <v>2021</v>
      </c>
      <c r="Q65" s="720">
        <f t="shared" ca="1" si="0"/>
        <v>0</v>
      </c>
      <c r="R65" s="335" t="str">
        <f t="shared" ca="1" si="1"/>
        <v>N/A</v>
      </c>
      <c r="S65" s="335" t="str">
        <f t="shared" ca="1" si="2"/>
        <v>N/A</v>
      </c>
      <c r="T65" s="429"/>
      <c r="U65" s="22"/>
      <c r="V65" s="24"/>
      <c r="W65" s="21"/>
      <c r="Y65" s="490"/>
    </row>
    <row r="66" spans="1:25" ht="45">
      <c r="A66" s="31">
        <v>63</v>
      </c>
      <c r="B66" s="22" t="s">
        <v>39</v>
      </c>
      <c r="C66" s="22" t="s">
        <v>40</v>
      </c>
      <c r="D66" s="22" t="s">
        <v>106</v>
      </c>
      <c r="E66" s="23" t="s">
        <v>125</v>
      </c>
      <c r="F66" s="22" t="s">
        <v>112</v>
      </c>
      <c r="G66" s="22" t="s">
        <v>126</v>
      </c>
      <c r="H66" s="22" t="s">
        <v>30</v>
      </c>
      <c r="I66" s="22" t="s">
        <v>127</v>
      </c>
      <c r="J66" s="101" t="s">
        <v>129</v>
      </c>
      <c r="K66" s="519" t="s">
        <v>896</v>
      </c>
      <c r="L66" s="521" t="s">
        <v>938</v>
      </c>
      <c r="M66" s="521" t="s">
        <v>939</v>
      </c>
      <c r="N66" s="521" t="s">
        <v>815</v>
      </c>
      <c r="O66" s="22" t="s">
        <v>102</v>
      </c>
      <c r="P66" s="426">
        <v>2021</v>
      </c>
      <c r="Q66" s="720">
        <f t="shared" ca="1" si="0"/>
        <v>0</v>
      </c>
      <c r="R66" s="335" t="str">
        <f t="shared" ca="1" si="1"/>
        <v>N/A</v>
      </c>
      <c r="S66" s="335" t="str">
        <f t="shared" ca="1" si="2"/>
        <v>N/A</v>
      </c>
      <c r="T66" s="429"/>
      <c r="U66" s="22"/>
      <c r="V66" s="24"/>
      <c r="W66" s="21"/>
      <c r="Y66" s="490"/>
    </row>
    <row r="67" spans="1:25" ht="45">
      <c r="A67" s="31">
        <v>64</v>
      </c>
      <c r="B67" s="22" t="s">
        <v>39</v>
      </c>
      <c r="C67" s="22" t="s">
        <v>40</v>
      </c>
      <c r="D67" s="22" t="s">
        <v>106</v>
      </c>
      <c r="E67" s="23" t="s">
        <v>125</v>
      </c>
      <c r="F67" s="22" t="s">
        <v>114</v>
      </c>
      <c r="G67" s="22" t="s">
        <v>126</v>
      </c>
      <c r="H67" s="22" t="s">
        <v>30</v>
      </c>
      <c r="I67" s="22" t="s">
        <v>127</v>
      </c>
      <c r="J67" s="101" t="s">
        <v>130</v>
      </c>
      <c r="K67" s="519" t="s">
        <v>896</v>
      </c>
      <c r="L67" s="521" t="s">
        <v>940</v>
      </c>
      <c r="M67" s="521" t="s">
        <v>941</v>
      </c>
      <c r="N67" s="521" t="s">
        <v>815</v>
      </c>
      <c r="O67" s="22" t="s">
        <v>102</v>
      </c>
      <c r="P67" s="426">
        <v>2021</v>
      </c>
      <c r="Q67" s="720">
        <f t="shared" ca="1" si="0"/>
        <v>0</v>
      </c>
      <c r="R67" s="335" t="str">
        <f t="shared" ca="1" si="1"/>
        <v>N/A</v>
      </c>
      <c r="S67" s="335" t="str">
        <f t="shared" ca="1" si="2"/>
        <v>N/A</v>
      </c>
      <c r="T67" s="429" t="s">
        <v>131</v>
      </c>
      <c r="U67" s="22" t="s">
        <v>132</v>
      </c>
      <c r="V67" s="24"/>
      <c r="W67" s="21"/>
      <c r="Y67" s="490"/>
    </row>
    <row r="68" spans="1:25" ht="45">
      <c r="A68" s="31">
        <v>65</v>
      </c>
      <c r="B68" s="22" t="s">
        <v>39</v>
      </c>
      <c r="C68" s="22" t="s">
        <v>40</v>
      </c>
      <c r="D68" s="22" t="s">
        <v>106</v>
      </c>
      <c r="E68" s="23" t="s">
        <v>133</v>
      </c>
      <c r="F68" s="22" t="s">
        <v>108</v>
      </c>
      <c r="G68" s="22" t="s">
        <v>134</v>
      </c>
      <c r="H68" s="22" t="s">
        <v>30</v>
      </c>
      <c r="I68" s="22" t="s">
        <v>135</v>
      </c>
      <c r="J68" s="101" t="s">
        <v>136</v>
      </c>
      <c r="K68" s="519" t="s">
        <v>896</v>
      </c>
      <c r="L68" s="521" t="s">
        <v>942</v>
      </c>
      <c r="M68" s="521" t="s">
        <v>943</v>
      </c>
      <c r="N68" s="521" t="s">
        <v>885</v>
      </c>
      <c r="O68" s="22" t="s">
        <v>102</v>
      </c>
      <c r="P68" s="426">
        <v>2021</v>
      </c>
      <c r="Q68" s="414">
        <f t="shared" ref="Q68:Q131" ca="1" si="3">SUMIF(INDIRECT("'"&amp;K68&amp;"'!c:c"),A68,INDIRECT("'"&amp;K68&amp;"'!i:i"))</f>
        <v>1.0620259203811342</v>
      </c>
      <c r="R68" s="335">
        <f t="shared" ref="R68:R131" ca="1" si="4">IF($N68 = "N","N/A",SUMIF(INDIRECT("'"&amp;K68&amp;"'!j:j"),L68,INDIRECT("'"&amp;K68&amp;"'!q:q")))</f>
        <v>738.10801466488829</v>
      </c>
      <c r="S68" s="335">
        <f t="shared" ref="S68:S131" ca="1" si="5">IF($N68 = "N","N/A",SUMIF(INDIRECT("'"&amp;K68&amp;"'!j:j"),M68,INDIRECT("'"&amp;K68&amp;"'!q:q")))</f>
        <v>695</v>
      </c>
      <c r="T68" s="429"/>
      <c r="U68" s="22"/>
      <c r="V68" s="24"/>
      <c r="W68" s="21"/>
      <c r="Y68" s="490"/>
    </row>
    <row r="69" spans="1:25" ht="45">
      <c r="A69" s="31">
        <v>66</v>
      </c>
      <c r="B69" s="22" t="s">
        <v>39</v>
      </c>
      <c r="C69" s="22" t="s">
        <v>40</v>
      </c>
      <c r="D69" s="22" t="s">
        <v>106</v>
      </c>
      <c r="E69" s="23" t="s">
        <v>133</v>
      </c>
      <c r="F69" s="22" t="s">
        <v>112</v>
      </c>
      <c r="G69" s="22" t="s">
        <v>134</v>
      </c>
      <c r="H69" s="22" t="s">
        <v>30</v>
      </c>
      <c r="I69" s="22" t="s">
        <v>135</v>
      </c>
      <c r="J69" s="101" t="s">
        <v>137</v>
      </c>
      <c r="K69" s="519" t="s">
        <v>896</v>
      </c>
      <c r="L69" s="521" t="s">
        <v>944</v>
      </c>
      <c r="M69" s="521" t="s">
        <v>945</v>
      </c>
      <c r="N69" s="521" t="s">
        <v>885</v>
      </c>
      <c r="O69" s="22" t="s">
        <v>102</v>
      </c>
      <c r="P69" s="426">
        <v>2021</v>
      </c>
      <c r="Q69" s="414">
        <f t="shared" ca="1" si="3"/>
        <v>13040.600719525108</v>
      </c>
      <c r="R69" s="335">
        <f t="shared" ca="1" si="4"/>
        <v>9063217.5000699498</v>
      </c>
      <c r="S69" s="335">
        <f t="shared" ca="1" si="5"/>
        <v>695</v>
      </c>
      <c r="T69" s="429"/>
      <c r="U69" s="22"/>
      <c r="V69" s="24"/>
      <c r="W69" s="21"/>
      <c r="Y69" s="490"/>
    </row>
    <row r="70" spans="1:25" ht="60">
      <c r="A70" s="31">
        <v>67</v>
      </c>
      <c r="B70" s="22" t="s">
        <v>39</v>
      </c>
      <c r="C70" s="22" t="s">
        <v>40</v>
      </c>
      <c r="D70" s="22" t="s">
        <v>106</v>
      </c>
      <c r="E70" s="23" t="s">
        <v>133</v>
      </c>
      <c r="F70" s="22" t="s">
        <v>114</v>
      </c>
      <c r="G70" s="22" t="s">
        <v>134</v>
      </c>
      <c r="H70" s="22" t="s">
        <v>30</v>
      </c>
      <c r="I70" s="22" t="s">
        <v>135</v>
      </c>
      <c r="J70" s="101" t="s">
        <v>138</v>
      </c>
      <c r="K70" s="519" t="s">
        <v>896</v>
      </c>
      <c r="L70" s="521" t="s">
        <v>946</v>
      </c>
      <c r="M70" s="521" t="s">
        <v>947</v>
      </c>
      <c r="N70" s="521" t="s">
        <v>885</v>
      </c>
      <c r="O70" s="22" t="s">
        <v>102</v>
      </c>
      <c r="P70" s="426">
        <v>2021</v>
      </c>
      <c r="Q70" s="414">
        <f t="shared" ca="1" si="3"/>
        <v>200.51560110618948</v>
      </c>
      <c r="R70" s="335">
        <f t="shared" ca="1" si="4"/>
        <v>139358.3427688017</v>
      </c>
      <c r="S70" s="335">
        <f t="shared" ca="1" si="5"/>
        <v>695</v>
      </c>
      <c r="T70" s="429" t="s">
        <v>139</v>
      </c>
      <c r="U70" s="22" t="s">
        <v>117</v>
      </c>
      <c r="V70" s="24"/>
      <c r="W70" s="21"/>
      <c r="Y70" s="490"/>
    </row>
    <row r="71" spans="1:25" ht="105">
      <c r="A71" s="31">
        <v>68</v>
      </c>
      <c r="B71" s="22" t="s">
        <v>39</v>
      </c>
      <c r="C71" s="22" t="s">
        <v>40</v>
      </c>
      <c r="D71" s="22" t="s">
        <v>140</v>
      </c>
      <c r="E71" s="23" t="s">
        <v>141</v>
      </c>
      <c r="F71" s="22" t="s">
        <v>142</v>
      </c>
      <c r="G71" s="22" t="s">
        <v>143</v>
      </c>
      <c r="H71" s="22" t="s">
        <v>30</v>
      </c>
      <c r="I71" s="22" t="s">
        <v>144</v>
      </c>
      <c r="J71" s="22" t="s">
        <v>145</v>
      </c>
      <c r="K71" s="519" t="s">
        <v>896</v>
      </c>
      <c r="L71" s="521" t="s">
        <v>948</v>
      </c>
      <c r="M71" s="521" t="s">
        <v>949</v>
      </c>
      <c r="N71" s="521" t="s">
        <v>885</v>
      </c>
      <c r="O71" s="22" t="s">
        <v>102</v>
      </c>
      <c r="P71" s="426">
        <v>2021</v>
      </c>
      <c r="Q71" s="720">
        <f t="shared" ca="1" si="3"/>
        <v>7.1690051769281637E-4</v>
      </c>
      <c r="R71" s="335">
        <f t="shared" ca="1" si="4"/>
        <v>696</v>
      </c>
      <c r="S71" s="335">
        <f t="shared" ca="1" si="5"/>
        <v>970846</v>
      </c>
      <c r="T71" s="429" t="s">
        <v>950</v>
      </c>
      <c r="U71" s="22" t="s">
        <v>147</v>
      </c>
      <c r="V71" s="24"/>
      <c r="W71" s="21"/>
      <c r="Y71" s="490"/>
    </row>
    <row r="72" spans="1:25" ht="60">
      <c r="A72" s="31">
        <v>69</v>
      </c>
      <c r="B72" s="22" t="s">
        <v>39</v>
      </c>
      <c r="C72" s="22" t="s">
        <v>40</v>
      </c>
      <c r="D72" s="22" t="s">
        <v>140</v>
      </c>
      <c r="E72" s="23" t="s">
        <v>148</v>
      </c>
      <c r="F72" s="22" t="s">
        <v>142</v>
      </c>
      <c r="G72" s="22" t="s">
        <v>149</v>
      </c>
      <c r="H72" s="22" t="s">
        <v>30</v>
      </c>
      <c r="I72" s="22" t="s">
        <v>150</v>
      </c>
      <c r="J72" s="22" t="s">
        <v>151</v>
      </c>
      <c r="K72" s="519" t="s">
        <v>896</v>
      </c>
      <c r="L72" s="521" t="s">
        <v>951</v>
      </c>
      <c r="M72" s="521" t="s">
        <v>952</v>
      </c>
      <c r="N72" s="521" t="s">
        <v>885</v>
      </c>
      <c r="O72" s="22" t="s">
        <v>102</v>
      </c>
      <c r="P72" s="426">
        <v>2021</v>
      </c>
      <c r="Q72" s="720">
        <f t="shared" ca="1" si="3"/>
        <v>0</v>
      </c>
      <c r="R72" s="335">
        <f t="shared" ca="1" si="4"/>
        <v>0</v>
      </c>
      <c r="S72" s="335">
        <f t="shared" ca="1" si="5"/>
        <v>35888</v>
      </c>
      <c r="T72" s="429" t="s">
        <v>152</v>
      </c>
      <c r="U72" s="22" t="str">
        <f>Definitions!C7</f>
        <v>D.18-05-041: DAC = Bill accounts in census tracts corresponding to census tracts in the top quartile of CalEnviroScreen 3.0 scores.</v>
      </c>
      <c r="V72" s="24"/>
      <c r="W72" s="21"/>
      <c r="Y72" s="490"/>
    </row>
    <row r="73" spans="1:25" ht="90">
      <c r="A73" s="31">
        <v>70</v>
      </c>
      <c r="B73" s="22" t="s">
        <v>39</v>
      </c>
      <c r="C73" s="22" t="s">
        <v>40</v>
      </c>
      <c r="D73" s="22" t="s">
        <v>140</v>
      </c>
      <c r="E73" s="23" t="s">
        <v>153</v>
      </c>
      <c r="F73" s="22" t="s">
        <v>142</v>
      </c>
      <c r="G73" s="22" t="s">
        <v>154</v>
      </c>
      <c r="H73" s="22" t="s">
        <v>30</v>
      </c>
      <c r="I73" s="22" t="s">
        <v>155</v>
      </c>
      <c r="J73" s="22" t="s">
        <v>156</v>
      </c>
      <c r="K73" s="519" t="s">
        <v>896</v>
      </c>
      <c r="L73" s="521" t="s">
        <v>953</v>
      </c>
      <c r="M73" s="521" t="s">
        <v>954</v>
      </c>
      <c r="N73" s="521" t="s">
        <v>885</v>
      </c>
      <c r="O73" s="22" t="s">
        <v>102</v>
      </c>
      <c r="P73" s="426">
        <v>2021</v>
      </c>
      <c r="Q73" s="720">
        <f t="shared" ca="1" si="3"/>
        <v>0</v>
      </c>
      <c r="R73" s="335">
        <f t="shared" ca="1" si="4"/>
        <v>0</v>
      </c>
      <c r="S73" s="335">
        <f t="shared" ca="1" si="5"/>
        <v>23549</v>
      </c>
      <c r="T73" s="429" t="s">
        <v>157</v>
      </c>
      <c r="U7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73" s="24"/>
      <c r="W73" s="21"/>
      <c r="Y73" s="490"/>
    </row>
    <row r="74" spans="1:25" ht="30">
      <c r="A74" s="31">
        <v>71</v>
      </c>
      <c r="B74" s="22" t="s">
        <v>39</v>
      </c>
      <c r="C74" s="22" t="s">
        <v>40</v>
      </c>
      <c r="D74" s="22" t="s">
        <v>158</v>
      </c>
      <c r="E74" s="23" t="s">
        <v>91</v>
      </c>
      <c r="F74" s="22" t="s">
        <v>92</v>
      </c>
      <c r="G74" s="22" t="s">
        <v>93</v>
      </c>
      <c r="H74" s="22" t="s">
        <v>30</v>
      </c>
      <c r="I74" s="22" t="s">
        <v>159</v>
      </c>
      <c r="J74" s="22" t="s">
        <v>92</v>
      </c>
      <c r="K74" s="519" t="s">
        <v>896</v>
      </c>
      <c r="L74" s="521" t="s">
        <v>955</v>
      </c>
      <c r="M74" s="521" t="s">
        <v>956</v>
      </c>
      <c r="N74" s="521" t="s">
        <v>885</v>
      </c>
      <c r="O74" s="22" t="s">
        <v>102</v>
      </c>
      <c r="P74" s="426">
        <v>2021</v>
      </c>
      <c r="Q74" s="414">
        <f t="shared" ca="1" si="3"/>
        <v>605.54601756827196</v>
      </c>
      <c r="R74" s="335">
        <f t="shared" ca="1" si="4"/>
        <v>3069653.1891322257</v>
      </c>
      <c r="S74" s="335">
        <f t="shared" ca="1" si="5"/>
        <v>5069.2318999292884</v>
      </c>
      <c r="T74" s="429"/>
      <c r="U74" s="22"/>
      <c r="V74" s="24"/>
      <c r="W74" s="21"/>
      <c r="Y74" s="490"/>
    </row>
    <row r="75" spans="1:25" ht="30">
      <c r="A75" s="31">
        <v>72</v>
      </c>
      <c r="B75" s="22" t="s">
        <v>39</v>
      </c>
      <c r="C75" s="22" t="s">
        <v>40</v>
      </c>
      <c r="D75" s="22" t="s">
        <v>158</v>
      </c>
      <c r="E75" s="23" t="s">
        <v>91</v>
      </c>
      <c r="F75" s="22" t="s">
        <v>95</v>
      </c>
      <c r="G75" s="22" t="s">
        <v>93</v>
      </c>
      <c r="H75" s="22" t="s">
        <v>30</v>
      </c>
      <c r="I75" s="22" t="s">
        <v>159</v>
      </c>
      <c r="J75" s="22" t="s">
        <v>95</v>
      </c>
      <c r="K75" s="519" t="s">
        <v>896</v>
      </c>
      <c r="L75" s="521" t="s">
        <v>957</v>
      </c>
      <c r="M75" s="521" t="s">
        <v>958</v>
      </c>
      <c r="N75" s="521" t="s">
        <v>885</v>
      </c>
      <c r="O75" s="22" t="s">
        <v>102</v>
      </c>
      <c r="P75" s="426">
        <v>2021</v>
      </c>
      <c r="Q75" s="720">
        <f t="shared" ca="1" si="3"/>
        <v>8.117160480029284E-2</v>
      </c>
      <c r="R75" s="335">
        <f t="shared" ca="1" si="4"/>
        <v>3069653.1891322257</v>
      </c>
      <c r="S75" s="335">
        <f t="shared" ca="1" si="5"/>
        <v>37816835.045759149</v>
      </c>
      <c r="T75" s="429"/>
      <c r="U75" s="22"/>
      <c r="V75" s="24"/>
      <c r="W75" s="21"/>
      <c r="Y75" s="490"/>
    </row>
    <row r="76" spans="1:25" ht="30">
      <c r="A76" s="31">
        <v>73</v>
      </c>
      <c r="B76" s="22" t="s">
        <v>39</v>
      </c>
      <c r="C76" s="22" t="s">
        <v>40</v>
      </c>
      <c r="D76" s="22" t="s">
        <v>158</v>
      </c>
      <c r="E76" s="23" t="s">
        <v>91</v>
      </c>
      <c r="F76" s="22" t="s">
        <v>96</v>
      </c>
      <c r="G76" s="22" t="s">
        <v>93</v>
      </c>
      <c r="H76" s="22" t="s">
        <v>30</v>
      </c>
      <c r="I76" s="22" t="s">
        <v>159</v>
      </c>
      <c r="J76" s="22" t="s">
        <v>96</v>
      </c>
      <c r="K76" s="519" t="s">
        <v>896</v>
      </c>
      <c r="L76" s="521" t="s">
        <v>959</v>
      </c>
      <c r="M76" s="521" t="s">
        <v>960</v>
      </c>
      <c r="N76" s="521" t="s">
        <v>885</v>
      </c>
      <c r="O76" s="22" t="s">
        <v>102</v>
      </c>
      <c r="P76" s="426">
        <v>2021</v>
      </c>
      <c r="Q76" s="414">
        <f t="shared" ca="1" si="3"/>
        <v>0.93603902022142815</v>
      </c>
      <c r="R76" s="335">
        <f t="shared" ca="1" si="4"/>
        <v>565157.55107258039</v>
      </c>
      <c r="S76" s="335">
        <f t="shared" ca="1" si="5"/>
        <v>603775.63206594472</v>
      </c>
      <c r="T76" s="429" t="s">
        <v>48</v>
      </c>
      <c r="U76" s="22" t="s">
        <v>49</v>
      </c>
      <c r="V76" s="24"/>
      <c r="W76" s="21"/>
      <c r="Y76" s="490"/>
    </row>
    <row r="77" spans="1:25" ht="30">
      <c r="A77" s="31">
        <v>74</v>
      </c>
      <c r="B77" s="22" t="s">
        <v>39</v>
      </c>
      <c r="C77" s="22" t="s">
        <v>40</v>
      </c>
      <c r="D77" s="22" t="s">
        <v>158</v>
      </c>
      <c r="E77" s="23" t="s">
        <v>91</v>
      </c>
      <c r="F77" s="22" t="s">
        <v>97</v>
      </c>
      <c r="G77" s="22" t="s">
        <v>93</v>
      </c>
      <c r="H77" s="22" t="s">
        <v>30</v>
      </c>
      <c r="I77" s="22" t="s">
        <v>159</v>
      </c>
      <c r="J77" s="22" t="s">
        <v>97</v>
      </c>
      <c r="K77" s="519" t="s">
        <v>896</v>
      </c>
      <c r="L77" s="521" t="s">
        <v>961</v>
      </c>
      <c r="M77" s="521" t="s">
        <v>962</v>
      </c>
      <c r="N77" s="521" t="s">
        <v>885</v>
      </c>
      <c r="O77" s="22" t="s">
        <v>102</v>
      </c>
      <c r="P77" s="426">
        <v>2021</v>
      </c>
      <c r="Q77" s="414">
        <f t="shared" ca="1" si="3"/>
        <v>643.35594451469171</v>
      </c>
      <c r="R77" s="335">
        <f t="shared" ca="1" si="4"/>
        <v>3261320.4769430123</v>
      </c>
      <c r="S77" s="335">
        <f t="shared" ca="1" si="5"/>
        <v>5069.2318999292884</v>
      </c>
      <c r="T77" s="429"/>
      <c r="U77" s="22"/>
      <c r="V77" s="24"/>
      <c r="W77" s="21"/>
      <c r="Y77" s="490"/>
    </row>
    <row r="78" spans="1:25" ht="30">
      <c r="A78" s="31">
        <v>75</v>
      </c>
      <c r="B78" s="22" t="s">
        <v>39</v>
      </c>
      <c r="C78" s="22" t="s">
        <v>40</v>
      </c>
      <c r="D78" s="22" t="s">
        <v>158</v>
      </c>
      <c r="E78" s="23" t="s">
        <v>91</v>
      </c>
      <c r="F78" s="22" t="s">
        <v>98</v>
      </c>
      <c r="G78" s="22" t="s">
        <v>93</v>
      </c>
      <c r="H78" s="22" t="s">
        <v>30</v>
      </c>
      <c r="I78" s="22" t="s">
        <v>159</v>
      </c>
      <c r="J78" s="22" t="s">
        <v>98</v>
      </c>
      <c r="K78" s="519" t="s">
        <v>896</v>
      </c>
      <c r="L78" s="521" t="s">
        <v>963</v>
      </c>
      <c r="M78" s="521" t="s">
        <v>964</v>
      </c>
      <c r="N78" s="521" t="s">
        <v>885</v>
      </c>
      <c r="O78" s="22" t="s">
        <v>102</v>
      </c>
      <c r="P78" s="426">
        <v>2021</v>
      </c>
      <c r="Q78" s="720">
        <f t="shared" ca="1" si="3"/>
        <v>8.623991069048341E-2</v>
      </c>
      <c r="R78" s="335">
        <f t="shared" ca="1" si="4"/>
        <v>3261320.4769430123</v>
      </c>
      <c r="S78" s="335">
        <f t="shared" ca="1" si="5"/>
        <v>37816835.045759149</v>
      </c>
      <c r="T78" s="429"/>
      <c r="U78" s="22"/>
      <c r="V78" s="24"/>
      <c r="W78" s="21"/>
      <c r="Y78" s="490"/>
    </row>
    <row r="79" spans="1:25" ht="30">
      <c r="A79" s="31">
        <v>76</v>
      </c>
      <c r="B79" s="22" t="s">
        <v>39</v>
      </c>
      <c r="C79" s="22" t="s">
        <v>40</v>
      </c>
      <c r="D79" s="22" t="s">
        <v>158</v>
      </c>
      <c r="E79" s="23" t="s">
        <v>91</v>
      </c>
      <c r="F79" s="22" t="s">
        <v>99</v>
      </c>
      <c r="G79" s="22" t="s">
        <v>93</v>
      </c>
      <c r="H79" s="22" t="s">
        <v>30</v>
      </c>
      <c r="I79" s="22" t="s">
        <v>159</v>
      </c>
      <c r="J79" s="22" t="s">
        <v>99</v>
      </c>
      <c r="K79" s="519" t="s">
        <v>896</v>
      </c>
      <c r="L79" s="521" t="s">
        <v>965</v>
      </c>
      <c r="M79" s="521" t="s">
        <v>966</v>
      </c>
      <c r="N79" s="521" t="s">
        <v>885</v>
      </c>
      <c r="O79" s="22" t="s">
        <v>102</v>
      </c>
      <c r="P79" s="426">
        <v>2021</v>
      </c>
      <c r="Q79" s="414">
        <f t="shared" ca="1" si="3"/>
        <v>0.99448473028603168</v>
      </c>
      <c r="R79" s="335">
        <f t="shared" ca="1" si="4"/>
        <v>600445.64660837932</v>
      </c>
      <c r="S79" s="335">
        <f t="shared" ca="1" si="5"/>
        <v>603775.63206594472</v>
      </c>
      <c r="T79" s="429" t="s">
        <v>48</v>
      </c>
      <c r="U79" s="22" t="s">
        <v>49</v>
      </c>
      <c r="V79" s="24"/>
      <c r="W79" s="21"/>
      <c r="Y79" s="490"/>
    </row>
    <row r="80" spans="1:25" ht="45">
      <c r="A80" s="31">
        <v>77</v>
      </c>
      <c r="B80" s="22" t="s">
        <v>39</v>
      </c>
      <c r="C80" s="22" t="s">
        <v>40</v>
      </c>
      <c r="D80" s="22" t="s">
        <v>160</v>
      </c>
      <c r="E80" s="23" t="s">
        <v>161</v>
      </c>
      <c r="F80" s="22" t="s">
        <v>162</v>
      </c>
      <c r="G80" s="22" t="s">
        <v>163</v>
      </c>
      <c r="H80" s="22" t="s">
        <v>164</v>
      </c>
      <c r="I80" s="22" t="s">
        <v>165</v>
      </c>
      <c r="J80" s="22" t="s">
        <v>166</v>
      </c>
      <c r="K80" s="519" t="s">
        <v>896</v>
      </c>
      <c r="L80" s="521" t="s">
        <v>967</v>
      </c>
      <c r="M80" s="521" t="s">
        <v>968</v>
      </c>
      <c r="N80" s="521" t="s">
        <v>815</v>
      </c>
      <c r="O80" s="22" t="s">
        <v>102</v>
      </c>
      <c r="P80" s="426">
        <v>2021</v>
      </c>
      <c r="Q80" s="414">
        <f t="shared" ca="1" si="3"/>
        <v>36126.706568950249</v>
      </c>
      <c r="R80" s="335" t="str">
        <f t="shared" ca="1" si="4"/>
        <v>N/A</v>
      </c>
      <c r="S80" s="335" t="str">
        <f t="shared" ca="1" si="5"/>
        <v>N/A</v>
      </c>
      <c r="T80" s="429" t="s">
        <v>168</v>
      </c>
      <c r="U80" s="22" t="s">
        <v>169</v>
      </c>
      <c r="V80" s="24"/>
      <c r="W80" s="21"/>
      <c r="Y80" s="490"/>
    </row>
    <row r="81" spans="1:25" ht="60">
      <c r="A81" s="31">
        <v>78</v>
      </c>
      <c r="B81" s="22" t="s">
        <v>39</v>
      </c>
      <c r="C81" s="22" t="s">
        <v>40</v>
      </c>
      <c r="D81" s="22" t="s">
        <v>170</v>
      </c>
      <c r="E81" s="23" t="s">
        <v>171</v>
      </c>
      <c r="F81" s="22" t="s">
        <v>52</v>
      </c>
      <c r="G81" s="22" t="s">
        <v>53</v>
      </c>
      <c r="H81" s="22" t="s">
        <v>30</v>
      </c>
      <c r="I81" s="22" t="s">
        <v>172</v>
      </c>
      <c r="J81" s="22" t="s">
        <v>173</v>
      </c>
      <c r="K81" s="519" t="s">
        <v>969</v>
      </c>
      <c r="L81" s="521" t="s">
        <v>970</v>
      </c>
      <c r="M81" s="521" t="s">
        <v>971</v>
      </c>
      <c r="N81" s="521" t="s">
        <v>815</v>
      </c>
      <c r="O81" s="22" t="s">
        <v>174</v>
      </c>
      <c r="P81" s="426">
        <v>2021</v>
      </c>
      <c r="Q81" s="414">
        <f t="shared" ca="1" si="3"/>
        <v>2272.6820359994967</v>
      </c>
      <c r="R81" s="335" t="str">
        <f t="shared" ca="1" si="4"/>
        <v>N/A</v>
      </c>
      <c r="S81" s="335" t="str">
        <f t="shared" ca="1" si="5"/>
        <v>N/A</v>
      </c>
      <c r="T81" s="429" t="s">
        <v>899</v>
      </c>
      <c r="U81" s="22"/>
      <c r="V81" s="24"/>
      <c r="W81" s="21"/>
      <c r="Y81" s="490"/>
    </row>
    <row r="82" spans="1:25" ht="60">
      <c r="A82" s="31">
        <v>79</v>
      </c>
      <c r="B82" s="22" t="s">
        <v>39</v>
      </c>
      <c r="C82" s="22" t="s">
        <v>40</v>
      </c>
      <c r="D82" s="22" t="s">
        <v>170</v>
      </c>
      <c r="E82" s="23" t="s">
        <v>171</v>
      </c>
      <c r="F82" s="22" t="s">
        <v>55</v>
      </c>
      <c r="G82" s="22" t="s">
        <v>53</v>
      </c>
      <c r="H82" s="22" t="s">
        <v>30</v>
      </c>
      <c r="I82" s="22" t="s">
        <v>172</v>
      </c>
      <c r="J82" s="22" t="s">
        <v>175</v>
      </c>
      <c r="K82" s="519" t="s">
        <v>969</v>
      </c>
      <c r="L82" s="521" t="s">
        <v>972</v>
      </c>
      <c r="M82" s="521" t="s">
        <v>973</v>
      </c>
      <c r="N82" s="521" t="s">
        <v>815</v>
      </c>
      <c r="O82" s="22" t="s">
        <v>174</v>
      </c>
      <c r="P82" s="426">
        <v>2021</v>
      </c>
      <c r="Q82" s="414">
        <f t="shared" ca="1" si="3"/>
        <v>2277.5363655269839</v>
      </c>
      <c r="R82" s="335" t="str">
        <f t="shared" ca="1" si="4"/>
        <v>N/A</v>
      </c>
      <c r="S82" s="335" t="str">
        <f t="shared" ca="1" si="5"/>
        <v>N/A</v>
      </c>
      <c r="T82" s="429" t="s">
        <v>899</v>
      </c>
      <c r="U82" s="22"/>
      <c r="V82" s="24"/>
      <c r="W82" s="21"/>
      <c r="Y82" s="490"/>
    </row>
    <row r="83" spans="1:25" ht="60">
      <c r="A83" s="31">
        <v>80</v>
      </c>
      <c r="B83" s="22" t="s">
        <v>39</v>
      </c>
      <c r="C83" s="22" t="s">
        <v>40</v>
      </c>
      <c r="D83" s="22" t="s">
        <v>170</v>
      </c>
      <c r="E83" s="23" t="s">
        <v>171</v>
      </c>
      <c r="F83" s="22" t="s">
        <v>56</v>
      </c>
      <c r="G83" s="22" t="s">
        <v>53</v>
      </c>
      <c r="H83" s="22" t="s">
        <v>30</v>
      </c>
      <c r="I83" s="22" t="s">
        <v>172</v>
      </c>
      <c r="J83" s="22" t="s">
        <v>176</v>
      </c>
      <c r="K83" s="519" t="s">
        <v>969</v>
      </c>
      <c r="L83" s="521" t="s">
        <v>974</v>
      </c>
      <c r="M83" s="521" t="s">
        <v>975</v>
      </c>
      <c r="N83" s="521" t="s">
        <v>815</v>
      </c>
      <c r="O83" s="22" t="s">
        <v>174</v>
      </c>
      <c r="P83" s="426">
        <v>2021</v>
      </c>
      <c r="Q83" s="414">
        <f t="shared" ca="1" si="3"/>
        <v>13909685.113864617</v>
      </c>
      <c r="R83" s="335" t="str">
        <f t="shared" ca="1" si="4"/>
        <v>N/A</v>
      </c>
      <c r="S83" s="335" t="str">
        <f t="shared" ca="1" si="5"/>
        <v>N/A</v>
      </c>
      <c r="T83" s="429" t="s">
        <v>899</v>
      </c>
      <c r="U83" s="22"/>
      <c r="V83" s="24"/>
      <c r="W83" s="21"/>
      <c r="Y83" s="490"/>
    </row>
    <row r="84" spans="1:25" ht="60">
      <c r="A84" s="31">
        <v>81</v>
      </c>
      <c r="B84" s="22" t="s">
        <v>39</v>
      </c>
      <c r="C84" s="22" t="s">
        <v>40</v>
      </c>
      <c r="D84" s="22" t="s">
        <v>170</v>
      </c>
      <c r="E84" s="23" t="s">
        <v>171</v>
      </c>
      <c r="F84" s="22" t="s">
        <v>57</v>
      </c>
      <c r="G84" s="22" t="s">
        <v>53</v>
      </c>
      <c r="H84" s="22" t="s">
        <v>30</v>
      </c>
      <c r="I84" s="22" t="s">
        <v>172</v>
      </c>
      <c r="J84" s="22" t="s">
        <v>177</v>
      </c>
      <c r="K84" s="519" t="s">
        <v>969</v>
      </c>
      <c r="L84" s="521" t="s">
        <v>976</v>
      </c>
      <c r="M84" s="521" t="s">
        <v>977</v>
      </c>
      <c r="N84" s="521" t="s">
        <v>815</v>
      </c>
      <c r="O84" s="22" t="s">
        <v>174</v>
      </c>
      <c r="P84" s="426">
        <v>2021</v>
      </c>
      <c r="Q84" s="414">
        <f t="shared" ca="1" si="3"/>
        <v>14235406.513566123</v>
      </c>
      <c r="R84" s="335" t="str">
        <f t="shared" ca="1" si="4"/>
        <v>N/A</v>
      </c>
      <c r="S84" s="335" t="str">
        <f t="shared" ca="1" si="5"/>
        <v>N/A</v>
      </c>
      <c r="T84" s="429" t="s">
        <v>899</v>
      </c>
      <c r="U84" s="22"/>
      <c r="V84" s="24"/>
      <c r="W84" s="21"/>
      <c r="Y84" s="490"/>
    </row>
    <row r="85" spans="1:25" ht="60">
      <c r="A85" s="31">
        <v>82</v>
      </c>
      <c r="B85" s="22" t="s">
        <v>39</v>
      </c>
      <c r="C85" s="22" t="s">
        <v>40</v>
      </c>
      <c r="D85" s="22" t="s">
        <v>170</v>
      </c>
      <c r="E85" s="23" t="s">
        <v>171</v>
      </c>
      <c r="F85" s="22" t="s">
        <v>58</v>
      </c>
      <c r="G85" s="22" t="s">
        <v>53</v>
      </c>
      <c r="H85" s="22" t="s">
        <v>30</v>
      </c>
      <c r="I85" s="22" t="s">
        <v>172</v>
      </c>
      <c r="J85" s="22" t="s">
        <v>178</v>
      </c>
      <c r="K85" s="519" t="s">
        <v>969</v>
      </c>
      <c r="L85" s="521" t="s">
        <v>978</v>
      </c>
      <c r="M85" s="521" t="s">
        <v>979</v>
      </c>
      <c r="N85" s="521" t="s">
        <v>815</v>
      </c>
      <c r="O85" s="22" t="s">
        <v>174</v>
      </c>
      <c r="P85" s="426">
        <v>2021</v>
      </c>
      <c r="Q85" s="414">
        <f t="shared" ca="1" si="3"/>
        <v>716248.89391560736</v>
      </c>
      <c r="R85" s="335" t="str">
        <f t="shared" ca="1" si="4"/>
        <v>N/A</v>
      </c>
      <c r="S85" s="335" t="str">
        <f t="shared" ca="1" si="5"/>
        <v>N/A</v>
      </c>
      <c r="T85" s="429" t="s">
        <v>899</v>
      </c>
      <c r="U85" s="22" t="str">
        <f>Definitions!C$20</f>
        <v>A multi-family unit. Designated by a unique billing account under rate GR and location code (LC_CD) = B, C, D (&gt;= 2 units)</v>
      </c>
      <c r="V85" s="24"/>
      <c r="W85" s="21"/>
      <c r="Y85" s="490"/>
    </row>
    <row r="86" spans="1:25" ht="60">
      <c r="A86" s="31">
        <v>83</v>
      </c>
      <c r="B86" s="22" t="s">
        <v>39</v>
      </c>
      <c r="C86" s="22" t="s">
        <v>40</v>
      </c>
      <c r="D86" s="22" t="s">
        <v>170</v>
      </c>
      <c r="E86" s="23" t="s">
        <v>171</v>
      </c>
      <c r="F86" s="22" t="s">
        <v>60</v>
      </c>
      <c r="G86" s="22" t="s">
        <v>53</v>
      </c>
      <c r="H86" s="22" t="s">
        <v>30</v>
      </c>
      <c r="I86" s="22" t="s">
        <v>172</v>
      </c>
      <c r="J86" s="22" t="s">
        <v>180</v>
      </c>
      <c r="K86" s="519" t="s">
        <v>969</v>
      </c>
      <c r="L86" s="521" t="s">
        <v>980</v>
      </c>
      <c r="M86" s="521" t="s">
        <v>981</v>
      </c>
      <c r="N86" s="521" t="s">
        <v>815</v>
      </c>
      <c r="O86" s="22" t="s">
        <v>174</v>
      </c>
      <c r="P86" s="426">
        <v>2021</v>
      </c>
      <c r="Q86" s="414">
        <f t="shared" ca="1" si="3"/>
        <v>551774.14396279259</v>
      </c>
      <c r="R86" s="335" t="str">
        <f t="shared" ca="1" si="4"/>
        <v>N/A</v>
      </c>
      <c r="S86" s="335" t="str">
        <f t="shared" ca="1" si="5"/>
        <v>N/A</v>
      </c>
      <c r="T86" s="429" t="s">
        <v>899</v>
      </c>
      <c r="U86" s="22" t="str">
        <f>Definitions!C$20</f>
        <v>A multi-family unit. Designated by a unique billing account under rate GR and location code (LC_CD) = B, C, D (&gt;= 2 units)</v>
      </c>
      <c r="V86" s="24"/>
      <c r="W86" s="21"/>
      <c r="Y86" s="490"/>
    </row>
    <row r="87" spans="1:25" ht="60">
      <c r="A87" s="31">
        <v>84</v>
      </c>
      <c r="B87" s="22" t="s">
        <v>39</v>
      </c>
      <c r="C87" s="22" t="s">
        <v>40</v>
      </c>
      <c r="D87" s="22" t="s">
        <v>170</v>
      </c>
      <c r="E87" s="23" t="s">
        <v>171</v>
      </c>
      <c r="F87" s="22" t="s">
        <v>61</v>
      </c>
      <c r="G87" s="22" t="s">
        <v>53</v>
      </c>
      <c r="H87" s="22" t="s">
        <v>30</v>
      </c>
      <c r="I87" s="22" t="s">
        <v>172</v>
      </c>
      <c r="J87" s="22" t="s">
        <v>181</v>
      </c>
      <c r="K87" s="519" t="s">
        <v>969</v>
      </c>
      <c r="L87" s="521" t="s">
        <v>982</v>
      </c>
      <c r="M87" s="521" t="s">
        <v>983</v>
      </c>
      <c r="N87" s="521" t="s">
        <v>815</v>
      </c>
      <c r="O87" s="22" t="s">
        <v>174</v>
      </c>
      <c r="P87" s="426">
        <v>2021</v>
      </c>
      <c r="Q87" s="414">
        <f t="shared" ca="1" si="3"/>
        <v>3860.1328062654202</v>
      </c>
      <c r="R87" s="335" t="str">
        <f t="shared" ca="1" si="4"/>
        <v>N/A</v>
      </c>
      <c r="S87" s="335" t="str">
        <f t="shared" ca="1" si="5"/>
        <v>N/A</v>
      </c>
      <c r="T87" s="429" t="s">
        <v>899</v>
      </c>
      <c r="U87" s="22"/>
      <c r="V87" s="24"/>
      <c r="W87" s="21"/>
      <c r="Y87" s="490"/>
    </row>
    <row r="88" spans="1:25" ht="60">
      <c r="A88" s="31">
        <v>85</v>
      </c>
      <c r="B88" s="22" t="s">
        <v>39</v>
      </c>
      <c r="C88" s="22" t="s">
        <v>40</v>
      </c>
      <c r="D88" s="22" t="s">
        <v>170</v>
      </c>
      <c r="E88" s="23" t="s">
        <v>171</v>
      </c>
      <c r="F88" s="22" t="s">
        <v>62</v>
      </c>
      <c r="G88" s="22" t="s">
        <v>53</v>
      </c>
      <c r="H88" s="22" t="s">
        <v>30</v>
      </c>
      <c r="I88" s="22" t="s">
        <v>172</v>
      </c>
      <c r="J88" s="22" t="s">
        <v>182</v>
      </c>
      <c r="K88" s="519" t="s">
        <v>969</v>
      </c>
      <c r="L88" s="521" t="s">
        <v>984</v>
      </c>
      <c r="M88" s="521" t="s">
        <v>985</v>
      </c>
      <c r="N88" s="521" t="s">
        <v>815</v>
      </c>
      <c r="O88" s="22" t="s">
        <v>174</v>
      </c>
      <c r="P88" s="426">
        <v>2021</v>
      </c>
      <c r="Q88" s="414">
        <f t="shared" ca="1" si="3"/>
        <v>3494.9754540435247</v>
      </c>
      <c r="R88" s="335" t="str">
        <f t="shared" ca="1" si="4"/>
        <v>N/A</v>
      </c>
      <c r="S88" s="335" t="str">
        <f t="shared" ca="1" si="5"/>
        <v>N/A</v>
      </c>
      <c r="T88" s="429" t="s">
        <v>899</v>
      </c>
      <c r="U88" s="22"/>
      <c r="V88" s="24"/>
      <c r="W88" s="21"/>
      <c r="Y88" s="490"/>
    </row>
    <row r="89" spans="1:25" ht="60">
      <c r="A89" s="31">
        <v>86</v>
      </c>
      <c r="B89" s="22" t="s">
        <v>39</v>
      </c>
      <c r="C89" s="22" t="s">
        <v>40</v>
      </c>
      <c r="D89" s="22" t="s">
        <v>170</v>
      </c>
      <c r="E89" s="23" t="s">
        <v>171</v>
      </c>
      <c r="F89" s="22" t="s">
        <v>63</v>
      </c>
      <c r="G89" s="22" t="s">
        <v>53</v>
      </c>
      <c r="H89" s="22" t="s">
        <v>30</v>
      </c>
      <c r="I89" s="22" t="s">
        <v>172</v>
      </c>
      <c r="J89" s="22" t="s">
        <v>183</v>
      </c>
      <c r="K89" s="519" t="s">
        <v>969</v>
      </c>
      <c r="L89" s="521" t="s">
        <v>986</v>
      </c>
      <c r="M89" s="521" t="s">
        <v>987</v>
      </c>
      <c r="N89" s="521" t="s">
        <v>815</v>
      </c>
      <c r="O89" s="22" t="s">
        <v>174</v>
      </c>
      <c r="P89" s="426">
        <v>2021</v>
      </c>
      <c r="Q89" s="414">
        <f t="shared" ca="1" si="3"/>
        <v>18795364.293484993</v>
      </c>
      <c r="R89" s="335" t="str">
        <f t="shared" ca="1" si="4"/>
        <v>N/A</v>
      </c>
      <c r="S89" s="335" t="str">
        <f t="shared" ca="1" si="5"/>
        <v>N/A</v>
      </c>
      <c r="T89" s="429" t="s">
        <v>899</v>
      </c>
      <c r="U89" s="22"/>
      <c r="V89" s="24"/>
      <c r="W89" s="21"/>
      <c r="Y89" s="490"/>
    </row>
    <row r="90" spans="1:25" ht="60">
      <c r="A90" s="31">
        <v>87</v>
      </c>
      <c r="B90" s="22" t="s">
        <v>39</v>
      </c>
      <c r="C90" s="22" t="s">
        <v>40</v>
      </c>
      <c r="D90" s="22" t="s">
        <v>170</v>
      </c>
      <c r="E90" s="23" t="s">
        <v>171</v>
      </c>
      <c r="F90" s="22" t="s">
        <v>64</v>
      </c>
      <c r="G90" s="22" t="s">
        <v>53</v>
      </c>
      <c r="H90" s="22" t="s">
        <v>30</v>
      </c>
      <c r="I90" s="22" t="s">
        <v>172</v>
      </c>
      <c r="J90" s="22" t="s">
        <v>184</v>
      </c>
      <c r="K90" s="519" t="s">
        <v>969</v>
      </c>
      <c r="L90" s="521" t="s">
        <v>988</v>
      </c>
      <c r="M90" s="521" t="s">
        <v>989</v>
      </c>
      <c r="N90" s="521" t="s">
        <v>815</v>
      </c>
      <c r="O90" s="22" t="s">
        <v>174</v>
      </c>
      <c r="P90" s="426">
        <v>2021</v>
      </c>
      <c r="Q90" s="414">
        <f t="shared" ca="1" si="3"/>
        <v>17778919.704575717</v>
      </c>
      <c r="R90" s="335" t="str">
        <f t="shared" ca="1" si="4"/>
        <v>N/A</v>
      </c>
      <c r="S90" s="335" t="str">
        <f t="shared" ca="1" si="5"/>
        <v>N/A</v>
      </c>
      <c r="T90" s="429" t="s">
        <v>899</v>
      </c>
      <c r="U90" s="22"/>
      <c r="V90" s="24"/>
      <c r="W90" s="21"/>
      <c r="Y90" s="490"/>
    </row>
    <row r="91" spans="1:25" ht="60">
      <c r="A91" s="31">
        <v>88</v>
      </c>
      <c r="B91" s="22" t="s">
        <v>39</v>
      </c>
      <c r="C91" s="22" t="s">
        <v>40</v>
      </c>
      <c r="D91" s="22" t="s">
        <v>170</v>
      </c>
      <c r="E91" s="23" t="s">
        <v>171</v>
      </c>
      <c r="F91" s="22" t="s">
        <v>65</v>
      </c>
      <c r="G91" s="22" t="s">
        <v>53</v>
      </c>
      <c r="H91" s="22" t="s">
        <v>30</v>
      </c>
      <c r="I91" s="22" t="s">
        <v>172</v>
      </c>
      <c r="J91" s="22" t="s">
        <v>185</v>
      </c>
      <c r="K91" s="519" t="s">
        <v>969</v>
      </c>
      <c r="L91" s="521" t="s">
        <v>990</v>
      </c>
      <c r="M91" s="521" t="s">
        <v>991</v>
      </c>
      <c r="N91" s="521" t="s">
        <v>815</v>
      </c>
      <c r="O91" s="22" t="s">
        <v>174</v>
      </c>
      <c r="P91" s="426">
        <v>2021</v>
      </c>
      <c r="Q91" s="414">
        <f t="shared" ca="1" si="3"/>
        <v>3000413.3257367313</v>
      </c>
      <c r="R91" s="335" t="str">
        <f t="shared" ca="1" si="4"/>
        <v>N/A</v>
      </c>
      <c r="S91" s="335" t="str">
        <f t="shared" ca="1" si="5"/>
        <v>N/A</v>
      </c>
      <c r="T91" s="429" t="s">
        <v>899</v>
      </c>
      <c r="U91" s="22" t="str">
        <f>Definitions!C$20</f>
        <v>A multi-family unit. Designated by a unique billing account under rate GR and location code (LC_CD) = B, C, D (&gt;= 2 units)</v>
      </c>
      <c r="V91" s="24"/>
      <c r="W91" s="21"/>
      <c r="Y91" s="490"/>
    </row>
    <row r="92" spans="1:25" ht="60">
      <c r="A92" s="31">
        <v>89</v>
      </c>
      <c r="B92" s="22" t="s">
        <v>39</v>
      </c>
      <c r="C92" s="22" t="s">
        <v>40</v>
      </c>
      <c r="D92" s="22" t="s">
        <v>170</v>
      </c>
      <c r="E92" s="23" t="s">
        <v>171</v>
      </c>
      <c r="F92" s="22" t="s">
        <v>66</v>
      </c>
      <c r="G92" s="22" t="s">
        <v>53</v>
      </c>
      <c r="H92" s="22" t="s">
        <v>30</v>
      </c>
      <c r="I92" s="22" t="s">
        <v>172</v>
      </c>
      <c r="J92" s="22" t="s">
        <v>186</v>
      </c>
      <c r="K92" s="519" t="s">
        <v>969</v>
      </c>
      <c r="L92" s="521" t="s">
        <v>992</v>
      </c>
      <c r="M92" s="521" t="s">
        <v>993</v>
      </c>
      <c r="N92" s="521" t="s">
        <v>815</v>
      </c>
      <c r="O92" s="22" t="s">
        <v>174</v>
      </c>
      <c r="P92" s="426">
        <v>2021</v>
      </c>
      <c r="Q92" s="414">
        <f t="shared" ca="1" si="3"/>
        <v>2029611.2909535102</v>
      </c>
      <c r="R92" s="335" t="str">
        <f t="shared" ca="1" si="4"/>
        <v>N/A</v>
      </c>
      <c r="S92" s="335" t="str">
        <f t="shared" ca="1" si="5"/>
        <v>N/A</v>
      </c>
      <c r="T92" s="429" t="s">
        <v>899</v>
      </c>
      <c r="U92" s="22" t="str">
        <f>Definitions!C$20</f>
        <v>A multi-family unit. Designated by a unique billing account under rate GR and location code (LC_CD) = B, C, D (&gt;= 2 units)</v>
      </c>
      <c r="V92" s="24"/>
      <c r="W92" s="21"/>
      <c r="Y92" s="490"/>
    </row>
    <row r="93" spans="1:25" ht="60">
      <c r="A93" s="31">
        <v>90</v>
      </c>
      <c r="B93" s="22" t="s">
        <v>39</v>
      </c>
      <c r="C93" s="22" t="s">
        <v>40</v>
      </c>
      <c r="D93" s="22" t="s">
        <v>170</v>
      </c>
      <c r="E93" s="23" t="s">
        <v>187</v>
      </c>
      <c r="F93" s="22" t="s">
        <v>52</v>
      </c>
      <c r="G93" s="22" t="s">
        <v>53</v>
      </c>
      <c r="H93" s="22" t="s">
        <v>30</v>
      </c>
      <c r="I93" s="22" t="s">
        <v>172</v>
      </c>
      <c r="J93" s="22" t="s">
        <v>188</v>
      </c>
      <c r="K93" s="519" t="s">
        <v>969</v>
      </c>
      <c r="L93" s="521" t="s">
        <v>994</v>
      </c>
      <c r="M93" s="521" t="s">
        <v>995</v>
      </c>
      <c r="N93" s="521" t="s">
        <v>815</v>
      </c>
      <c r="O93" s="22" t="s">
        <v>174</v>
      </c>
      <c r="P93" s="426">
        <v>2021</v>
      </c>
      <c r="Q93" s="414">
        <f t="shared" ca="1" si="3"/>
        <v>380.4376865724069</v>
      </c>
      <c r="R93" s="335" t="str">
        <f t="shared" ca="1" si="4"/>
        <v>N/A</v>
      </c>
      <c r="S93" s="335" t="str">
        <f t="shared" ca="1" si="5"/>
        <v>N/A</v>
      </c>
      <c r="T93" s="429" t="s">
        <v>899</v>
      </c>
      <c r="U93" s="22"/>
      <c r="V93" s="24"/>
      <c r="W93" s="21"/>
      <c r="Y93" s="490"/>
    </row>
    <row r="94" spans="1:25" ht="60">
      <c r="A94" s="31">
        <v>91</v>
      </c>
      <c r="B94" s="22" t="s">
        <v>39</v>
      </c>
      <c r="C94" s="22" t="s">
        <v>40</v>
      </c>
      <c r="D94" s="22" t="s">
        <v>170</v>
      </c>
      <c r="E94" s="23" t="s">
        <v>187</v>
      </c>
      <c r="F94" s="22" t="s">
        <v>55</v>
      </c>
      <c r="G94" s="22" t="s">
        <v>53</v>
      </c>
      <c r="H94" s="22" t="s">
        <v>30</v>
      </c>
      <c r="I94" s="22" t="s">
        <v>172</v>
      </c>
      <c r="J94" s="22" t="s">
        <v>189</v>
      </c>
      <c r="K94" s="519" t="s">
        <v>969</v>
      </c>
      <c r="L94" s="521" t="s">
        <v>996</v>
      </c>
      <c r="M94" s="521" t="s">
        <v>997</v>
      </c>
      <c r="N94" s="521" t="s">
        <v>815</v>
      </c>
      <c r="O94" s="22" t="s">
        <v>174</v>
      </c>
      <c r="P94" s="426">
        <v>2021</v>
      </c>
      <c r="Q94" s="414">
        <f t="shared" ca="1" si="3"/>
        <v>276.13149284606186</v>
      </c>
      <c r="R94" s="335" t="str">
        <f t="shared" ca="1" si="4"/>
        <v>N/A</v>
      </c>
      <c r="S94" s="335" t="str">
        <f t="shared" ca="1" si="5"/>
        <v>N/A</v>
      </c>
      <c r="T94" s="429" t="s">
        <v>899</v>
      </c>
      <c r="U94" s="22"/>
      <c r="V94" s="24"/>
      <c r="W94" s="21"/>
      <c r="Y94" s="490"/>
    </row>
    <row r="95" spans="1:25" ht="60">
      <c r="A95" s="31">
        <v>92</v>
      </c>
      <c r="B95" s="22" t="s">
        <v>39</v>
      </c>
      <c r="C95" s="22" t="s">
        <v>40</v>
      </c>
      <c r="D95" s="22" t="s">
        <v>170</v>
      </c>
      <c r="E95" s="23" t="s">
        <v>187</v>
      </c>
      <c r="F95" s="22" t="s">
        <v>56</v>
      </c>
      <c r="G95" s="22" t="s">
        <v>53</v>
      </c>
      <c r="H95" s="22" t="s">
        <v>30</v>
      </c>
      <c r="I95" s="22" t="s">
        <v>172</v>
      </c>
      <c r="J95" s="22" t="s">
        <v>190</v>
      </c>
      <c r="K95" s="519" t="s">
        <v>969</v>
      </c>
      <c r="L95" s="521" t="s">
        <v>998</v>
      </c>
      <c r="M95" s="521" t="s">
        <v>999</v>
      </c>
      <c r="N95" s="521" t="s">
        <v>815</v>
      </c>
      <c r="O95" s="22" t="s">
        <v>174</v>
      </c>
      <c r="P95" s="426">
        <v>2021</v>
      </c>
      <c r="Q95" s="414">
        <f t="shared" ca="1" si="3"/>
        <v>734784.67935567826</v>
      </c>
      <c r="R95" s="335" t="str">
        <f t="shared" ca="1" si="4"/>
        <v>N/A</v>
      </c>
      <c r="S95" s="335" t="str">
        <f t="shared" ca="1" si="5"/>
        <v>N/A</v>
      </c>
      <c r="T95" s="429" t="s">
        <v>899</v>
      </c>
      <c r="U95" s="22"/>
      <c r="V95" s="24"/>
      <c r="W95" s="21"/>
      <c r="Y95" s="490"/>
    </row>
    <row r="96" spans="1:25" ht="60">
      <c r="A96" s="31">
        <v>93</v>
      </c>
      <c r="B96" s="22" t="s">
        <v>39</v>
      </c>
      <c r="C96" s="22" t="s">
        <v>40</v>
      </c>
      <c r="D96" s="22" t="s">
        <v>170</v>
      </c>
      <c r="E96" s="23" t="s">
        <v>187</v>
      </c>
      <c r="F96" s="22" t="s">
        <v>57</v>
      </c>
      <c r="G96" s="22" t="s">
        <v>53</v>
      </c>
      <c r="H96" s="22" t="s">
        <v>30</v>
      </c>
      <c r="I96" s="22" t="s">
        <v>172</v>
      </c>
      <c r="J96" s="22" t="s">
        <v>191</v>
      </c>
      <c r="K96" s="519" t="s">
        <v>969</v>
      </c>
      <c r="L96" s="521" t="s">
        <v>1000</v>
      </c>
      <c r="M96" s="521" t="s">
        <v>1001</v>
      </c>
      <c r="N96" s="521" t="s">
        <v>815</v>
      </c>
      <c r="O96" s="22" t="s">
        <v>174</v>
      </c>
      <c r="P96" s="426">
        <v>2021</v>
      </c>
      <c r="Q96" s="414">
        <f t="shared" ca="1" si="3"/>
        <v>529642.82233990915</v>
      </c>
      <c r="R96" s="335" t="str">
        <f t="shared" ca="1" si="4"/>
        <v>N/A</v>
      </c>
      <c r="S96" s="335" t="str">
        <f t="shared" ca="1" si="5"/>
        <v>N/A</v>
      </c>
      <c r="T96" s="429" t="s">
        <v>899</v>
      </c>
      <c r="U96" s="22"/>
      <c r="V96" s="24"/>
      <c r="W96" s="21"/>
      <c r="Y96" s="490"/>
    </row>
    <row r="97" spans="1:25" ht="60">
      <c r="A97" s="31">
        <v>94</v>
      </c>
      <c r="B97" s="22" t="s">
        <v>39</v>
      </c>
      <c r="C97" s="22" t="s">
        <v>40</v>
      </c>
      <c r="D97" s="22" t="s">
        <v>170</v>
      </c>
      <c r="E97" s="23" t="s">
        <v>187</v>
      </c>
      <c r="F97" s="22" t="s">
        <v>58</v>
      </c>
      <c r="G97" s="22" t="s">
        <v>53</v>
      </c>
      <c r="H97" s="22" t="s">
        <v>30</v>
      </c>
      <c r="I97" s="22" t="s">
        <v>172</v>
      </c>
      <c r="J97" s="22" t="s">
        <v>192</v>
      </c>
      <c r="K97" s="519" t="s">
        <v>969</v>
      </c>
      <c r="L97" s="521" t="s">
        <v>1002</v>
      </c>
      <c r="M97" s="521" t="s">
        <v>1003</v>
      </c>
      <c r="N97" s="521" t="s">
        <v>815</v>
      </c>
      <c r="O97" s="22" t="s">
        <v>174</v>
      </c>
      <c r="P97" s="426">
        <v>2021</v>
      </c>
      <c r="Q97" s="414">
        <f t="shared" ca="1" si="3"/>
        <v>99922.819398759253</v>
      </c>
      <c r="R97" s="335" t="str">
        <f t="shared" ca="1" si="4"/>
        <v>N/A</v>
      </c>
      <c r="S97" s="335" t="str">
        <f t="shared" ca="1" si="5"/>
        <v>N/A</v>
      </c>
      <c r="T97" s="429" t="s">
        <v>899</v>
      </c>
      <c r="U97" s="22" t="str">
        <f>Definitions!C$22</f>
        <v>AL 3826. Natural gas procurement for MF accomodations supply Baseline uses through one meter. Such as service will be billed under rates designated for GM-E, GM-BE or GM-BEC, as appropriate.</v>
      </c>
      <c r="V97" s="24"/>
      <c r="W97" s="21"/>
      <c r="Y97" s="490"/>
    </row>
    <row r="98" spans="1:25" ht="60">
      <c r="A98" s="31">
        <v>95</v>
      </c>
      <c r="B98" s="22" t="s">
        <v>39</v>
      </c>
      <c r="C98" s="22" t="s">
        <v>40</v>
      </c>
      <c r="D98" s="22" t="s">
        <v>170</v>
      </c>
      <c r="E98" s="23" t="s">
        <v>187</v>
      </c>
      <c r="F98" s="22" t="s">
        <v>60</v>
      </c>
      <c r="G98" s="22" t="s">
        <v>53</v>
      </c>
      <c r="H98" s="22" t="s">
        <v>30</v>
      </c>
      <c r="I98" s="22" t="s">
        <v>172</v>
      </c>
      <c r="J98" s="22" t="s">
        <v>193</v>
      </c>
      <c r="K98" s="519" t="s">
        <v>969</v>
      </c>
      <c r="L98" s="521" t="s">
        <v>1004</v>
      </c>
      <c r="M98" s="521" t="s">
        <v>1005</v>
      </c>
      <c r="N98" s="521" t="s">
        <v>815</v>
      </c>
      <c r="O98" s="22" t="s">
        <v>174</v>
      </c>
      <c r="P98" s="426">
        <v>2021</v>
      </c>
      <c r="Q98" s="414">
        <f t="shared" ca="1" si="3"/>
        <v>66405.244734060951</v>
      </c>
      <c r="R98" s="335" t="str">
        <f t="shared" ca="1" si="4"/>
        <v>N/A</v>
      </c>
      <c r="S98" s="335" t="str">
        <f t="shared" ca="1" si="5"/>
        <v>N/A</v>
      </c>
      <c r="T98" s="429" t="s">
        <v>899</v>
      </c>
      <c r="U98" s="22" t="str">
        <f>Definitions!C$22</f>
        <v>AL 3826. Natural gas procurement for MF accomodations supply Baseline uses through one meter. Such as service will be billed under rates designated for GM-E, GM-BE or GM-BEC, as appropriate.</v>
      </c>
      <c r="V98" s="24"/>
      <c r="W98" s="21"/>
      <c r="Y98" s="490"/>
    </row>
    <row r="99" spans="1:25" ht="60">
      <c r="A99" s="31">
        <v>96</v>
      </c>
      <c r="B99" s="22" t="s">
        <v>39</v>
      </c>
      <c r="C99" s="22" t="s">
        <v>40</v>
      </c>
      <c r="D99" s="22" t="s">
        <v>170</v>
      </c>
      <c r="E99" s="23" t="s">
        <v>187</v>
      </c>
      <c r="F99" s="22" t="s">
        <v>61</v>
      </c>
      <c r="G99" s="22" t="s">
        <v>53</v>
      </c>
      <c r="H99" s="22" t="s">
        <v>30</v>
      </c>
      <c r="I99" s="22" t="s">
        <v>172</v>
      </c>
      <c r="J99" s="22" t="s">
        <v>194</v>
      </c>
      <c r="K99" s="519" t="s">
        <v>969</v>
      </c>
      <c r="L99" s="521" t="s">
        <v>1006</v>
      </c>
      <c r="M99" s="521" t="s">
        <v>1007</v>
      </c>
      <c r="N99" s="521" t="s">
        <v>815</v>
      </c>
      <c r="O99" s="22" t="s">
        <v>174</v>
      </c>
      <c r="P99" s="426">
        <v>2021</v>
      </c>
      <c r="Q99" s="414">
        <f t="shared" ca="1" si="3"/>
        <v>2459.6443148865246</v>
      </c>
      <c r="R99" s="335" t="str">
        <f t="shared" ca="1" si="4"/>
        <v>N/A</v>
      </c>
      <c r="S99" s="335" t="str">
        <f t="shared" ca="1" si="5"/>
        <v>N/A</v>
      </c>
      <c r="T99" s="429" t="s">
        <v>899</v>
      </c>
      <c r="U99" s="22"/>
      <c r="V99" s="24"/>
      <c r="W99" s="21"/>
      <c r="Y99" s="490"/>
    </row>
    <row r="100" spans="1:25" ht="60">
      <c r="A100" s="31">
        <v>97</v>
      </c>
      <c r="B100" s="22" t="s">
        <v>39</v>
      </c>
      <c r="C100" s="22" t="s">
        <v>40</v>
      </c>
      <c r="D100" s="22" t="s">
        <v>170</v>
      </c>
      <c r="E100" s="23" t="s">
        <v>187</v>
      </c>
      <c r="F100" s="22" t="s">
        <v>62</v>
      </c>
      <c r="G100" s="22" t="s">
        <v>53</v>
      </c>
      <c r="H100" s="22" t="s">
        <v>30</v>
      </c>
      <c r="I100" s="22" t="s">
        <v>172</v>
      </c>
      <c r="J100" s="22" t="s">
        <v>195</v>
      </c>
      <c r="K100" s="519" t="s">
        <v>969</v>
      </c>
      <c r="L100" s="521" t="s">
        <v>1008</v>
      </c>
      <c r="M100" s="521" t="s">
        <v>1009</v>
      </c>
      <c r="N100" s="521" t="s">
        <v>815</v>
      </c>
      <c r="O100" s="22" t="s">
        <v>174</v>
      </c>
      <c r="P100" s="426">
        <v>2021</v>
      </c>
      <c r="Q100" s="414">
        <f t="shared" ca="1" si="3"/>
        <v>1849.8460068207728</v>
      </c>
      <c r="R100" s="335" t="str">
        <f t="shared" ca="1" si="4"/>
        <v>N/A</v>
      </c>
      <c r="S100" s="335" t="str">
        <f t="shared" ca="1" si="5"/>
        <v>N/A</v>
      </c>
      <c r="T100" s="429" t="s">
        <v>899</v>
      </c>
      <c r="U100" s="22"/>
      <c r="V100" s="24"/>
      <c r="W100" s="21"/>
      <c r="Y100" s="490"/>
    </row>
    <row r="101" spans="1:25" ht="60">
      <c r="A101" s="31">
        <v>98</v>
      </c>
      <c r="B101" s="22" t="s">
        <v>39</v>
      </c>
      <c r="C101" s="22" t="s">
        <v>40</v>
      </c>
      <c r="D101" s="22" t="s">
        <v>170</v>
      </c>
      <c r="E101" s="23" t="s">
        <v>187</v>
      </c>
      <c r="F101" s="22" t="s">
        <v>63</v>
      </c>
      <c r="G101" s="22" t="s">
        <v>53</v>
      </c>
      <c r="H101" s="22" t="s">
        <v>30</v>
      </c>
      <c r="I101" s="22" t="s">
        <v>172</v>
      </c>
      <c r="J101" s="22" t="s">
        <v>196</v>
      </c>
      <c r="K101" s="519" t="s">
        <v>969</v>
      </c>
      <c r="L101" s="521" t="s">
        <v>1010</v>
      </c>
      <c r="M101" s="521" t="s">
        <v>1011</v>
      </c>
      <c r="N101" s="521" t="s">
        <v>815</v>
      </c>
      <c r="O101" s="22" t="s">
        <v>174</v>
      </c>
      <c r="P101" s="426">
        <v>2021</v>
      </c>
      <c r="Q101" s="414">
        <f t="shared" ca="1" si="3"/>
        <v>5040107.4109395761</v>
      </c>
      <c r="R101" s="335" t="str">
        <f t="shared" ca="1" si="4"/>
        <v>N/A</v>
      </c>
      <c r="S101" s="335" t="str">
        <f t="shared" ca="1" si="5"/>
        <v>N/A</v>
      </c>
      <c r="T101" s="429" t="s">
        <v>899</v>
      </c>
      <c r="U101" s="22"/>
      <c r="V101" s="24"/>
      <c r="W101" s="21"/>
      <c r="Y101" s="490"/>
    </row>
    <row r="102" spans="1:25" ht="60">
      <c r="A102" s="31">
        <v>99</v>
      </c>
      <c r="B102" s="22" t="s">
        <v>39</v>
      </c>
      <c r="C102" s="22" t="s">
        <v>40</v>
      </c>
      <c r="D102" s="22" t="s">
        <v>170</v>
      </c>
      <c r="E102" s="23" t="s">
        <v>187</v>
      </c>
      <c r="F102" s="22" t="s">
        <v>64</v>
      </c>
      <c r="G102" s="22" t="s">
        <v>53</v>
      </c>
      <c r="H102" s="22" t="s">
        <v>30</v>
      </c>
      <c r="I102" s="22" t="s">
        <v>172</v>
      </c>
      <c r="J102" s="22" t="s">
        <v>197</v>
      </c>
      <c r="K102" s="519" t="s">
        <v>969</v>
      </c>
      <c r="L102" s="521" t="s">
        <v>1012</v>
      </c>
      <c r="M102" s="521" t="s">
        <v>1013</v>
      </c>
      <c r="N102" s="521" t="s">
        <v>815</v>
      </c>
      <c r="O102" s="22" t="s">
        <v>174</v>
      </c>
      <c r="P102" s="426">
        <v>2021</v>
      </c>
      <c r="Q102" s="414">
        <f t="shared" ca="1" si="3"/>
        <v>3790112.9030206748</v>
      </c>
      <c r="R102" s="335" t="str">
        <f t="shared" ca="1" si="4"/>
        <v>N/A</v>
      </c>
      <c r="S102" s="335" t="str">
        <f t="shared" ca="1" si="5"/>
        <v>N/A</v>
      </c>
      <c r="T102" s="429" t="s">
        <v>899</v>
      </c>
      <c r="U102" s="22"/>
      <c r="V102" s="24"/>
      <c r="W102" s="21"/>
      <c r="Y102" s="490"/>
    </row>
    <row r="103" spans="1:25" ht="60">
      <c r="A103" s="31">
        <v>100</v>
      </c>
      <c r="B103" s="22" t="s">
        <v>39</v>
      </c>
      <c r="C103" s="22" t="s">
        <v>40</v>
      </c>
      <c r="D103" s="22" t="s">
        <v>170</v>
      </c>
      <c r="E103" s="23" t="s">
        <v>187</v>
      </c>
      <c r="F103" s="22" t="s">
        <v>65</v>
      </c>
      <c r="G103" s="22" t="s">
        <v>53</v>
      </c>
      <c r="H103" s="22" t="s">
        <v>30</v>
      </c>
      <c r="I103" s="22" t="s">
        <v>172</v>
      </c>
      <c r="J103" s="22" t="s">
        <v>198</v>
      </c>
      <c r="K103" s="519" t="s">
        <v>969</v>
      </c>
      <c r="L103" s="521" t="s">
        <v>1014</v>
      </c>
      <c r="M103" s="521" t="s">
        <v>1015</v>
      </c>
      <c r="N103" s="521" t="s">
        <v>815</v>
      </c>
      <c r="O103" s="22" t="s">
        <v>174</v>
      </c>
      <c r="P103" s="426">
        <v>2021</v>
      </c>
      <c r="Q103" s="414">
        <f t="shared" ca="1" si="3"/>
        <v>519048.23540548346</v>
      </c>
      <c r="R103" s="335" t="str">
        <f t="shared" ca="1" si="4"/>
        <v>N/A</v>
      </c>
      <c r="S103" s="335" t="str">
        <f t="shared" ca="1" si="5"/>
        <v>N/A</v>
      </c>
      <c r="T103" s="429" t="s">
        <v>899</v>
      </c>
      <c r="U103" s="22" t="str">
        <f>Definitions!C$22</f>
        <v>AL 3826. Natural gas procurement for MF accomodations supply Baseline uses through one meter. Such as service will be billed under rates designated for GM-E, GM-BE or GM-BEC, as appropriate.</v>
      </c>
      <c r="V103" s="24"/>
      <c r="W103" s="21"/>
      <c r="Y103" s="490"/>
    </row>
    <row r="104" spans="1:25" ht="60">
      <c r="A104" s="31">
        <v>101</v>
      </c>
      <c r="B104" s="22" t="s">
        <v>39</v>
      </c>
      <c r="C104" s="22" t="s">
        <v>40</v>
      </c>
      <c r="D104" s="22" t="s">
        <v>170</v>
      </c>
      <c r="E104" s="23" t="s">
        <v>187</v>
      </c>
      <c r="F104" s="22" t="s">
        <v>66</v>
      </c>
      <c r="G104" s="22" t="s">
        <v>53</v>
      </c>
      <c r="H104" s="22" t="s">
        <v>30</v>
      </c>
      <c r="I104" s="22" t="s">
        <v>172</v>
      </c>
      <c r="J104" s="22" t="s">
        <v>199</v>
      </c>
      <c r="K104" s="519" t="s">
        <v>969</v>
      </c>
      <c r="L104" s="521" t="s">
        <v>1016</v>
      </c>
      <c r="M104" s="521" t="s">
        <v>1017</v>
      </c>
      <c r="N104" s="521" t="s">
        <v>815</v>
      </c>
      <c r="O104" s="22" t="s">
        <v>174</v>
      </c>
      <c r="P104" s="426">
        <v>2021</v>
      </c>
      <c r="Q104" s="414">
        <f t="shared" ca="1" si="3"/>
        <v>345284.15011361399</v>
      </c>
      <c r="R104" s="335" t="str">
        <f t="shared" ca="1" si="4"/>
        <v>N/A</v>
      </c>
      <c r="S104" s="335" t="str">
        <f t="shared" ca="1" si="5"/>
        <v>N/A</v>
      </c>
      <c r="T104" s="429" t="s">
        <v>899</v>
      </c>
      <c r="U104" s="22" t="str">
        <f>Definitions!C$22</f>
        <v>AL 3826. Natural gas procurement for MF accomodations supply Baseline uses through one meter. Such as service will be billed under rates designated for GM-E, GM-BE or GM-BEC, as appropriate.</v>
      </c>
      <c r="V104" s="24"/>
      <c r="W104" s="21"/>
      <c r="Y104" s="490"/>
    </row>
    <row r="105" spans="1:25" ht="60">
      <c r="A105" s="31">
        <v>102</v>
      </c>
      <c r="B105" s="22" t="s">
        <v>39</v>
      </c>
      <c r="C105" s="22" t="s">
        <v>40</v>
      </c>
      <c r="D105" s="22" t="s">
        <v>170</v>
      </c>
      <c r="E105" s="23" t="s">
        <v>200</v>
      </c>
      <c r="F105" s="22" t="s">
        <v>52</v>
      </c>
      <c r="G105" s="22" t="s">
        <v>53</v>
      </c>
      <c r="H105" s="22" t="s">
        <v>30</v>
      </c>
      <c r="I105" s="22" t="s">
        <v>172</v>
      </c>
      <c r="J105" s="22" t="s">
        <v>201</v>
      </c>
      <c r="K105" s="519" t="s">
        <v>969</v>
      </c>
      <c r="L105" s="521" t="s">
        <v>1018</v>
      </c>
      <c r="M105" s="521" t="s">
        <v>1019</v>
      </c>
      <c r="N105" s="521" t="s">
        <v>815</v>
      </c>
      <c r="O105" s="22" t="s">
        <v>174</v>
      </c>
      <c r="P105" s="426">
        <v>2021</v>
      </c>
      <c r="Q105" s="414">
        <f t="shared" ca="1" si="3"/>
        <v>3.8511714363621001</v>
      </c>
      <c r="R105" s="335" t="str">
        <f t="shared" ca="1" si="4"/>
        <v>N/A</v>
      </c>
      <c r="S105" s="335" t="str">
        <f t="shared" ca="1" si="5"/>
        <v>N/A</v>
      </c>
      <c r="T105" s="429" t="s">
        <v>899</v>
      </c>
      <c r="U105" s="22"/>
      <c r="V105" s="24"/>
      <c r="W105" s="21"/>
      <c r="Y105" s="490"/>
    </row>
    <row r="106" spans="1:25" ht="60">
      <c r="A106" s="31">
        <v>103</v>
      </c>
      <c r="B106" s="22" t="s">
        <v>39</v>
      </c>
      <c r="C106" s="22" t="s">
        <v>40</v>
      </c>
      <c r="D106" s="22" t="s">
        <v>170</v>
      </c>
      <c r="E106" s="23" t="s">
        <v>200</v>
      </c>
      <c r="F106" s="22" t="s">
        <v>55</v>
      </c>
      <c r="G106" s="22" t="s">
        <v>53</v>
      </c>
      <c r="H106" s="22" t="s">
        <v>30</v>
      </c>
      <c r="I106" s="22" t="s">
        <v>172</v>
      </c>
      <c r="J106" s="22" t="s">
        <v>202</v>
      </c>
      <c r="K106" s="519" t="s">
        <v>969</v>
      </c>
      <c r="L106" s="521" t="s">
        <v>1020</v>
      </c>
      <c r="M106" s="521" t="s">
        <v>1021</v>
      </c>
      <c r="N106" s="521" t="s">
        <v>815</v>
      </c>
      <c r="O106" s="22" t="s">
        <v>174</v>
      </c>
      <c r="P106" s="426">
        <v>2021</v>
      </c>
      <c r="Q106" s="414">
        <f t="shared" ca="1" si="3"/>
        <v>2.3336229086375644</v>
      </c>
      <c r="R106" s="335" t="str">
        <f t="shared" ca="1" si="4"/>
        <v>N/A</v>
      </c>
      <c r="S106" s="335" t="str">
        <f t="shared" ca="1" si="5"/>
        <v>N/A</v>
      </c>
      <c r="T106" s="429" t="s">
        <v>899</v>
      </c>
      <c r="U106" s="22"/>
      <c r="V106" s="24"/>
      <c r="W106" s="21"/>
      <c r="Y106" s="490"/>
    </row>
    <row r="107" spans="1:25" ht="60">
      <c r="A107" s="31">
        <v>104</v>
      </c>
      <c r="B107" s="22" t="s">
        <v>39</v>
      </c>
      <c r="C107" s="22" t="s">
        <v>40</v>
      </c>
      <c r="D107" s="22" t="s">
        <v>170</v>
      </c>
      <c r="E107" s="23" t="s">
        <v>200</v>
      </c>
      <c r="F107" s="22" t="s">
        <v>56</v>
      </c>
      <c r="G107" s="22" t="s">
        <v>53</v>
      </c>
      <c r="H107" s="22" t="s">
        <v>30</v>
      </c>
      <c r="I107" s="22" t="s">
        <v>172</v>
      </c>
      <c r="J107" s="22" t="s">
        <v>203</v>
      </c>
      <c r="K107" s="519" t="s">
        <v>969</v>
      </c>
      <c r="L107" s="521" t="s">
        <v>1022</v>
      </c>
      <c r="M107" s="521" t="s">
        <v>1023</v>
      </c>
      <c r="N107" s="521" t="s">
        <v>815</v>
      </c>
      <c r="O107" s="22" t="s">
        <v>174</v>
      </c>
      <c r="P107" s="426">
        <v>2021</v>
      </c>
      <c r="Q107" s="414">
        <f t="shared" ca="1" si="3"/>
        <v>101612.7068885472</v>
      </c>
      <c r="R107" s="335" t="str">
        <f t="shared" ca="1" si="4"/>
        <v>N/A</v>
      </c>
      <c r="S107" s="335" t="str">
        <f t="shared" ca="1" si="5"/>
        <v>N/A</v>
      </c>
      <c r="T107" s="429" t="s">
        <v>899</v>
      </c>
      <c r="U107" s="22"/>
      <c r="V107" s="24"/>
      <c r="W107" s="21"/>
      <c r="Y107" s="490"/>
    </row>
    <row r="108" spans="1:25" ht="60">
      <c r="A108" s="31">
        <v>105</v>
      </c>
      <c r="B108" s="22" t="s">
        <v>39</v>
      </c>
      <c r="C108" s="22" t="s">
        <v>40</v>
      </c>
      <c r="D108" s="22" t="s">
        <v>170</v>
      </c>
      <c r="E108" s="23" t="s">
        <v>200</v>
      </c>
      <c r="F108" s="22" t="s">
        <v>57</v>
      </c>
      <c r="G108" s="22" t="s">
        <v>53</v>
      </c>
      <c r="H108" s="22" t="s">
        <v>30</v>
      </c>
      <c r="I108" s="22" t="s">
        <v>172</v>
      </c>
      <c r="J108" s="22" t="s">
        <v>204</v>
      </c>
      <c r="K108" s="519" t="s">
        <v>969</v>
      </c>
      <c r="L108" s="521" t="s">
        <v>1024</v>
      </c>
      <c r="M108" s="521" t="s">
        <v>1025</v>
      </c>
      <c r="N108" s="521" t="s">
        <v>815</v>
      </c>
      <c r="O108" s="22" t="s">
        <v>174</v>
      </c>
      <c r="P108" s="426">
        <v>2021</v>
      </c>
      <c r="Q108" s="414">
        <f t="shared" ca="1" si="3"/>
        <v>62569.561244542812</v>
      </c>
      <c r="R108" s="335" t="str">
        <f t="shared" ca="1" si="4"/>
        <v>N/A</v>
      </c>
      <c r="S108" s="335" t="str">
        <f t="shared" ca="1" si="5"/>
        <v>N/A</v>
      </c>
      <c r="T108" s="429" t="s">
        <v>899</v>
      </c>
      <c r="U108" s="22"/>
      <c r="V108" s="24"/>
      <c r="W108" s="21"/>
      <c r="Y108" s="490"/>
    </row>
    <row r="109" spans="1:25" ht="60">
      <c r="A109" s="31">
        <v>106</v>
      </c>
      <c r="B109" s="22" t="s">
        <v>39</v>
      </c>
      <c r="C109" s="22" t="s">
        <v>40</v>
      </c>
      <c r="D109" s="22" t="s">
        <v>170</v>
      </c>
      <c r="E109" s="23" t="s">
        <v>200</v>
      </c>
      <c r="F109" s="22" t="s">
        <v>58</v>
      </c>
      <c r="G109" s="22" t="s">
        <v>53</v>
      </c>
      <c r="H109" s="22" t="s">
        <v>30</v>
      </c>
      <c r="I109" s="22" t="s">
        <v>172</v>
      </c>
      <c r="J109" s="22" t="s">
        <v>205</v>
      </c>
      <c r="K109" s="519" t="s">
        <v>969</v>
      </c>
      <c r="L109" s="521" t="s">
        <v>1026</v>
      </c>
      <c r="M109" s="521" t="s">
        <v>1027</v>
      </c>
      <c r="N109" s="521" t="s">
        <v>815</v>
      </c>
      <c r="O109" s="22" t="s">
        <v>174</v>
      </c>
      <c r="P109" s="426">
        <v>2021</v>
      </c>
      <c r="Q109" s="414">
        <f t="shared" ca="1" si="3"/>
        <v>1103036.3876590251</v>
      </c>
      <c r="R109" s="335" t="str">
        <f t="shared" ca="1" si="4"/>
        <v>N/A</v>
      </c>
      <c r="S109" s="335" t="str">
        <f t="shared" ca="1" si="5"/>
        <v>N/A</v>
      </c>
      <c r="T109" s="429" t="s">
        <v>899</v>
      </c>
      <c r="U109" s="22" t="str">
        <f>Definitions!C$21</f>
        <v>AL 3826. Natural gas supplied through a single meter to common facilities only, will be billed under rates GM-C, GM-BC or GM-BCC, as appropriate.</v>
      </c>
      <c r="V109" s="24"/>
      <c r="W109" s="21"/>
      <c r="Y109" s="490"/>
    </row>
    <row r="110" spans="1:25" ht="60">
      <c r="A110" s="31">
        <v>107</v>
      </c>
      <c r="B110" s="22" t="s">
        <v>39</v>
      </c>
      <c r="C110" s="22" t="s">
        <v>40</v>
      </c>
      <c r="D110" s="22" t="s">
        <v>170</v>
      </c>
      <c r="E110" s="23" t="s">
        <v>200</v>
      </c>
      <c r="F110" s="22" t="s">
        <v>60</v>
      </c>
      <c r="G110" s="22" t="s">
        <v>53</v>
      </c>
      <c r="H110" s="22" t="s">
        <v>30</v>
      </c>
      <c r="I110" s="22" t="s">
        <v>172</v>
      </c>
      <c r="J110" s="22" t="s">
        <v>206</v>
      </c>
      <c r="K110" s="519" t="s">
        <v>969</v>
      </c>
      <c r="L110" s="521" t="s">
        <v>1028</v>
      </c>
      <c r="M110" s="521" t="s">
        <v>1029</v>
      </c>
      <c r="N110" s="521" t="s">
        <v>815</v>
      </c>
      <c r="O110" s="22" t="s">
        <v>174</v>
      </c>
      <c r="P110" s="426">
        <v>2021</v>
      </c>
      <c r="Q110" s="414">
        <f t="shared" ca="1" si="3"/>
        <v>695116.59612550982</v>
      </c>
      <c r="R110" s="335" t="str">
        <f t="shared" ca="1" si="4"/>
        <v>N/A</v>
      </c>
      <c r="S110" s="335" t="str">
        <f t="shared" ca="1" si="5"/>
        <v>N/A</v>
      </c>
      <c r="T110" s="429" t="s">
        <v>899</v>
      </c>
      <c r="U110" s="22" t="str">
        <f>Definitions!C$21</f>
        <v>AL 3826. Natural gas supplied through a single meter to common facilities only, will be billed under rates GM-C, GM-BC or GM-BCC, as appropriate.</v>
      </c>
      <c r="V110" s="24"/>
      <c r="W110" s="21"/>
      <c r="Y110" s="490"/>
    </row>
    <row r="111" spans="1:25" ht="60">
      <c r="A111" s="31">
        <v>108</v>
      </c>
      <c r="B111" s="22" t="s">
        <v>39</v>
      </c>
      <c r="C111" s="22" t="s">
        <v>40</v>
      </c>
      <c r="D111" s="22" t="s">
        <v>170</v>
      </c>
      <c r="E111" s="23" t="s">
        <v>200</v>
      </c>
      <c r="F111" s="22" t="s">
        <v>61</v>
      </c>
      <c r="G111" s="22" t="s">
        <v>53</v>
      </c>
      <c r="H111" s="22" t="s">
        <v>30</v>
      </c>
      <c r="I111" s="22" t="s">
        <v>172</v>
      </c>
      <c r="J111" s="22" t="s">
        <v>207</v>
      </c>
      <c r="K111" s="519" t="s">
        <v>969</v>
      </c>
      <c r="L111" s="521" t="s">
        <v>1030</v>
      </c>
      <c r="M111" s="521" t="s">
        <v>1031</v>
      </c>
      <c r="N111" s="521" t="s">
        <v>815</v>
      </c>
      <c r="O111" s="22" t="s">
        <v>174</v>
      </c>
      <c r="P111" s="426">
        <v>2021</v>
      </c>
      <c r="Q111" s="414">
        <f t="shared" ca="1" si="3"/>
        <v>14.635914309086299</v>
      </c>
      <c r="R111" s="335" t="str">
        <f t="shared" ca="1" si="4"/>
        <v>N/A</v>
      </c>
      <c r="S111" s="335" t="str">
        <f t="shared" ca="1" si="5"/>
        <v>N/A</v>
      </c>
      <c r="T111" s="429" t="s">
        <v>899</v>
      </c>
      <c r="U111" s="22"/>
      <c r="V111" s="24"/>
      <c r="W111" s="21"/>
      <c r="Y111" s="490"/>
    </row>
    <row r="112" spans="1:25" ht="60">
      <c r="A112" s="31">
        <v>109</v>
      </c>
      <c r="B112" s="22" t="s">
        <v>39</v>
      </c>
      <c r="C112" s="22" t="s">
        <v>40</v>
      </c>
      <c r="D112" s="22" t="s">
        <v>170</v>
      </c>
      <c r="E112" s="23" t="s">
        <v>200</v>
      </c>
      <c r="F112" s="22" t="s">
        <v>62</v>
      </c>
      <c r="G112" s="22" t="s">
        <v>53</v>
      </c>
      <c r="H112" s="22" t="s">
        <v>30</v>
      </c>
      <c r="I112" s="22" t="s">
        <v>172</v>
      </c>
      <c r="J112" s="22" t="s">
        <v>208</v>
      </c>
      <c r="K112" s="519" t="s">
        <v>969</v>
      </c>
      <c r="L112" s="521" t="s">
        <v>1032</v>
      </c>
      <c r="M112" s="521" t="s">
        <v>1033</v>
      </c>
      <c r="N112" s="521" t="s">
        <v>815</v>
      </c>
      <c r="O112" s="22" t="s">
        <v>174</v>
      </c>
      <c r="P112" s="426">
        <v>2021</v>
      </c>
      <c r="Q112" s="414">
        <f t="shared" ca="1" si="3"/>
        <v>8.8961487644792818</v>
      </c>
      <c r="R112" s="335" t="str">
        <f t="shared" ca="1" si="4"/>
        <v>N/A</v>
      </c>
      <c r="S112" s="335" t="str">
        <f t="shared" ca="1" si="5"/>
        <v>N/A</v>
      </c>
      <c r="T112" s="429" t="s">
        <v>899</v>
      </c>
      <c r="U112" s="22"/>
      <c r="V112" s="24"/>
      <c r="W112" s="21"/>
      <c r="Y112" s="490"/>
    </row>
    <row r="113" spans="1:25" ht="60">
      <c r="A113" s="31">
        <v>110</v>
      </c>
      <c r="B113" s="22" t="s">
        <v>39</v>
      </c>
      <c r="C113" s="22" t="s">
        <v>40</v>
      </c>
      <c r="D113" s="22" t="s">
        <v>170</v>
      </c>
      <c r="E113" s="23" t="s">
        <v>200</v>
      </c>
      <c r="F113" s="22" t="s">
        <v>63</v>
      </c>
      <c r="G113" s="22" t="s">
        <v>53</v>
      </c>
      <c r="H113" s="22" t="s">
        <v>30</v>
      </c>
      <c r="I113" s="22" t="s">
        <v>172</v>
      </c>
      <c r="J113" s="22" t="s">
        <v>209</v>
      </c>
      <c r="K113" s="519" t="s">
        <v>969</v>
      </c>
      <c r="L113" s="521" t="s">
        <v>1034</v>
      </c>
      <c r="M113" s="521" t="s">
        <v>1035</v>
      </c>
      <c r="N113" s="521" t="s">
        <v>815</v>
      </c>
      <c r="O113" s="22" t="s">
        <v>174</v>
      </c>
      <c r="P113" s="426">
        <v>2021</v>
      </c>
      <c r="Q113" s="414">
        <f t="shared" ca="1" si="3"/>
        <v>508730.49386977201</v>
      </c>
      <c r="R113" s="335" t="str">
        <f t="shared" ca="1" si="4"/>
        <v>N/A</v>
      </c>
      <c r="S113" s="335" t="str">
        <f t="shared" ca="1" si="5"/>
        <v>N/A</v>
      </c>
      <c r="T113" s="429" t="s">
        <v>899</v>
      </c>
      <c r="U113" s="22"/>
      <c r="V113" s="24"/>
      <c r="W113" s="21"/>
      <c r="Y113" s="490"/>
    </row>
    <row r="114" spans="1:25" ht="60">
      <c r="A114" s="31">
        <v>111</v>
      </c>
      <c r="B114" s="22" t="s">
        <v>39</v>
      </c>
      <c r="C114" s="22" t="s">
        <v>40</v>
      </c>
      <c r="D114" s="22" t="s">
        <v>170</v>
      </c>
      <c r="E114" s="23" t="s">
        <v>200</v>
      </c>
      <c r="F114" s="22" t="s">
        <v>64</v>
      </c>
      <c r="G114" s="22" t="s">
        <v>53</v>
      </c>
      <c r="H114" s="22" t="s">
        <v>30</v>
      </c>
      <c r="I114" s="22" t="s">
        <v>172</v>
      </c>
      <c r="J114" s="22" t="s">
        <v>210</v>
      </c>
      <c r="K114" s="519" t="s">
        <v>969</v>
      </c>
      <c r="L114" s="521" t="s">
        <v>1036</v>
      </c>
      <c r="M114" s="521" t="s">
        <v>1037</v>
      </c>
      <c r="N114" s="521" t="s">
        <v>815</v>
      </c>
      <c r="O114" s="22" t="s">
        <v>174</v>
      </c>
      <c r="P114" s="426">
        <v>2021</v>
      </c>
      <c r="Q114" s="414">
        <f t="shared" ca="1" si="3"/>
        <v>313639.69526830676</v>
      </c>
      <c r="R114" s="335" t="str">
        <f t="shared" ca="1" si="4"/>
        <v>N/A</v>
      </c>
      <c r="S114" s="335" t="str">
        <f t="shared" ca="1" si="5"/>
        <v>N/A</v>
      </c>
      <c r="T114" s="429" t="s">
        <v>899</v>
      </c>
      <c r="U114" s="22"/>
      <c r="V114" s="24"/>
      <c r="W114" s="21"/>
      <c r="Y114" s="490"/>
    </row>
    <row r="115" spans="1:25" ht="60">
      <c r="A115" s="31">
        <v>112</v>
      </c>
      <c r="B115" s="22" t="s">
        <v>39</v>
      </c>
      <c r="C115" s="22" t="s">
        <v>40</v>
      </c>
      <c r="D115" s="22" t="s">
        <v>170</v>
      </c>
      <c r="E115" s="23" t="s">
        <v>200</v>
      </c>
      <c r="F115" s="22" t="s">
        <v>65</v>
      </c>
      <c r="G115" s="22" t="s">
        <v>53</v>
      </c>
      <c r="H115" s="22" t="s">
        <v>30</v>
      </c>
      <c r="I115" s="22" t="s">
        <v>172</v>
      </c>
      <c r="J115" s="22" t="s">
        <v>211</v>
      </c>
      <c r="K115" s="519" t="s">
        <v>969</v>
      </c>
      <c r="L115" s="521" t="s">
        <v>1038</v>
      </c>
      <c r="M115" s="521" t="s">
        <v>1039</v>
      </c>
      <c r="N115" s="521" t="s">
        <v>815</v>
      </c>
      <c r="O115" s="22" t="s">
        <v>174</v>
      </c>
      <c r="P115" s="426">
        <v>2021</v>
      </c>
      <c r="Q115" s="414">
        <f t="shared" ca="1" si="3"/>
        <v>6041462.1890219823</v>
      </c>
      <c r="R115" s="335" t="str">
        <f t="shared" ca="1" si="4"/>
        <v>N/A</v>
      </c>
      <c r="S115" s="335" t="str">
        <f t="shared" ca="1" si="5"/>
        <v>N/A</v>
      </c>
      <c r="T115" s="429" t="s">
        <v>899</v>
      </c>
      <c r="U115" s="22" t="str">
        <f>Definitions!C$21</f>
        <v>AL 3826. Natural gas supplied through a single meter to common facilities only, will be billed under rates GM-C, GM-BC or GM-BCC, as appropriate.</v>
      </c>
      <c r="V115" s="24"/>
      <c r="W115" s="21"/>
      <c r="Y115" s="490"/>
    </row>
    <row r="116" spans="1:25" ht="60">
      <c r="A116" s="31">
        <v>113</v>
      </c>
      <c r="B116" s="22" t="s">
        <v>39</v>
      </c>
      <c r="C116" s="22" t="s">
        <v>40</v>
      </c>
      <c r="D116" s="22" t="s">
        <v>170</v>
      </c>
      <c r="E116" s="23" t="s">
        <v>200</v>
      </c>
      <c r="F116" s="22" t="s">
        <v>66</v>
      </c>
      <c r="G116" s="22" t="s">
        <v>53</v>
      </c>
      <c r="H116" s="22" t="s">
        <v>30</v>
      </c>
      <c r="I116" s="22" t="s">
        <v>172</v>
      </c>
      <c r="J116" s="22" t="s">
        <v>212</v>
      </c>
      <c r="K116" s="519" t="s">
        <v>969</v>
      </c>
      <c r="L116" s="521" t="s">
        <v>1040</v>
      </c>
      <c r="M116" s="521" t="s">
        <v>1041</v>
      </c>
      <c r="N116" s="521" t="s">
        <v>815</v>
      </c>
      <c r="O116" s="22" t="s">
        <v>174</v>
      </c>
      <c r="P116" s="426">
        <v>2021</v>
      </c>
      <c r="Q116" s="414">
        <f t="shared" ca="1" si="3"/>
        <v>3736840.4938877062</v>
      </c>
      <c r="R116" s="335" t="str">
        <f t="shared" ca="1" si="4"/>
        <v>N/A</v>
      </c>
      <c r="S116" s="335" t="str">
        <f t="shared" ca="1" si="5"/>
        <v>N/A</v>
      </c>
      <c r="T116" s="429" t="s">
        <v>899</v>
      </c>
      <c r="U116" s="22" t="str">
        <f>Definitions!C$21</f>
        <v>AL 3826. Natural gas supplied through a single meter to common facilities only, will be billed under rates GM-C, GM-BC or GM-BCC, as appropriate.</v>
      </c>
      <c r="V116" s="24"/>
      <c r="W116" s="21"/>
      <c r="Y116" s="490"/>
    </row>
    <row r="117" spans="1:25" ht="30">
      <c r="A117" s="31">
        <v>114</v>
      </c>
      <c r="B117" s="22" t="s">
        <v>39</v>
      </c>
      <c r="C117" s="22" t="s">
        <v>40</v>
      </c>
      <c r="D117" s="22" t="s">
        <v>213</v>
      </c>
      <c r="E117" s="23" t="s">
        <v>42</v>
      </c>
      <c r="F117" s="22" t="s">
        <v>43</v>
      </c>
      <c r="G117" s="22" t="s">
        <v>44</v>
      </c>
      <c r="H117" s="22" t="s">
        <v>30</v>
      </c>
      <c r="I117" s="22" t="s">
        <v>214</v>
      </c>
      <c r="J117" s="19" t="s">
        <v>46</v>
      </c>
      <c r="K117" s="519" t="s">
        <v>969</v>
      </c>
      <c r="L117" s="521" t="s">
        <v>1042</v>
      </c>
      <c r="M117" s="521" t="s">
        <v>1043</v>
      </c>
      <c r="N117" s="521" t="s">
        <v>815</v>
      </c>
      <c r="O117" s="22" t="s">
        <v>174</v>
      </c>
      <c r="P117" s="426">
        <v>2021</v>
      </c>
      <c r="Q117" s="414">
        <f t="shared" ca="1" si="3"/>
        <v>3238.4277409938304</v>
      </c>
      <c r="R117" s="335" t="str">
        <f t="shared" ca="1" si="4"/>
        <v>N/A</v>
      </c>
      <c r="S117" s="335" t="str">
        <f t="shared" ca="1" si="5"/>
        <v>N/A</v>
      </c>
      <c r="T117" s="429" t="s">
        <v>48</v>
      </c>
      <c r="U117" s="22" t="s">
        <v>215</v>
      </c>
      <c r="V117" s="24"/>
      <c r="W117" s="21"/>
      <c r="Y117" s="490"/>
    </row>
    <row r="118" spans="1:25" ht="45">
      <c r="A118" s="31">
        <v>115</v>
      </c>
      <c r="B118" s="22" t="s">
        <v>39</v>
      </c>
      <c r="C118" s="22" t="s">
        <v>216</v>
      </c>
      <c r="D118" s="22" t="s">
        <v>217</v>
      </c>
      <c r="E118" s="23" t="s">
        <v>218</v>
      </c>
      <c r="F118" s="22" t="s">
        <v>108</v>
      </c>
      <c r="G118" s="22" t="s">
        <v>219</v>
      </c>
      <c r="H118" s="22" t="s">
        <v>30</v>
      </c>
      <c r="I118" s="22" t="s">
        <v>220</v>
      </c>
      <c r="J118" s="22" t="s">
        <v>221</v>
      </c>
      <c r="K118" s="519" t="s">
        <v>969</v>
      </c>
      <c r="L118" s="521" t="s">
        <v>1044</v>
      </c>
      <c r="M118" s="521" t="s">
        <v>1045</v>
      </c>
      <c r="N118" s="521" t="s">
        <v>885</v>
      </c>
      <c r="O118" s="22" t="s">
        <v>174</v>
      </c>
      <c r="P118" s="426">
        <v>2021</v>
      </c>
      <c r="Q118" s="720">
        <f t="shared" ca="1" si="3"/>
        <v>0.40996382645139579</v>
      </c>
      <c r="R118" s="335">
        <f t="shared" ca="1" si="4"/>
        <v>5353.7176096287776</v>
      </c>
      <c r="S118" s="335">
        <f t="shared" ca="1" si="5"/>
        <v>13059</v>
      </c>
      <c r="T118" s="429"/>
      <c r="U118" s="22"/>
      <c r="V118" s="24"/>
      <c r="W118" s="21"/>
      <c r="Y118" s="490"/>
    </row>
    <row r="119" spans="1:25" ht="45">
      <c r="A119" s="31">
        <v>116</v>
      </c>
      <c r="B119" s="22" t="s">
        <v>39</v>
      </c>
      <c r="C119" s="22" t="s">
        <v>216</v>
      </c>
      <c r="D119" s="22" t="s">
        <v>217</v>
      </c>
      <c r="E119" s="23" t="s">
        <v>218</v>
      </c>
      <c r="F119" s="22" t="s">
        <v>112</v>
      </c>
      <c r="G119" s="22" t="s">
        <v>219</v>
      </c>
      <c r="H119" s="22" t="s">
        <v>30</v>
      </c>
      <c r="I119" s="22" t="s">
        <v>220</v>
      </c>
      <c r="J119" s="22" t="s">
        <v>222</v>
      </c>
      <c r="K119" s="519" t="s">
        <v>969</v>
      </c>
      <c r="L119" s="521" t="s">
        <v>1046</v>
      </c>
      <c r="M119" s="521" t="s">
        <v>1047</v>
      </c>
      <c r="N119" s="521" t="s">
        <v>885</v>
      </c>
      <c r="O119" s="22" t="s">
        <v>174</v>
      </c>
      <c r="P119" s="426">
        <v>2021</v>
      </c>
      <c r="Q119" s="414">
        <f t="shared" ca="1" si="3"/>
        <v>1675.6774870100851</v>
      </c>
      <c r="R119" s="335">
        <f t="shared" ca="1" si="4"/>
        <v>21882672.302864701</v>
      </c>
      <c r="S119" s="335">
        <f t="shared" ca="1" si="5"/>
        <v>13059</v>
      </c>
      <c r="T119" s="429"/>
      <c r="U119" s="22"/>
      <c r="V119" s="24"/>
      <c r="W119" s="21"/>
      <c r="Y119" s="490"/>
    </row>
    <row r="120" spans="1:25" ht="90">
      <c r="A120" s="31">
        <v>117</v>
      </c>
      <c r="B120" s="22" t="s">
        <v>39</v>
      </c>
      <c r="C120" s="22" t="s">
        <v>216</v>
      </c>
      <c r="D120" s="22" t="s">
        <v>217</v>
      </c>
      <c r="E120" s="23" t="s">
        <v>218</v>
      </c>
      <c r="F120" s="22" t="s">
        <v>114</v>
      </c>
      <c r="G120" s="22" t="s">
        <v>219</v>
      </c>
      <c r="H120" s="22" t="s">
        <v>30</v>
      </c>
      <c r="I120" s="22" t="s">
        <v>220</v>
      </c>
      <c r="J120" s="22" t="s">
        <v>223</v>
      </c>
      <c r="K120" s="519" t="s">
        <v>969</v>
      </c>
      <c r="L120" s="521" t="s">
        <v>1048</v>
      </c>
      <c r="M120" s="521" t="s">
        <v>1049</v>
      </c>
      <c r="N120" s="521" t="s">
        <v>885</v>
      </c>
      <c r="O120" s="22" t="s">
        <v>174</v>
      </c>
      <c r="P120" s="426">
        <v>2021</v>
      </c>
      <c r="Q120" s="414">
        <f t="shared" ca="1" si="3"/>
        <v>468.00949038631063</v>
      </c>
      <c r="R120" s="335">
        <f t="shared" ca="1" si="4"/>
        <v>6111735.9349548304</v>
      </c>
      <c r="S120" s="335">
        <f t="shared" ca="1" si="5"/>
        <v>13059</v>
      </c>
      <c r="T120" s="429" t="s">
        <v>224</v>
      </c>
      <c r="U120" s="22" t="s">
        <v>225</v>
      </c>
      <c r="V120" s="24"/>
      <c r="W120" s="21"/>
      <c r="Y120" s="490"/>
    </row>
    <row r="121" spans="1:25" ht="45">
      <c r="A121" s="31">
        <v>118</v>
      </c>
      <c r="B121" s="22" t="s">
        <v>39</v>
      </c>
      <c r="C121" s="22" t="s">
        <v>216</v>
      </c>
      <c r="D121" s="22" t="s">
        <v>217</v>
      </c>
      <c r="E121" s="23" t="s">
        <v>226</v>
      </c>
      <c r="F121" s="22" t="s">
        <v>108</v>
      </c>
      <c r="G121" s="22" t="s">
        <v>227</v>
      </c>
      <c r="H121" s="22" t="s">
        <v>30</v>
      </c>
      <c r="I121" s="22" t="s">
        <v>228</v>
      </c>
      <c r="J121" s="101" t="s">
        <v>229</v>
      </c>
      <c r="K121" s="519" t="s">
        <v>969</v>
      </c>
      <c r="L121" s="521" t="s">
        <v>1050</v>
      </c>
      <c r="M121" s="521" t="s">
        <v>1051</v>
      </c>
      <c r="N121" s="521" t="s">
        <v>885</v>
      </c>
      <c r="O121" s="22" t="s">
        <v>174</v>
      </c>
      <c r="P121" s="426">
        <v>2021</v>
      </c>
      <c r="Q121" s="414">
        <f t="shared" ca="1" si="3"/>
        <v>3.6896744380625619</v>
      </c>
      <c r="R121" s="335">
        <f t="shared" ca="1" si="4"/>
        <v>5353.7176096287776</v>
      </c>
      <c r="S121" s="335">
        <f t="shared" ca="1" si="5"/>
        <v>1451</v>
      </c>
      <c r="T121" s="429"/>
      <c r="U121" s="22"/>
      <c r="V121" s="24"/>
      <c r="W121" s="21"/>
      <c r="Y121" s="490"/>
    </row>
    <row r="122" spans="1:25" ht="45">
      <c r="A122" s="31">
        <v>119</v>
      </c>
      <c r="B122" s="22" t="s">
        <v>39</v>
      </c>
      <c r="C122" s="22" t="s">
        <v>216</v>
      </c>
      <c r="D122" s="22" t="s">
        <v>217</v>
      </c>
      <c r="E122" s="23" t="s">
        <v>226</v>
      </c>
      <c r="F122" s="22" t="s">
        <v>112</v>
      </c>
      <c r="G122" s="22" t="s">
        <v>227</v>
      </c>
      <c r="H122" s="22" t="s">
        <v>30</v>
      </c>
      <c r="I122" s="22" t="s">
        <v>228</v>
      </c>
      <c r="J122" s="101" t="s">
        <v>230</v>
      </c>
      <c r="K122" s="519" t="s">
        <v>969</v>
      </c>
      <c r="L122" s="521" t="s">
        <v>1052</v>
      </c>
      <c r="M122" s="521" t="s">
        <v>1053</v>
      </c>
      <c r="N122" s="521" t="s">
        <v>885</v>
      </c>
      <c r="O122" s="22" t="s">
        <v>174</v>
      </c>
      <c r="P122" s="426">
        <v>2021</v>
      </c>
      <c r="Q122" s="414">
        <f t="shared" ca="1" si="3"/>
        <v>15081.097383090766</v>
      </c>
      <c r="R122" s="335">
        <f t="shared" ca="1" si="4"/>
        <v>21882672.302864701</v>
      </c>
      <c r="S122" s="335">
        <f t="shared" ca="1" si="5"/>
        <v>1451</v>
      </c>
      <c r="T122" s="429"/>
      <c r="U122" s="22"/>
      <c r="V122" s="24"/>
      <c r="W122" s="21"/>
      <c r="Y122" s="490"/>
    </row>
    <row r="123" spans="1:25" ht="45">
      <c r="A123" s="31">
        <v>120</v>
      </c>
      <c r="B123" s="22" t="s">
        <v>39</v>
      </c>
      <c r="C123" s="22" t="s">
        <v>216</v>
      </c>
      <c r="D123" s="22" t="s">
        <v>217</v>
      </c>
      <c r="E123" s="23" t="s">
        <v>226</v>
      </c>
      <c r="F123" s="22" t="s">
        <v>114</v>
      </c>
      <c r="G123" s="22" t="s">
        <v>227</v>
      </c>
      <c r="H123" s="22" t="s">
        <v>30</v>
      </c>
      <c r="I123" s="22" t="s">
        <v>228</v>
      </c>
      <c r="J123" s="101" t="s">
        <v>231</v>
      </c>
      <c r="K123" s="519" t="s">
        <v>969</v>
      </c>
      <c r="L123" s="521" t="s">
        <v>1054</v>
      </c>
      <c r="M123" s="521" t="s">
        <v>1055</v>
      </c>
      <c r="N123" s="521" t="s">
        <v>885</v>
      </c>
      <c r="O123" s="22" t="s">
        <v>174</v>
      </c>
      <c r="P123" s="426">
        <v>2021</v>
      </c>
      <c r="Q123" s="414">
        <f t="shared" ca="1" si="3"/>
        <v>4212.085413476796</v>
      </c>
      <c r="R123" s="335">
        <f t="shared" ca="1" si="4"/>
        <v>6111735.9349548304</v>
      </c>
      <c r="S123" s="335">
        <f t="shared" ca="1" si="5"/>
        <v>1451</v>
      </c>
      <c r="T123" s="429" t="s">
        <v>232</v>
      </c>
      <c r="U123" s="22" t="s">
        <v>233</v>
      </c>
      <c r="V123" s="24"/>
      <c r="W123" s="21"/>
      <c r="Y123" s="490"/>
    </row>
    <row r="124" spans="1:25" ht="45">
      <c r="A124" s="31">
        <v>121</v>
      </c>
      <c r="B124" s="22" t="s">
        <v>39</v>
      </c>
      <c r="C124" s="22" t="s">
        <v>216</v>
      </c>
      <c r="D124" s="22" t="s">
        <v>217</v>
      </c>
      <c r="E124" s="23" t="s">
        <v>234</v>
      </c>
      <c r="F124" s="22" t="s">
        <v>108</v>
      </c>
      <c r="G124" s="22" t="s">
        <v>235</v>
      </c>
      <c r="H124" s="22" t="s">
        <v>30</v>
      </c>
      <c r="I124" s="22" t="s">
        <v>236</v>
      </c>
      <c r="J124" s="101" t="s">
        <v>237</v>
      </c>
      <c r="K124" s="519" t="s">
        <v>969</v>
      </c>
      <c r="L124" s="521" t="s">
        <v>1056</v>
      </c>
      <c r="M124" s="521" t="s">
        <v>1057</v>
      </c>
      <c r="N124" s="521" t="s">
        <v>885</v>
      </c>
      <c r="O124" s="22" t="s">
        <v>174</v>
      </c>
      <c r="P124" s="426">
        <v>2021</v>
      </c>
      <c r="Q124" s="720">
        <f t="shared" ca="1" si="3"/>
        <v>4.4615168537636783E-3</v>
      </c>
      <c r="R124" s="335">
        <f t="shared" ca="1" si="4"/>
        <v>5353.7176096287776</v>
      </c>
      <c r="S124" s="335">
        <f t="shared" ca="1" si="5"/>
        <v>1199977</v>
      </c>
      <c r="T124" s="429"/>
      <c r="U124" s="22"/>
      <c r="V124" s="24"/>
      <c r="W124" s="21"/>
      <c r="Y124" s="490"/>
    </row>
    <row r="125" spans="1:25" ht="45">
      <c r="A125" s="31">
        <v>122</v>
      </c>
      <c r="B125" s="22" t="s">
        <v>39</v>
      </c>
      <c r="C125" s="22" t="s">
        <v>216</v>
      </c>
      <c r="D125" s="22" t="s">
        <v>217</v>
      </c>
      <c r="E125" s="23" t="s">
        <v>234</v>
      </c>
      <c r="F125" s="22" t="s">
        <v>112</v>
      </c>
      <c r="G125" s="22" t="s">
        <v>235</v>
      </c>
      <c r="H125" s="22" t="s">
        <v>30</v>
      </c>
      <c r="I125" s="22" t="s">
        <v>236</v>
      </c>
      <c r="J125" s="101" t="s">
        <v>238</v>
      </c>
      <c r="K125" s="519" t="s">
        <v>969</v>
      </c>
      <c r="L125" s="521" t="s">
        <v>1058</v>
      </c>
      <c r="M125" s="521" t="s">
        <v>1059</v>
      </c>
      <c r="N125" s="521" t="s">
        <v>885</v>
      </c>
      <c r="O125" s="22" t="s">
        <v>174</v>
      </c>
      <c r="P125" s="426">
        <v>2021</v>
      </c>
      <c r="Q125" s="414">
        <f t="shared" ca="1" si="3"/>
        <v>18.235909773991253</v>
      </c>
      <c r="R125" s="335">
        <f t="shared" ca="1" si="4"/>
        <v>21882672.302864701</v>
      </c>
      <c r="S125" s="335">
        <f t="shared" ca="1" si="5"/>
        <v>1199977</v>
      </c>
      <c r="T125" s="429"/>
      <c r="U125" s="22"/>
      <c r="V125" s="24"/>
      <c r="W125" s="21"/>
      <c r="Y125" s="490"/>
    </row>
    <row r="126" spans="1:25" ht="45">
      <c r="A126" s="31">
        <v>123</v>
      </c>
      <c r="B126" s="22" t="s">
        <v>39</v>
      </c>
      <c r="C126" s="22" t="s">
        <v>216</v>
      </c>
      <c r="D126" s="22" t="s">
        <v>217</v>
      </c>
      <c r="E126" s="23" t="s">
        <v>234</v>
      </c>
      <c r="F126" s="22" t="s">
        <v>114</v>
      </c>
      <c r="G126" s="22" t="s">
        <v>235</v>
      </c>
      <c r="H126" s="22" t="s">
        <v>30</v>
      </c>
      <c r="I126" s="22" t="s">
        <v>236</v>
      </c>
      <c r="J126" s="101" t="s">
        <v>239</v>
      </c>
      <c r="K126" s="519" t="s">
        <v>969</v>
      </c>
      <c r="L126" s="521" t="s">
        <v>1060</v>
      </c>
      <c r="M126" s="521" t="s">
        <v>1061</v>
      </c>
      <c r="N126" s="521" t="s">
        <v>885</v>
      </c>
      <c r="O126" s="22" t="s">
        <v>174</v>
      </c>
      <c r="P126" s="426">
        <v>2021</v>
      </c>
      <c r="Q126" s="414">
        <f t="shared" ca="1" si="3"/>
        <v>5.0932108990045899</v>
      </c>
      <c r="R126" s="335">
        <f t="shared" ca="1" si="4"/>
        <v>6111735.9349548304</v>
      </c>
      <c r="S126" s="335">
        <f t="shared" ca="1" si="5"/>
        <v>1199977</v>
      </c>
      <c r="T126" s="429" t="s">
        <v>240</v>
      </c>
      <c r="U126" s="22" t="s">
        <v>117</v>
      </c>
      <c r="V126" s="24"/>
      <c r="W126" s="21"/>
      <c r="Y126" s="490"/>
    </row>
    <row r="127" spans="1:25" ht="75">
      <c r="A127" s="31">
        <v>124</v>
      </c>
      <c r="B127" s="22" t="s">
        <v>39</v>
      </c>
      <c r="C127" s="22" t="s">
        <v>216</v>
      </c>
      <c r="D127" s="22" t="s">
        <v>241</v>
      </c>
      <c r="E127" s="23" t="s">
        <v>242</v>
      </c>
      <c r="F127" s="22" t="s">
        <v>142</v>
      </c>
      <c r="G127" s="22" t="s">
        <v>143</v>
      </c>
      <c r="H127" s="22" t="s">
        <v>30</v>
      </c>
      <c r="I127" s="22" t="s">
        <v>243</v>
      </c>
      <c r="J127" s="22" t="s">
        <v>244</v>
      </c>
      <c r="K127" s="519" t="s">
        <v>969</v>
      </c>
      <c r="L127" s="521" t="s">
        <v>1062</v>
      </c>
      <c r="M127" s="521" t="s">
        <v>1063</v>
      </c>
      <c r="N127" s="521" t="s">
        <v>885</v>
      </c>
      <c r="O127" s="22" t="s">
        <v>174</v>
      </c>
      <c r="P127" s="426">
        <v>2021</v>
      </c>
      <c r="Q127" s="720">
        <f t="shared" ca="1" si="3"/>
        <v>2.8891433122604409E-3</v>
      </c>
      <c r="R127" s="335">
        <f t="shared" ca="1" si="4"/>
        <v>1451</v>
      </c>
      <c r="S127" s="335">
        <f t="shared" ca="1" si="5"/>
        <v>502225</v>
      </c>
      <c r="T127" s="429" t="s">
        <v>245</v>
      </c>
      <c r="U127" s="22" t="s">
        <v>246</v>
      </c>
      <c r="V127" s="24"/>
      <c r="W127" s="21"/>
      <c r="Y127" s="490"/>
    </row>
    <row r="128" spans="1:25" ht="75">
      <c r="A128" s="31">
        <v>125</v>
      </c>
      <c r="B128" s="22" t="s">
        <v>39</v>
      </c>
      <c r="C128" s="22" t="s">
        <v>216</v>
      </c>
      <c r="D128" s="22" t="s">
        <v>241</v>
      </c>
      <c r="E128" s="23" t="s">
        <v>247</v>
      </c>
      <c r="F128" s="22" t="s">
        <v>142</v>
      </c>
      <c r="G128" s="22" t="s">
        <v>143</v>
      </c>
      <c r="H128" s="22" t="s">
        <v>30</v>
      </c>
      <c r="I128" s="22" t="s">
        <v>248</v>
      </c>
      <c r="J128" s="22" t="s">
        <v>249</v>
      </c>
      <c r="K128" s="519" t="s">
        <v>969</v>
      </c>
      <c r="L128" s="521" t="s">
        <v>1064</v>
      </c>
      <c r="M128" s="521" t="s">
        <v>1065</v>
      </c>
      <c r="N128" s="521" t="s">
        <v>885</v>
      </c>
      <c r="O128" s="22" t="s">
        <v>174</v>
      </c>
      <c r="P128" s="426">
        <v>2021</v>
      </c>
      <c r="Q128" s="720">
        <f t="shared" ca="1" si="3"/>
        <v>1.9772014535317834E-3</v>
      </c>
      <c r="R128" s="335">
        <f t="shared" ca="1" si="4"/>
        <v>993</v>
      </c>
      <c r="S128" s="335">
        <f t="shared" ca="1" si="5"/>
        <v>502225</v>
      </c>
      <c r="T128" s="429" t="s">
        <v>250</v>
      </c>
      <c r="U128" s="22" t="s">
        <v>251</v>
      </c>
      <c r="V128" s="24"/>
      <c r="W128" s="21"/>
      <c r="Y128" s="490"/>
    </row>
    <row r="129" spans="1:25" ht="75">
      <c r="A129" s="31">
        <v>126</v>
      </c>
      <c r="B129" s="22" t="s">
        <v>39</v>
      </c>
      <c r="C129" s="22" t="s">
        <v>216</v>
      </c>
      <c r="D129" s="22" t="s">
        <v>241</v>
      </c>
      <c r="E129" s="23" t="s">
        <v>252</v>
      </c>
      <c r="F129" s="22" t="s">
        <v>142</v>
      </c>
      <c r="G129" s="22" t="s">
        <v>253</v>
      </c>
      <c r="H129" s="22" t="s">
        <v>30</v>
      </c>
      <c r="I129" s="22" t="s">
        <v>254</v>
      </c>
      <c r="J129" s="22" t="s">
        <v>255</v>
      </c>
      <c r="K129" s="519" t="s">
        <v>969</v>
      </c>
      <c r="L129" s="521" t="s">
        <v>1066</v>
      </c>
      <c r="M129" s="521" t="s">
        <v>1067</v>
      </c>
      <c r="N129" s="521" t="s">
        <v>885</v>
      </c>
      <c r="O129" s="22" t="s">
        <v>174</v>
      </c>
      <c r="P129" s="426">
        <v>2021</v>
      </c>
      <c r="Q129" s="720">
        <f t="shared" ca="1" si="3"/>
        <v>1.9772014535317834E-3</v>
      </c>
      <c r="R129" s="335">
        <f t="shared" ca="1" si="4"/>
        <v>821211</v>
      </c>
      <c r="S129" s="335">
        <f t="shared" ca="1" si="5"/>
        <v>415340075</v>
      </c>
      <c r="T129" s="429" t="s">
        <v>256</v>
      </c>
      <c r="U129" s="22"/>
      <c r="V129" s="24"/>
      <c r="W129" s="21"/>
      <c r="Y129" s="490"/>
    </row>
    <row r="130" spans="1:25" ht="60">
      <c r="A130" s="31">
        <v>127</v>
      </c>
      <c r="B130" s="22" t="s">
        <v>39</v>
      </c>
      <c r="C130" s="22" t="s">
        <v>216</v>
      </c>
      <c r="D130" s="22" t="s">
        <v>241</v>
      </c>
      <c r="E130" s="23" t="s">
        <v>257</v>
      </c>
      <c r="F130" s="22" t="s">
        <v>142</v>
      </c>
      <c r="G130" s="22" t="s">
        <v>149</v>
      </c>
      <c r="H130" s="22" t="s">
        <v>30</v>
      </c>
      <c r="I130" s="22" t="s">
        <v>258</v>
      </c>
      <c r="J130" s="22" t="s">
        <v>151</v>
      </c>
      <c r="K130" s="519" t="s">
        <v>969</v>
      </c>
      <c r="L130" s="521" t="s">
        <v>1068</v>
      </c>
      <c r="M130" s="521" t="s">
        <v>1069</v>
      </c>
      <c r="N130" s="521" t="s">
        <v>885</v>
      </c>
      <c r="O130" s="22" t="s">
        <v>174</v>
      </c>
      <c r="P130" s="426">
        <v>2021</v>
      </c>
      <c r="Q130" s="720">
        <f t="shared" ca="1" si="3"/>
        <v>0</v>
      </c>
      <c r="R130" s="335">
        <f t="shared" ca="1" si="4"/>
        <v>0</v>
      </c>
      <c r="S130" s="335">
        <f t="shared" ca="1" si="5"/>
        <v>33083</v>
      </c>
      <c r="T130" s="429" t="s">
        <v>259</v>
      </c>
      <c r="U130" s="22" t="s">
        <v>260</v>
      </c>
      <c r="V130" s="24"/>
      <c r="W130" s="21"/>
      <c r="Y130" s="490"/>
    </row>
    <row r="131" spans="1:25" ht="90">
      <c r="A131" s="31">
        <v>128</v>
      </c>
      <c r="B131" s="22" t="s">
        <v>39</v>
      </c>
      <c r="C131" s="22" t="s">
        <v>216</v>
      </c>
      <c r="D131" s="22" t="s">
        <v>241</v>
      </c>
      <c r="E131" s="23" t="s">
        <v>261</v>
      </c>
      <c r="F131" s="22" t="s">
        <v>142</v>
      </c>
      <c r="G131" s="22" t="s">
        <v>154</v>
      </c>
      <c r="H131" s="22" t="s">
        <v>30</v>
      </c>
      <c r="I131" s="22" t="s">
        <v>262</v>
      </c>
      <c r="J131" s="22" t="s">
        <v>263</v>
      </c>
      <c r="K131" s="519" t="s">
        <v>969</v>
      </c>
      <c r="L131" s="521" t="s">
        <v>1070</v>
      </c>
      <c r="M131" s="521" t="s">
        <v>1071</v>
      </c>
      <c r="N131" s="521" t="s">
        <v>885</v>
      </c>
      <c r="O131" s="22" t="s">
        <v>174</v>
      </c>
      <c r="P131" s="426">
        <v>2021</v>
      </c>
      <c r="Q131" s="720">
        <f t="shared" ca="1" si="3"/>
        <v>1.106681074635764E-2</v>
      </c>
      <c r="R131" s="335">
        <f t="shared" ca="1" si="4"/>
        <v>594</v>
      </c>
      <c r="S131" s="335">
        <f t="shared" ca="1" si="5"/>
        <v>53674</v>
      </c>
      <c r="T131" s="429" t="s">
        <v>157</v>
      </c>
      <c r="U131"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31" s="24"/>
      <c r="W131" s="21"/>
      <c r="Y131" s="490"/>
    </row>
    <row r="132" spans="1:25" ht="60">
      <c r="A132" s="31">
        <v>129</v>
      </c>
      <c r="B132" s="22" t="s">
        <v>39</v>
      </c>
      <c r="C132" s="22" t="s">
        <v>216</v>
      </c>
      <c r="D132" s="22" t="s">
        <v>264</v>
      </c>
      <c r="E132" s="23" t="s">
        <v>265</v>
      </c>
      <c r="F132" s="22" t="s">
        <v>142</v>
      </c>
      <c r="G132" s="22" t="s">
        <v>266</v>
      </c>
      <c r="H132" s="22" t="s">
        <v>30</v>
      </c>
      <c r="I132" s="22" t="s">
        <v>267</v>
      </c>
      <c r="J132" s="22" t="s">
        <v>268</v>
      </c>
      <c r="K132" s="519" t="s">
        <v>969</v>
      </c>
      <c r="L132" s="521" t="s">
        <v>1072</v>
      </c>
      <c r="M132" s="521" t="s">
        <v>1073</v>
      </c>
      <c r="N132" s="521" t="s">
        <v>885</v>
      </c>
      <c r="O132" s="22" t="s">
        <v>174</v>
      </c>
      <c r="P132" s="426">
        <v>2021</v>
      </c>
      <c r="Q132" s="414">
        <f t="shared" ref="Q132:Q195" ca="1" si="6">SUMIF(INDIRECT("'"&amp;K132&amp;"'!c:c"),A132,INDIRECT("'"&amp;K132&amp;"'!i:i"))</f>
        <v>6.6527950619742149E-2</v>
      </c>
      <c r="R132" s="335">
        <f t="shared" ref="R132:R195" ca="1" si="7">IF($N132 = "N","N/A",SUMIF(INDIRECT("'"&amp;K132&amp;"'!j:j"),L132,INDIRECT("'"&amp;K132&amp;"'!q:q")))</f>
        <v>729.01328289113451</v>
      </c>
      <c r="S132" s="335">
        <f t="shared" ref="S132:S195" ca="1" si="8">IF($N132 = "N","N/A",SUMIF(INDIRECT("'"&amp;K132&amp;"'!j:j"),M132,INDIRECT("'"&amp;K132&amp;"'!q:q")))</f>
        <v>10958</v>
      </c>
      <c r="T132" s="429" t="s">
        <v>269</v>
      </c>
      <c r="U132" s="22"/>
      <c r="V132" s="24"/>
      <c r="W132" s="21"/>
      <c r="Y132" s="490"/>
    </row>
    <row r="133" spans="1:25" ht="30">
      <c r="A133" s="31">
        <v>130</v>
      </c>
      <c r="B133" s="22" t="s">
        <v>39</v>
      </c>
      <c r="C133" s="22" t="s">
        <v>216</v>
      </c>
      <c r="D133" s="22" t="s">
        <v>264</v>
      </c>
      <c r="E133" s="23" t="s">
        <v>270</v>
      </c>
      <c r="F133" s="22" t="s">
        <v>142</v>
      </c>
      <c r="G133" s="22" t="s">
        <v>271</v>
      </c>
      <c r="H133" s="22" t="s">
        <v>30</v>
      </c>
      <c r="I133" s="22" t="s">
        <v>272</v>
      </c>
      <c r="J133" s="22" t="s">
        <v>273</v>
      </c>
      <c r="K133" s="519" t="s">
        <v>969</v>
      </c>
      <c r="L133" s="521" t="s">
        <v>1074</v>
      </c>
      <c r="M133" s="521" t="s">
        <v>1075</v>
      </c>
      <c r="N133" s="521" t="s">
        <v>885</v>
      </c>
      <c r="O133" s="22" t="s">
        <v>174</v>
      </c>
      <c r="P133" s="426">
        <v>2021</v>
      </c>
      <c r="Q133" s="720">
        <f t="shared" ca="1" si="6"/>
        <v>1.2808383679580681E-2</v>
      </c>
      <c r="R133" s="335">
        <f t="shared" ca="1" si="7"/>
        <v>15</v>
      </c>
      <c r="S133" s="335">
        <f t="shared" ca="1" si="8"/>
        <v>1171.1079536064512</v>
      </c>
      <c r="T133" s="429" t="s">
        <v>274</v>
      </c>
      <c r="U133" s="22"/>
      <c r="V133" s="24"/>
      <c r="W133" s="21"/>
      <c r="Y133" s="490"/>
    </row>
    <row r="134" spans="1:25" ht="30">
      <c r="A134" s="31">
        <v>131</v>
      </c>
      <c r="B134" s="22" t="s">
        <v>39</v>
      </c>
      <c r="C134" s="22" t="s">
        <v>216</v>
      </c>
      <c r="D134" s="22" t="s">
        <v>275</v>
      </c>
      <c r="E134" s="23" t="s">
        <v>91</v>
      </c>
      <c r="F134" s="22" t="s">
        <v>92</v>
      </c>
      <c r="G134" s="22" t="s">
        <v>93</v>
      </c>
      <c r="H134" s="22" t="s">
        <v>30</v>
      </c>
      <c r="I134" s="22" t="s">
        <v>276</v>
      </c>
      <c r="J134" s="22" t="s">
        <v>92</v>
      </c>
      <c r="K134" s="519" t="s">
        <v>969</v>
      </c>
      <c r="L134" s="521" t="s">
        <v>1076</v>
      </c>
      <c r="M134" s="521" t="s">
        <v>1077</v>
      </c>
      <c r="N134" s="521" t="s">
        <v>885</v>
      </c>
      <c r="O134" s="22" t="s">
        <v>174</v>
      </c>
      <c r="P134" s="426">
        <v>2021</v>
      </c>
      <c r="Q134" s="414">
        <f t="shared" ca="1" si="6"/>
        <v>314.51790204819781</v>
      </c>
      <c r="R134" s="335">
        <f t="shared" ca="1" si="7"/>
        <v>1683840.0307389351</v>
      </c>
      <c r="S134" s="335">
        <f t="shared" ca="1" si="8"/>
        <v>5353.7176096287758</v>
      </c>
      <c r="T134" s="429"/>
      <c r="U134" s="22"/>
      <c r="V134" s="24"/>
      <c r="W134" s="21"/>
      <c r="Y134" s="490"/>
    </row>
    <row r="135" spans="1:25" ht="30">
      <c r="A135" s="31">
        <v>132</v>
      </c>
      <c r="B135" s="22" t="s">
        <v>39</v>
      </c>
      <c r="C135" s="22" t="s">
        <v>216</v>
      </c>
      <c r="D135" s="22" t="s">
        <v>275</v>
      </c>
      <c r="E135" s="23" t="s">
        <v>91</v>
      </c>
      <c r="F135" s="22" t="s">
        <v>95</v>
      </c>
      <c r="G135" s="22" t="s">
        <v>93</v>
      </c>
      <c r="H135" s="22" t="s">
        <v>30</v>
      </c>
      <c r="I135" s="22" t="s">
        <v>276</v>
      </c>
      <c r="J135" s="22" t="s">
        <v>95</v>
      </c>
      <c r="K135" s="519" t="s">
        <v>969</v>
      </c>
      <c r="L135" s="521" t="s">
        <v>1078</v>
      </c>
      <c r="M135" s="521" t="s">
        <v>1079</v>
      </c>
      <c r="N135" s="521" t="s">
        <v>885</v>
      </c>
      <c r="O135" s="22" t="s">
        <v>174</v>
      </c>
      <c r="P135" s="426">
        <v>2021</v>
      </c>
      <c r="Q135" s="720">
        <f t="shared" ca="1" si="6"/>
        <v>7.6948555799489851E-2</v>
      </c>
      <c r="R135" s="335">
        <f t="shared" ca="1" si="7"/>
        <v>1683840.0307389351</v>
      </c>
      <c r="S135" s="335">
        <f t="shared" ca="1" si="8"/>
        <v>21882672.302864697</v>
      </c>
      <c r="T135" s="429"/>
      <c r="U135" s="22"/>
      <c r="V135" s="24"/>
      <c r="W135" s="21"/>
      <c r="Y135" s="490"/>
    </row>
    <row r="136" spans="1:25" ht="30">
      <c r="A136" s="31">
        <v>133</v>
      </c>
      <c r="B136" s="22" t="s">
        <v>39</v>
      </c>
      <c r="C136" s="22" t="s">
        <v>216</v>
      </c>
      <c r="D136" s="22" t="s">
        <v>275</v>
      </c>
      <c r="E136" s="23" t="s">
        <v>91</v>
      </c>
      <c r="F136" s="22" t="s">
        <v>96</v>
      </c>
      <c r="G136" s="22" t="s">
        <v>93</v>
      </c>
      <c r="H136" s="22" t="s">
        <v>30</v>
      </c>
      <c r="I136" s="22" t="s">
        <v>276</v>
      </c>
      <c r="J136" s="22" t="s">
        <v>96</v>
      </c>
      <c r="K136" s="519" t="s">
        <v>969</v>
      </c>
      <c r="L136" s="521" t="s">
        <v>1080</v>
      </c>
      <c r="M136" s="521" t="s">
        <v>1081</v>
      </c>
      <c r="N136" s="521" t="s">
        <v>885</v>
      </c>
      <c r="O136" s="22" t="s">
        <v>174</v>
      </c>
      <c r="P136" s="426">
        <v>2021</v>
      </c>
      <c r="Q136" s="414">
        <f t="shared" ca="1" si="6"/>
        <v>0.76782934028676175</v>
      </c>
      <c r="R136" s="335">
        <f t="shared" ca="1" si="7"/>
        <v>4692770.1709432621</v>
      </c>
      <c r="S136" s="335">
        <f t="shared" ca="1" si="8"/>
        <v>6111735.9349548295</v>
      </c>
      <c r="T136" s="429" t="s">
        <v>48</v>
      </c>
      <c r="U136" s="22" t="s">
        <v>49</v>
      </c>
      <c r="V136" s="24"/>
      <c r="W136" s="21"/>
      <c r="Y136" s="490"/>
    </row>
    <row r="137" spans="1:25" ht="30">
      <c r="A137" s="31">
        <v>134</v>
      </c>
      <c r="B137" s="22" t="s">
        <v>39</v>
      </c>
      <c r="C137" s="22" t="s">
        <v>216</v>
      </c>
      <c r="D137" s="22" t="s">
        <v>275</v>
      </c>
      <c r="E137" s="23" t="s">
        <v>91</v>
      </c>
      <c r="F137" s="22" t="s">
        <v>97</v>
      </c>
      <c r="G137" s="22" t="s">
        <v>93</v>
      </c>
      <c r="H137" s="22" t="s">
        <v>30</v>
      </c>
      <c r="I137" s="22" t="s">
        <v>276</v>
      </c>
      <c r="J137" s="22" t="s">
        <v>97</v>
      </c>
      <c r="K137" s="519" t="s">
        <v>969</v>
      </c>
      <c r="L137" s="521" t="s">
        <v>1082</v>
      </c>
      <c r="M137" s="521" t="s">
        <v>1083</v>
      </c>
      <c r="N137" s="521" t="s">
        <v>885</v>
      </c>
      <c r="O137" s="22" t="s">
        <v>174</v>
      </c>
      <c r="P137" s="426">
        <v>2021</v>
      </c>
      <c r="Q137" s="414">
        <f t="shared" ca="1" si="6"/>
        <v>325.70631405801606</v>
      </c>
      <c r="R137" s="335">
        <f t="shared" ca="1" si="7"/>
        <v>1743739.6291396811</v>
      </c>
      <c r="S137" s="335">
        <f t="shared" ca="1" si="8"/>
        <v>5353.7176096287758</v>
      </c>
      <c r="T137" s="429"/>
      <c r="U137" s="22"/>
      <c r="V137" s="24"/>
      <c r="W137" s="21"/>
      <c r="Y137" s="490"/>
    </row>
    <row r="138" spans="1:25" ht="30">
      <c r="A138" s="31">
        <v>135</v>
      </c>
      <c r="B138" s="22" t="s">
        <v>39</v>
      </c>
      <c r="C138" s="22" t="s">
        <v>216</v>
      </c>
      <c r="D138" s="22" t="s">
        <v>275</v>
      </c>
      <c r="E138" s="23" t="s">
        <v>91</v>
      </c>
      <c r="F138" s="22" t="s">
        <v>98</v>
      </c>
      <c r="G138" s="22" t="s">
        <v>93</v>
      </c>
      <c r="H138" s="22" t="s">
        <v>30</v>
      </c>
      <c r="I138" s="22" t="s">
        <v>276</v>
      </c>
      <c r="J138" s="22" t="s">
        <v>98</v>
      </c>
      <c r="K138" s="519" t="s">
        <v>969</v>
      </c>
      <c r="L138" s="521" t="s">
        <v>1084</v>
      </c>
      <c r="M138" s="521" t="s">
        <v>1085</v>
      </c>
      <c r="N138" s="521" t="s">
        <v>885</v>
      </c>
      <c r="O138" s="22" t="s">
        <v>174</v>
      </c>
      <c r="P138" s="426">
        <v>2021</v>
      </c>
      <c r="Q138" s="720">
        <f t="shared" ca="1" si="6"/>
        <v>7.9685863088641382E-2</v>
      </c>
      <c r="R138" s="335">
        <f t="shared" ca="1" si="7"/>
        <v>1743739.6291396811</v>
      </c>
      <c r="S138" s="335">
        <f t="shared" ca="1" si="8"/>
        <v>21882672.302864697</v>
      </c>
      <c r="T138" s="429"/>
      <c r="U138" s="22"/>
      <c r="V138" s="24"/>
      <c r="W138" s="21"/>
      <c r="Y138" s="490"/>
    </row>
    <row r="139" spans="1:25" ht="30">
      <c r="A139" s="31">
        <v>136</v>
      </c>
      <c r="B139" s="22" t="s">
        <v>39</v>
      </c>
      <c r="C139" s="22" t="s">
        <v>216</v>
      </c>
      <c r="D139" s="22" t="s">
        <v>275</v>
      </c>
      <c r="E139" s="23" t="s">
        <v>91</v>
      </c>
      <c r="F139" s="22" t="s">
        <v>99</v>
      </c>
      <c r="G139" s="22" t="s">
        <v>93</v>
      </c>
      <c r="H139" s="22" t="s">
        <v>30</v>
      </c>
      <c r="I139" s="22" t="s">
        <v>276</v>
      </c>
      <c r="J139" s="22" t="s">
        <v>99</v>
      </c>
      <c r="K139" s="519" t="s">
        <v>969</v>
      </c>
      <c r="L139" s="521" t="s">
        <v>1086</v>
      </c>
      <c r="M139" s="521" t="s">
        <v>1087</v>
      </c>
      <c r="N139" s="521" t="s">
        <v>885</v>
      </c>
      <c r="O139" s="22" t="s">
        <v>174</v>
      </c>
      <c r="P139" s="426">
        <v>2021</v>
      </c>
      <c r="Q139" s="414">
        <f t="shared" ca="1" si="6"/>
        <v>0.79514349619461455</v>
      </c>
      <c r="R139" s="335">
        <f t="shared" ca="1" si="7"/>
        <v>4859707.0791382445</v>
      </c>
      <c r="S139" s="335">
        <f t="shared" ca="1" si="8"/>
        <v>6111735.9349548295</v>
      </c>
      <c r="T139" s="429" t="s">
        <v>48</v>
      </c>
      <c r="U139" s="22" t="s">
        <v>49</v>
      </c>
      <c r="V139" s="24"/>
      <c r="W139" s="21"/>
      <c r="Y139" s="490"/>
    </row>
    <row r="140" spans="1:25" ht="30">
      <c r="A140" s="31">
        <v>137</v>
      </c>
      <c r="B140" s="22" t="s">
        <v>39</v>
      </c>
      <c r="C140" s="22" t="s">
        <v>216</v>
      </c>
      <c r="D140" s="22" t="s">
        <v>277</v>
      </c>
      <c r="E140" s="23" t="s">
        <v>278</v>
      </c>
      <c r="F140" s="22" t="s">
        <v>279</v>
      </c>
      <c r="G140" s="22" t="s">
        <v>280</v>
      </c>
      <c r="H140" s="22" t="s">
        <v>164</v>
      </c>
      <c r="I140" s="22" t="s">
        <v>281</v>
      </c>
      <c r="J140" s="22" t="s">
        <v>282</v>
      </c>
      <c r="K140" s="519" t="s">
        <v>969</v>
      </c>
      <c r="L140" s="521" t="s">
        <v>1088</v>
      </c>
      <c r="M140" s="521" t="s">
        <v>1089</v>
      </c>
      <c r="N140" s="521" t="s">
        <v>885</v>
      </c>
      <c r="O140" s="22" t="s">
        <v>174</v>
      </c>
      <c r="P140" s="426">
        <v>2021</v>
      </c>
      <c r="Q140" s="414">
        <f t="shared" ca="1" si="6"/>
        <v>23727.45633042348</v>
      </c>
      <c r="R140" s="335">
        <f t="shared" ca="1" si="7"/>
        <v>10948892358.935932</v>
      </c>
      <c r="S140" s="335">
        <f t="shared" ca="1" si="8"/>
        <v>461444</v>
      </c>
      <c r="T140" s="429" t="s">
        <v>283</v>
      </c>
      <c r="U140" s="22"/>
      <c r="V140" s="24"/>
      <c r="W140" s="21"/>
      <c r="Y140" s="490"/>
    </row>
    <row r="141" spans="1:25" ht="45">
      <c r="A141" s="31">
        <v>138</v>
      </c>
      <c r="B141" s="22" t="s">
        <v>39</v>
      </c>
      <c r="C141" s="22" t="s">
        <v>216</v>
      </c>
      <c r="D141" s="22" t="s">
        <v>277</v>
      </c>
      <c r="E141" s="23" t="s">
        <v>284</v>
      </c>
      <c r="F141" s="22" t="s">
        <v>285</v>
      </c>
      <c r="G141" s="22" t="s">
        <v>286</v>
      </c>
      <c r="H141" s="22" t="s">
        <v>164</v>
      </c>
      <c r="I141" s="22" t="s">
        <v>287</v>
      </c>
      <c r="J141" s="22" t="s">
        <v>288</v>
      </c>
      <c r="K141" s="519" t="s">
        <v>969</v>
      </c>
      <c r="L141" s="521" t="s">
        <v>1090</v>
      </c>
      <c r="M141" s="521" t="s">
        <v>1091</v>
      </c>
      <c r="N141" s="521" t="s">
        <v>885</v>
      </c>
      <c r="O141" s="22" t="s">
        <v>174</v>
      </c>
      <c r="P141" s="426">
        <v>2021</v>
      </c>
      <c r="Q141" s="414">
        <f t="shared" ca="1" si="6"/>
        <v>2.1653090281459644</v>
      </c>
      <c r="R141" s="335">
        <f t="shared" ca="1" si="7"/>
        <v>10948892358.935932</v>
      </c>
      <c r="S141" s="335">
        <f t="shared" ca="1" si="8"/>
        <v>5056503352</v>
      </c>
      <c r="T141" s="429" t="s">
        <v>289</v>
      </c>
      <c r="U141" s="22"/>
      <c r="V141" s="24"/>
      <c r="W141" s="21"/>
      <c r="Y141" s="490"/>
    </row>
    <row r="142" spans="1:25" ht="45">
      <c r="A142" s="31">
        <v>139</v>
      </c>
      <c r="B142" s="22" t="s">
        <v>39</v>
      </c>
      <c r="C142" s="22" t="s">
        <v>290</v>
      </c>
      <c r="D142" s="22" t="s">
        <v>291</v>
      </c>
      <c r="E142" s="23" t="s">
        <v>51</v>
      </c>
      <c r="F142" s="22" t="s">
        <v>52</v>
      </c>
      <c r="G142" s="22" t="s">
        <v>53</v>
      </c>
      <c r="H142" s="22" t="s">
        <v>30</v>
      </c>
      <c r="I142" s="22" t="s">
        <v>292</v>
      </c>
      <c r="J142" s="22" t="s">
        <v>52</v>
      </c>
      <c r="K142" s="519" t="s">
        <v>1092</v>
      </c>
      <c r="L142" s="521" t="s">
        <v>1093</v>
      </c>
      <c r="M142" s="521" t="s">
        <v>1094</v>
      </c>
      <c r="N142" s="521" t="s">
        <v>815</v>
      </c>
      <c r="O142" s="22" t="s">
        <v>293</v>
      </c>
      <c r="P142" s="426">
        <v>2021</v>
      </c>
      <c r="Q142" s="414">
        <f t="shared" ca="1" si="6"/>
        <v>7818.8756722617145</v>
      </c>
      <c r="R142" s="335" t="str">
        <f t="shared" ca="1" si="7"/>
        <v>N/A</v>
      </c>
      <c r="S142" s="335" t="str">
        <f t="shared" ca="1" si="8"/>
        <v>N/A</v>
      </c>
      <c r="T142" s="429" t="s">
        <v>899</v>
      </c>
      <c r="U142" s="22"/>
      <c r="V142" s="24"/>
      <c r="W142" s="21"/>
      <c r="Y142" s="490"/>
    </row>
    <row r="143" spans="1:25" ht="45">
      <c r="A143" s="31">
        <v>140</v>
      </c>
      <c r="B143" s="22" t="s">
        <v>39</v>
      </c>
      <c r="C143" s="22" t="s">
        <v>290</v>
      </c>
      <c r="D143" s="22" t="s">
        <v>291</v>
      </c>
      <c r="E143" s="23" t="s">
        <v>51</v>
      </c>
      <c r="F143" s="22" t="s">
        <v>55</v>
      </c>
      <c r="G143" s="22" t="s">
        <v>53</v>
      </c>
      <c r="H143" s="22" t="s">
        <v>30</v>
      </c>
      <c r="I143" s="22" t="s">
        <v>292</v>
      </c>
      <c r="J143" s="22" t="s">
        <v>55</v>
      </c>
      <c r="K143" s="519" t="s">
        <v>1092</v>
      </c>
      <c r="L143" s="521" t="s">
        <v>1095</v>
      </c>
      <c r="M143" s="521" t="s">
        <v>1096</v>
      </c>
      <c r="N143" s="521" t="s">
        <v>815</v>
      </c>
      <c r="O143" s="22" t="s">
        <v>293</v>
      </c>
      <c r="P143" s="426">
        <v>2021</v>
      </c>
      <c r="Q143" s="414">
        <f t="shared" ca="1" si="6"/>
        <v>5481.604272008688</v>
      </c>
      <c r="R143" s="335" t="str">
        <f t="shared" ca="1" si="7"/>
        <v>N/A</v>
      </c>
      <c r="S143" s="335" t="str">
        <f t="shared" ca="1" si="8"/>
        <v>N/A</v>
      </c>
      <c r="T143" s="429" t="s">
        <v>899</v>
      </c>
      <c r="U143" s="22"/>
      <c r="V143" s="24"/>
      <c r="W143" s="21"/>
      <c r="Y143" s="490"/>
    </row>
    <row r="144" spans="1:25" ht="45">
      <c r="A144" s="31">
        <v>141</v>
      </c>
      <c r="B144" s="22" t="s">
        <v>39</v>
      </c>
      <c r="C144" s="22" t="s">
        <v>290</v>
      </c>
      <c r="D144" s="22" t="s">
        <v>291</v>
      </c>
      <c r="E144" s="23" t="s">
        <v>51</v>
      </c>
      <c r="F144" s="22" t="s">
        <v>56</v>
      </c>
      <c r="G144" s="22" t="s">
        <v>53</v>
      </c>
      <c r="H144" s="22" t="s">
        <v>30</v>
      </c>
      <c r="I144" s="22" t="s">
        <v>292</v>
      </c>
      <c r="J144" s="22" t="s">
        <v>56</v>
      </c>
      <c r="K144" s="519" t="s">
        <v>1092</v>
      </c>
      <c r="L144" s="521" t="s">
        <v>1097</v>
      </c>
      <c r="M144" s="521" t="s">
        <v>1098</v>
      </c>
      <c r="N144" s="521" t="s">
        <v>815</v>
      </c>
      <c r="O144" s="22" t="s">
        <v>293</v>
      </c>
      <c r="P144" s="426">
        <v>2021</v>
      </c>
      <c r="Q144" s="414">
        <f t="shared" ca="1" si="6"/>
        <v>34512884.262785725</v>
      </c>
      <c r="R144" s="335" t="str">
        <f t="shared" ca="1" si="7"/>
        <v>N/A</v>
      </c>
      <c r="S144" s="335" t="str">
        <f t="shared" ca="1" si="8"/>
        <v>N/A</v>
      </c>
      <c r="T144" s="429" t="s">
        <v>899</v>
      </c>
      <c r="U144" s="22"/>
      <c r="V144" s="24"/>
      <c r="W144" s="21"/>
      <c r="Y144" s="490"/>
    </row>
    <row r="145" spans="1:25" ht="45">
      <c r="A145" s="31">
        <v>142</v>
      </c>
      <c r="B145" s="22" t="s">
        <v>39</v>
      </c>
      <c r="C145" s="22" t="s">
        <v>290</v>
      </c>
      <c r="D145" s="22" t="s">
        <v>291</v>
      </c>
      <c r="E145" s="23" t="s">
        <v>51</v>
      </c>
      <c r="F145" s="22" t="s">
        <v>57</v>
      </c>
      <c r="G145" s="22" t="s">
        <v>53</v>
      </c>
      <c r="H145" s="22" t="s">
        <v>30</v>
      </c>
      <c r="I145" s="22" t="s">
        <v>292</v>
      </c>
      <c r="J145" s="22" t="s">
        <v>57</v>
      </c>
      <c r="K145" s="519" t="s">
        <v>1092</v>
      </c>
      <c r="L145" s="521" t="s">
        <v>1099</v>
      </c>
      <c r="M145" s="521" t="s">
        <v>1100</v>
      </c>
      <c r="N145" s="521" t="s">
        <v>815</v>
      </c>
      <c r="O145" s="22" t="s">
        <v>293</v>
      </c>
      <c r="P145" s="426">
        <v>2021</v>
      </c>
      <c r="Q145" s="414">
        <f t="shared" ca="1" si="6"/>
        <v>25244333.751977783</v>
      </c>
      <c r="R145" s="335" t="str">
        <f t="shared" ca="1" si="7"/>
        <v>N/A</v>
      </c>
      <c r="S145" s="335" t="str">
        <f t="shared" ca="1" si="8"/>
        <v>N/A</v>
      </c>
      <c r="T145" s="429" t="s">
        <v>899</v>
      </c>
      <c r="U145" s="22"/>
      <c r="V145" s="24"/>
      <c r="W145" s="21"/>
      <c r="Y145" s="490"/>
    </row>
    <row r="146" spans="1:25" ht="45">
      <c r="A146" s="31">
        <v>143</v>
      </c>
      <c r="B146" s="22" t="s">
        <v>39</v>
      </c>
      <c r="C146" s="22" t="s">
        <v>290</v>
      </c>
      <c r="D146" s="22" t="s">
        <v>291</v>
      </c>
      <c r="E146" s="23" t="s">
        <v>51</v>
      </c>
      <c r="F146" s="22" t="s">
        <v>58</v>
      </c>
      <c r="G146" s="22" t="s">
        <v>53</v>
      </c>
      <c r="H146" s="22" t="s">
        <v>30</v>
      </c>
      <c r="I146" s="22" t="s">
        <v>292</v>
      </c>
      <c r="J146" s="22" t="s">
        <v>58</v>
      </c>
      <c r="K146" s="519" t="s">
        <v>1092</v>
      </c>
      <c r="L146" s="521" t="s">
        <v>1101</v>
      </c>
      <c r="M146" s="521" t="s">
        <v>1102</v>
      </c>
      <c r="N146" s="521" t="s">
        <v>815</v>
      </c>
      <c r="O146" s="22" t="s">
        <v>293</v>
      </c>
      <c r="P146" s="426">
        <v>2021</v>
      </c>
      <c r="Q146" s="414">
        <f t="shared" ca="1" si="6"/>
        <v>1087222.0832761263</v>
      </c>
      <c r="R146" s="335" t="str">
        <f t="shared" ca="1" si="7"/>
        <v>N/A</v>
      </c>
      <c r="S146" s="335" t="str">
        <f t="shared" ca="1" si="8"/>
        <v>N/A</v>
      </c>
      <c r="T146" s="429" t="s">
        <v>899</v>
      </c>
      <c r="U146" s="22" t="s">
        <v>295</v>
      </c>
      <c r="V146" s="24"/>
      <c r="W146" s="21"/>
      <c r="Y146" s="490"/>
    </row>
    <row r="147" spans="1:25" ht="45">
      <c r="A147" s="31">
        <v>144</v>
      </c>
      <c r="B147" s="22" t="s">
        <v>39</v>
      </c>
      <c r="C147" s="22" t="s">
        <v>290</v>
      </c>
      <c r="D147" s="22" t="s">
        <v>291</v>
      </c>
      <c r="E147" s="23" t="s">
        <v>51</v>
      </c>
      <c r="F147" s="22" t="s">
        <v>60</v>
      </c>
      <c r="G147" s="22" t="s">
        <v>53</v>
      </c>
      <c r="H147" s="22" t="s">
        <v>30</v>
      </c>
      <c r="I147" s="22" t="s">
        <v>292</v>
      </c>
      <c r="J147" s="22" t="s">
        <v>60</v>
      </c>
      <c r="K147" s="519" t="s">
        <v>1092</v>
      </c>
      <c r="L147" s="521" t="s">
        <v>1103</v>
      </c>
      <c r="M147" s="521" t="s">
        <v>1104</v>
      </c>
      <c r="N147" s="521" t="s">
        <v>815</v>
      </c>
      <c r="O147" s="22" t="s">
        <v>293</v>
      </c>
      <c r="P147" s="426">
        <v>2021</v>
      </c>
      <c r="Q147" s="414">
        <f t="shared" ca="1" si="6"/>
        <v>879420.95989366865</v>
      </c>
      <c r="R147" s="335" t="str">
        <f t="shared" ca="1" si="7"/>
        <v>N/A</v>
      </c>
      <c r="S147" s="335" t="str">
        <f t="shared" ca="1" si="8"/>
        <v>N/A</v>
      </c>
      <c r="T147" s="429" t="s">
        <v>899</v>
      </c>
      <c r="U147" s="22" t="s">
        <v>49</v>
      </c>
      <c r="V147" s="24"/>
      <c r="W147" s="21"/>
      <c r="Y147" s="490"/>
    </row>
    <row r="148" spans="1:25" ht="45">
      <c r="A148" s="31">
        <v>145</v>
      </c>
      <c r="B148" s="22" t="s">
        <v>39</v>
      </c>
      <c r="C148" s="22" t="s">
        <v>290</v>
      </c>
      <c r="D148" s="22" t="s">
        <v>291</v>
      </c>
      <c r="E148" s="23" t="s">
        <v>51</v>
      </c>
      <c r="F148" s="22" t="s">
        <v>61</v>
      </c>
      <c r="G148" s="22" t="s">
        <v>53</v>
      </c>
      <c r="H148" s="22" t="s">
        <v>30</v>
      </c>
      <c r="I148" s="22" t="s">
        <v>292</v>
      </c>
      <c r="J148" s="22" t="s">
        <v>61</v>
      </c>
      <c r="K148" s="519" t="s">
        <v>1092</v>
      </c>
      <c r="L148" s="521" t="s">
        <v>1105</v>
      </c>
      <c r="M148" s="521" t="s">
        <v>1106</v>
      </c>
      <c r="N148" s="521" t="s">
        <v>815</v>
      </c>
      <c r="O148" s="22" t="s">
        <v>293</v>
      </c>
      <c r="P148" s="426">
        <v>2021</v>
      </c>
      <c r="Q148" s="414">
        <f t="shared" ca="1" si="6"/>
        <v>94902.195308431197</v>
      </c>
      <c r="R148" s="335" t="str">
        <f t="shared" ca="1" si="7"/>
        <v>N/A</v>
      </c>
      <c r="S148" s="335" t="str">
        <f t="shared" ca="1" si="8"/>
        <v>N/A</v>
      </c>
      <c r="T148" s="429" t="s">
        <v>899</v>
      </c>
      <c r="U148" s="22"/>
      <c r="V148" s="24"/>
      <c r="W148" s="21"/>
      <c r="Y148" s="490"/>
    </row>
    <row r="149" spans="1:25" ht="45">
      <c r="A149" s="31">
        <v>146</v>
      </c>
      <c r="B149" s="22" t="s">
        <v>39</v>
      </c>
      <c r="C149" s="22" t="s">
        <v>290</v>
      </c>
      <c r="D149" s="22" t="s">
        <v>291</v>
      </c>
      <c r="E149" s="23" t="s">
        <v>51</v>
      </c>
      <c r="F149" s="22" t="s">
        <v>62</v>
      </c>
      <c r="G149" s="22" t="s">
        <v>53</v>
      </c>
      <c r="H149" s="22" t="s">
        <v>30</v>
      </c>
      <c r="I149" s="22" t="s">
        <v>292</v>
      </c>
      <c r="J149" s="22" t="s">
        <v>62</v>
      </c>
      <c r="K149" s="519" t="s">
        <v>1092</v>
      </c>
      <c r="L149" s="521" t="s">
        <v>1107</v>
      </c>
      <c r="M149" s="521" t="s">
        <v>1108</v>
      </c>
      <c r="N149" s="521" t="s">
        <v>815</v>
      </c>
      <c r="O149" s="22" t="s">
        <v>293</v>
      </c>
      <c r="P149" s="426">
        <v>2021</v>
      </c>
      <c r="Q149" s="414">
        <f t="shared" ca="1" si="6"/>
        <v>66092.405864267959</v>
      </c>
      <c r="R149" s="335" t="str">
        <f t="shared" ca="1" si="7"/>
        <v>N/A</v>
      </c>
      <c r="S149" s="335" t="str">
        <f t="shared" ca="1" si="8"/>
        <v>N/A</v>
      </c>
      <c r="T149" s="429" t="s">
        <v>899</v>
      </c>
      <c r="U149" s="22"/>
      <c r="V149" s="24"/>
      <c r="W149" s="21"/>
      <c r="Y149" s="490"/>
    </row>
    <row r="150" spans="1:25" ht="45">
      <c r="A150" s="31">
        <v>147</v>
      </c>
      <c r="B150" s="22" t="s">
        <v>39</v>
      </c>
      <c r="C150" s="22" t="s">
        <v>290</v>
      </c>
      <c r="D150" s="22" t="s">
        <v>291</v>
      </c>
      <c r="E150" s="23" t="s">
        <v>51</v>
      </c>
      <c r="F150" s="22" t="s">
        <v>63</v>
      </c>
      <c r="G150" s="22" t="s">
        <v>53</v>
      </c>
      <c r="H150" s="22" t="s">
        <v>30</v>
      </c>
      <c r="I150" s="22" t="s">
        <v>292</v>
      </c>
      <c r="J150" s="22" t="s">
        <v>63</v>
      </c>
      <c r="K150" s="519" t="s">
        <v>1092</v>
      </c>
      <c r="L150" s="521" t="s">
        <v>1109</v>
      </c>
      <c r="M150" s="521" t="s">
        <v>1110</v>
      </c>
      <c r="N150" s="521" t="s">
        <v>815</v>
      </c>
      <c r="O150" s="22" t="s">
        <v>293</v>
      </c>
      <c r="P150" s="426">
        <v>2021</v>
      </c>
      <c r="Q150" s="414">
        <f t="shared" ca="1" si="6"/>
        <v>300119439.34740478</v>
      </c>
      <c r="R150" s="335" t="str">
        <f t="shared" ca="1" si="7"/>
        <v>N/A</v>
      </c>
      <c r="S150" s="335" t="str">
        <f t="shared" ca="1" si="8"/>
        <v>N/A</v>
      </c>
      <c r="T150" s="429" t="s">
        <v>899</v>
      </c>
      <c r="U150" s="22"/>
      <c r="V150" s="24"/>
      <c r="W150" s="21"/>
      <c r="Y150" s="490"/>
    </row>
    <row r="151" spans="1:25" ht="45">
      <c r="A151" s="31">
        <v>148</v>
      </c>
      <c r="B151" s="22" t="s">
        <v>39</v>
      </c>
      <c r="C151" s="22" t="s">
        <v>290</v>
      </c>
      <c r="D151" s="22" t="s">
        <v>291</v>
      </c>
      <c r="E151" s="23" t="s">
        <v>51</v>
      </c>
      <c r="F151" s="22" t="s">
        <v>64</v>
      </c>
      <c r="G151" s="22" t="s">
        <v>53</v>
      </c>
      <c r="H151" s="22" t="s">
        <v>30</v>
      </c>
      <c r="I151" s="22" t="s">
        <v>292</v>
      </c>
      <c r="J151" s="22" t="s">
        <v>64</v>
      </c>
      <c r="K151" s="519" t="s">
        <v>1092</v>
      </c>
      <c r="L151" s="521" t="s">
        <v>1111</v>
      </c>
      <c r="M151" s="521" t="s">
        <v>1112</v>
      </c>
      <c r="N151" s="521" t="s">
        <v>815</v>
      </c>
      <c r="O151" s="22" t="s">
        <v>293</v>
      </c>
      <c r="P151" s="426">
        <v>2021</v>
      </c>
      <c r="Q151" s="414">
        <f t="shared" ca="1" si="6"/>
        <v>214835353.18901137</v>
      </c>
      <c r="R151" s="335" t="str">
        <f t="shared" ca="1" si="7"/>
        <v>N/A</v>
      </c>
      <c r="S151" s="335" t="str">
        <f t="shared" ca="1" si="8"/>
        <v>N/A</v>
      </c>
      <c r="T151" s="429" t="s">
        <v>899</v>
      </c>
      <c r="U151" s="22"/>
      <c r="V151" s="24"/>
      <c r="W151" s="21"/>
      <c r="Y151" s="490"/>
    </row>
    <row r="152" spans="1:25" ht="45">
      <c r="A152" s="31">
        <v>149</v>
      </c>
      <c r="B152" s="22" t="s">
        <v>39</v>
      </c>
      <c r="C152" s="22" t="s">
        <v>290</v>
      </c>
      <c r="D152" s="22" t="s">
        <v>291</v>
      </c>
      <c r="E152" s="23" t="s">
        <v>51</v>
      </c>
      <c r="F152" s="22" t="s">
        <v>65</v>
      </c>
      <c r="G152" s="22" t="s">
        <v>53</v>
      </c>
      <c r="H152" s="22" t="s">
        <v>30</v>
      </c>
      <c r="I152" s="22" t="s">
        <v>292</v>
      </c>
      <c r="J152" s="22" t="s">
        <v>65</v>
      </c>
      <c r="K152" s="519" t="s">
        <v>1092</v>
      </c>
      <c r="L152" s="521" t="s">
        <v>1113</v>
      </c>
      <c r="M152" s="521" t="s">
        <v>1114</v>
      </c>
      <c r="N152" s="521" t="s">
        <v>815</v>
      </c>
      <c r="O152" s="22" t="s">
        <v>293</v>
      </c>
      <c r="P152" s="426">
        <v>2021</v>
      </c>
      <c r="Q152" s="414">
        <f t="shared" ca="1" si="6"/>
        <v>14767628.327879146</v>
      </c>
      <c r="R152" s="335" t="str">
        <f t="shared" ca="1" si="7"/>
        <v>N/A</v>
      </c>
      <c r="S152" s="335" t="str">
        <f t="shared" ca="1" si="8"/>
        <v>N/A</v>
      </c>
      <c r="T152" s="429" t="s">
        <v>899</v>
      </c>
      <c r="U152" s="22" t="s">
        <v>49</v>
      </c>
      <c r="V152" s="24"/>
      <c r="W152" s="21"/>
      <c r="Y152" s="490"/>
    </row>
    <row r="153" spans="1:25" ht="45">
      <c r="A153" s="31">
        <v>150</v>
      </c>
      <c r="B153" s="22" t="s">
        <v>39</v>
      </c>
      <c r="C153" s="22" t="s">
        <v>290</v>
      </c>
      <c r="D153" s="22" t="s">
        <v>291</v>
      </c>
      <c r="E153" s="23" t="s">
        <v>51</v>
      </c>
      <c r="F153" s="22" t="s">
        <v>66</v>
      </c>
      <c r="G153" s="22" t="s">
        <v>53</v>
      </c>
      <c r="H153" s="22" t="s">
        <v>30</v>
      </c>
      <c r="I153" s="22" t="s">
        <v>292</v>
      </c>
      <c r="J153" s="22" t="s">
        <v>66</v>
      </c>
      <c r="K153" s="519" t="s">
        <v>1092</v>
      </c>
      <c r="L153" s="521" t="s">
        <v>1115</v>
      </c>
      <c r="M153" s="521" t="s">
        <v>1116</v>
      </c>
      <c r="N153" s="521" t="s">
        <v>815</v>
      </c>
      <c r="O153" s="22" t="s">
        <v>293</v>
      </c>
      <c r="P153" s="426">
        <v>2021</v>
      </c>
      <c r="Q153" s="414">
        <f t="shared" ca="1" si="6"/>
        <v>10026709.644855358</v>
      </c>
      <c r="R153" s="335" t="str">
        <f t="shared" ca="1" si="7"/>
        <v>N/A</v>
      </c>
      <c r="S153" s="335" t="str">
        <f t="shared" ca="1" si="8"/>
        <v>N/A</v>
      </c>
      <c r="T153" s="429" t="s">
        <v>899</v>
      </c>
      <c r="U153" s="22" t="s">
        <v>49</v>
      </c>
      <c r="V153" s="24"/>
      <c r="W153" s="21"/>
      <c r="Y153" s="490"/>
    </row>
    <row r="154" spans="1:25" ht="45">
      <c r="A154" s="31">
        <v>151</v>
      </c>
      <c r="B154" s="22" t="s">
        <v>39</v>
      </c>
      <c r="C154" s="22" t="s">
        <v>290</v>
      </c>
      <c r="D154" s="22" t="s">
        <v>291</v>
      </c>
      <c r="E154" s="23" t="s">
        <v>296</v>
      </c>
      <c r="F154" s="22" t="s">
        <v>297</v>
      </c>
      <c r="G154" s="22" t="s">
        <v>298</v>
      </c>
      <c r="H154" s="22" t="s">
        <v>30</v>
      </c>
      <c r="I154" s="22" t="s">
        <v>299</v>
      </c>
      <c r="J154" s="22" t="s">
        <v>297</v>
      </c>
      <c r="K154" s="519" t="s">
        <v>1092</v>
      </c>
      <c r="L154" s="521" t="s">
        <v>1117</v>
      </c>
      <c r="M154" s="521" t="s">
        <v>1118</v>
      </c>
      <c r="N154" s="521" t="s">
        <v>885</v>
      </c>
      <c r="O154" s="22" t="s">
        <v>293</v>
      </c>
      <c r="P154" s="426">
        <v>2021</v>
      </c>
      <c r="Q154" s="720">
        <f t="shared" ca="1" si="6"/>
        <v>2.2100711460495599E-2</v>
      </c>
      <c r="R154" s="335">
        <f t="shared" ca="1" si="7"/>
        <v>7818.8756722617145</v>
      </c>
      <c r="S154" s="335">
        <f t="shared" ca="1" si="8"/>
        <v>353783.89</v>
      </c>
      <c r="T154" s="429"/>
      <c r="U154" s="22"/>
      <c r="V154" s="24"/>
      <c r="W154" s="21"/>
      <c r="Y154" s="490"/>
    </row>
    <row r="155" spans="1:25" ht="45">
      <c r="A155" s="31">
        <v>152</v>
      </c>
      <c r="B155" s="22" t="s">
        <v>39</v>
      </c>
      <c r="C155" s="22" t="s">
        <v>290</v>
      </c>
      <c r="D155" s="22" t="s">
        <v>291</v>
      </c>
      <c r="E155" s="23" t="s">
        <v>296</v>
      </c>
      <c r="F155" s="22" t="s">
        <v>300</v>
      </c>
      <c r="G155" s="22" t="s">
        <v>298</v>
      </c>
      <c r="H155" s="22" t="s">
        <v>30</v>
      </c>
      <c r="I155" s="22" t="s">
        <v>299</v>
      </c>
      <c r="J155" s="22" t="s">
        <v>300</v>
      </c>
      <c r="K155" s="519" t="s">
        <v>1092</v>
      </c>
      <c r="L155" s="521" t="s">
        <v>1119</v>
      </c>
      <c r="M155" s="521" t="s">
        <v>1120</v>
      </c>
      <c r="N155" s="521" t="s">
        <v>885</v>
      </c>
      <c r="O155" s="22" t="s">
        <v>293</v>
      </c>
      <c r="P155" s="426">
        <v>2021</v>
      </c>
      <c r="Q155" s="720">
        <f t="shared" ca="1" si="6"/>
        <v>1.5494216743472089E-2</v>
      </c>
      <c r="R155" s="335">
        <f t="shared" ca="1" si="7"/>
        <v>5481.604272008688</v>
      </c>
      <c r="S155" s="335">
        <f t="shared" ca="1" si="8"/>
        <v>353783.89</v>
      </c>
      <c r="T155" s="429"/>
      <c r="U155" s="22"/>
      <c r="V155" s="24"/>
      <c r="W155" s="21"/>
      <c r="Y155" s="490"/>
    </row>
    <row r="156" spans="1:25" ht="45">
      <c r="A156" s="31">
        <v>153</v>
      </c>
      <c r="B156" s="22" t="s">
        <v>39</v>
      </c>
      <c r="C156" s="22" t="s">
        <v>290</v>
      </c>
      <c r="D156" s="22" t="s">
        <v>291</v>
      </c>
      <c r="E156" s="23" t="s">
        <v>296</v>
      </c>
      <c r="F156" s="22" t="s">
        <v>301</v>
      </c>
      <c r="G156" s="22" t="s">
        <v>298</v>
      </c>
      <c r="H156" s="22" t="s">
        <v>30</v>
      </c>
      <c r="I156" s="22" t="s">
        <v>299</v>
      </c>
      <c r="J156" s="22" t="s">
        <v>301</v>
      </c>
      <c r="K156" s="519" t="s">
        <v>1092</v>
      </c>
      <c r="L156" s="521" t="s">
        <v>1121</v>
      </c>
      <c r="M156" s="521" t="s">
        <v>1122</v>
      </c>
      <c r="N156" s="521" t="s">
        <v>885</v>
      </c>
      <c r="O156" s="22" t="s">
        <v>293</v>
      </c>
      <c r="P156" s="426">
        <v>2021</v>
      </c>
      <c r="Q156" s="720">
        <f t="shared" ca="1" si="6"/>
        <v>4.5248701608795634E-3</v>
      </c>
      <c r="R156" s="335">
        <f t="shared" ca="1" si="7"/>
        <v>34512884.262785725</v>
      </c>
      <c r="S156" s="335">
        <f t="shared" ca="1" si="8"/>
        <v>7627375601</v>
      </c>
      <c r="T156" s="429"/>
      <c r="U156" s="22"/>
      <c r="V156" s="24"/>
      <c r="W156" s="21"/>
      <c r="Y156" s="490"/>
    </row>
    <row r="157" spans="1:25" ht="45">
      <c r="A157" s="31">
        <v>154</v>
      </c>
      <c r="B157" s="22" t="s">
        <v>39</v>
      </c>
      <c r="C157" s="22" t="s">
        <v>290</v>
      </c>
      <c r="D157" s="22" t="s">
        <v>291</v>
      </c>
      <c r="E157" s="23" t="s">
        <v>296</v>
      </c>
      <c r="F157" s="22" t="s">
        <v>302</v>
      </c>
      <c r="G157" s="22" t="s">
        <v>298</v>
      </c>
      <c r="H157" s="22" t="s">
        <v>30</v>
      </c>
      <c r="I157" s="22" t="s">
        <v>299</v>
      </c>
      <c r="J157" s="22" t="s">
        <v>302</v>
      </c>
      <c r="K157" s="519" t="s">
        <v>1092</v>
      </c>
      <c r="L157" s="521" t="s">
        <v>1123</v>
      </c>
      <c r="M157" s="521" t="s">
        <v>1124</v>
      </c>
      <c r="N157" s="521" t="s">
        <v>885</v>
      </c>
      <c r="O157" s="22" t="s">
        <v>293</v>
      </c>
      <c r="P157" s="426">
        <v>2021</v>
      </c>
      <c r="Q157" s="720">
        <f t="shared" ca="1" si="6"/>
        <v>3.3097011439515425E-3</v>
      </c>
      <c r="R157" s="335">
        <f t="shared" ca="1" si="7"/>
        <v>25244333.751977783</v>
      </c>
      <c r="S157" s="335">
        <f t="shared" ca="1" si="8"/>
        <v>7627375601</v>
      </c>
      <c r="T157" s="429"/>
      <c r="U157" s="22"/>
      <c r="V157" s="24"/>
      <c r="W157" s="21"/>
      <c r="Y157" s="490"/>
    </row>
    <row r="158" spans="1:25" ht="45">
      <c r="A158" s="31">
        <v>155</v>
      </c>
      <c r="B158" s="22" t="s">
        <v>39</v>
      </c>
      <c r="C158" s="22" t="s">
        <v>290</v>
      </c>
      <c r="D158" s="22" t="s">
        <v>291</v>
      </c>
      <c r="E158" s="23" t="s">
        <v>296</v>
      </c>
      <c r="F158" s="22" t="s">
        <v>303</v>
      </c>
      <c r="G158" s="22" t="s">
        <v>298</v>
      </c>
      <c r="H158" s="22" t="s">
        <v>30</v>
      </c>
      <c r="I158" s="22" t="s">
        <v>299</v>
      </c>
      <c r="J158" s="22" t="s">
        <v>303</v>
      </c>
      <c r="K158" s="519" t="s">
        <v>1092</v>
      </c>
      <c r="L158" s="521" t="s">
        <v>1125</v>
      </c>
      <c r="M158" s="521" t="s">
        <v>1126</v>
      </c>
      <c r="N158" s="521" t="s">
        <v>885</v>
      </c>
      <c r="O158" s="22" t="s">
        <v>293</v>
      </c>
      <c r="P158" s="426">
        <v>2021</v>
      </c>
      <c r="Q158" s="720">
        <f t="shared" ca="1" si="6"/>
        <v>6.3497820102913103E-3</v>
      </c>
      <c r="R158" s="335">
        <f t="shared" ca="1" si="7"/>
        <v>1087222.0832761263</v>
      </c>
      <c r="S158" s="335">
        <f t="shared" ca="1" si="8"/>
        <v>171221954</v>
      </c>
      <c r="T158" s="429" t="s">
        <v>304</v>
      </c>
      <c r="U158" s="22" t="s">
        <v>49</v>
      </c>
      <c r="V158" s="24"/>
      <c r="W158" s="21"/>
      <c r="Y158" s="490"/>
    </row>
    <row r="159" spans="1:25" ht="45">
      <c r="A159" s="31">
        <v>156</v>
      </c>
      <c r="B159" s="22" t="s">
        <v>39</v>
      </c>
      <c r="C159" s="22" t="s">
        <v>290</v>
      </c>
      <c r="D159" s="22" t="s">
        <v>291</v>
      </c>
      <c r="E159" s="23" t="s">
        <v>296</v>
      </c>
      <c r="F159" s="22" t="s">
        <v>305</v>
      </c>
      <c r="G159" s="22" t="s">
        <v>298</v>
      </c>
      <c r="H159" s="22" t="s">
        <v>30</v>
      </c>
      <c r="I159" s="22" t="s">
        <v>299</v>
      </c>
      <c r="J159" s="22" t="s">
        <v>305</v>
      </c>
      <c r="K159" s="519" t="s">
        <v>1092</v>
      </c>
      <c r="L159" s="521" t="s">
        <v>1127</v>
      </c>
      <c r="M159" s="521" t="s">
        <v>1128</v>
      </c>
      <c r="N159" s="521" t="s">
        <v>885</v>
      </c>
      <c r="O159" s="22" t="s">
        <v>293</v>
      </c>
      <c r="P159" s="426">
        <v>2021</v>
      </c>
      <c r="Q159" s="720">
        <f t="shared" ca="1" si="6"/>
        <v>5.1361460335493467E-3</v>
      </c>
      <c r="R159" s="335">
        <f t="shared" ca="1" si="7"/>
        <v>879420.95989366865</v>
      </c>
      <c r="S159" s="335">
        <f t="shared" ca="1" si="8"/>
        <v>171575737.88999999</v>
      </c>
      <c r="T159" s="429" t="s">
        <v>304</v>
      </c>
      <c r="U159" s="22" t="s">
        <v>49</v>
      </c>
      <c r="V159" s="24"/>
      <c r="W159" s="21"/>
      <c r="Y159" s="490"/>
    </row>
    <row r="160" spans="1:25" ht="45">
      <c r="A160" s="31">
        <v>157</v>
      </c>
      <c r="B160" s="22" t="s">
        <v>39</v>
      </c>
      <c r="C160" s="22" t="s">
        <v>290</v>
      </c>
      <c r="D160" s="22" t="s">
        <v>291</v>
      </c>
      <c r="E160" s="23" t="s">
        <v>296</v>
      </c>
      <c r="F160" s="22" t="s">
        <v>306</v>
      </c>
      <c r="G160" s="22" t="s">
        <v>298</v>
      </c>
      <c r="H160" s="22" t="s">
        <v>30</v>
      </c>
      <c r="I160" s="22" t="s">
        <v>299</v>
      </c>
      <c r="J160" s="22" t="s">
        <v>306</v>
      </c>
      <c r="K160" s="519" t="s">
        <v>1092</v>
      </c>
      <c r="L160" s="521" t="s">
        <v>1129</v>
      </c>
      <c r="M160" s="521" t="s">
        <v>1130</v>
      </c>
      <c r="N160" s="521" t="s">
        <v>885</v>
      </c>
      <c r="O160" s="22" t="s">
        <v>293</v>
      </c>
      <c r="P160" s="426">
        <v>2021</v>
      </c>
      <c r="Q160" s="720">
        <f t="shared" ca="1" si="6"/>
        <v>0.2682490582271318</v>
      </c>
      <c r="R160" s="335">
        <f t="shared" ca="1" si="7"/>
        <v>94902.195308431197</v>
      </c>
      <c r="S160" s="335">
        <f t="shared" ca="1" si="8"/>
        <v>0</v>
      </c>
      <c r="T160" s="429"/>
      <c r="U160" s="22"/>
      <c r="V160" s="24"/>
      <c r="W160" s="21"/>
      <c r="Y160" s="490"/>
    </row>
    <row r="161" spans="1:25" ht="45">
      <c r="A161" s="31">
        <v>158</v>
      </c>
      <c r="B161" s="22" t="s">
        <v>39</v>
      </c>
      <c r="C161" s="22" t="s">
        <v>290</v>
      </c>
      <c r="D161" s="22" t="s">
        <v>291</v>
      </c>
      <c r="E161" s="23" t="s">
        <v>296</v>
      </c>
      <c r="F161" s="22" t="s">
        <v>307</v>
      </c>
      <c r="G161" s="22" t="s">
        <v>298</v>
      </c>
      <c r="H161" s="22" t="s">
        <v>30</v>
      </c>
      <c r="I161" s="22" t="s">
        <v>299</v>
      </c>
      <c r="J161" s="22" t="s">
        <v>307</v>
      </c>
      <c r="K161" s="519" t="s">
        <v>1092</v>
      </c>
      <c r="L161" s="521" t="s">
        <v>1131</v>
      </c>
      <c r="M161" s="521" t="s">
        <v>1132</v>
      </c>
      <c r="N161" s="521" t="s">
        <v>885</v>
      </c>
      <c r="O161" s="22" t="s">
        <v>293</v>
      </c>
      <c r="P161" s="426">
        <v>2021</v>
      </c>
      <c r="Q161" s="720">
        <f t="shared" ca="1" si="6"/>
        <v>0.18681575880763807</v>
      </c>
      <c r="R161" s="335">
        <f t="shared" ca="1" si="7"/>
        <v>66092.405864267959</v>
      </c>
      <c r="S161" s="335">
        <f t="shared" ca="1" si="8"/>
        <v>353783.89</v>
      </c>
      <c r="T161" s="429"/>
      <c r="U161" s="22"/>
      <c r="V161" s="24"/>
      <c r="W161" s="21"/>
      <c r="Y161" s="490"/>
    </row>
    <row r="162" spans="1:25" ht="45">
      <c r="A162" s="31">
        <v>159</v>
      </c>
      <c r="B162" s="22" t="s">
        <v>39</v>
      </c>
      <c r="C162" s="22" t="s">
        <v>290</v>
      </c>
      <c r="D162" s="22" t="s">
        <v>291</v>
      </c>
      <c r="E162" s="23" t="s">
        <v>296</v>
      </c>
      <c r="F162" s="22" t="s">
        <v>308</v>
      </c>
      <c r="G162" s="22" t="s">
        <v>298</v>
      </c>
      <c r="H162" s="22" t="s">
        <v>30</v>
      </c>
      <c r="I162" s="22" t="s">
        <v>299</v>
      </c>
      <c r="J162" s="22" t="s">
        <v>308</v>
      </c>
      <c r="K162" s="519" t="s">
        <v>1092</v>
      </c>
      <c r="L162" s="521" t="s">
        <v>1133</v>
      </c>
      <c r="M162" s="521" t="s">
        <v>1134</v>
      </c>
      <c r="N162" s="521" t="s">
        <v>885</v>
      </c>
      <c r="O162" s="22" t="s">
        <v>293</v>
      </c>
      <c r="P162" s="426">
        <v>2021</v>
      </c>
      <c r="Q162" s="720">
        <f t="shared" ca="1" si="6"/>
        <v>3.9347667539547562E-2</v>
      </c>
      <c r="R162" s="335">
        <f t="shared" ca="1" si="7"/>
        <v>300119439.34740478</v>
      </c>
      <c r="S162" s="335">
        <f t="shared" ca="1" si="8"/>
        <v>7627375601</v>
      </c>
      <c r="T162" s="429"/>
      <c r="U162" s="22"/>
      <c r="V162" s="24"/>
      <c r="W162" s="21"/>
      <c r="Y162" s="490"/>
    </row>
    <row r="163" spans="1:25" ht="45">
      <c r="A163" s="31">
        <v>160</v>
      </c>
      <c r="B163" s="22" t="s">
        <v>39</v>
      </c>
      <c r="C163" s="22" t="s">
        <v>290</v>
      </c>
      <c r="D163" s="22" t="s">
        <v>291</v>
      </c>
      <c r="E163" s="23" t="s">
        <v>296</v>
      </c>
      <c r="F163" s="22" t="s">
        <v>309</v>
      </c>
      <c r="G163" s="22" t="s">
        <v>298</v>
      </c>
      <c r="H163" s="22" t="s">
        <v>30</v>
      </c>
      <c r="I163" s="22" t="s">
        <v>299</v>
      </c>
      <c r="J163" s="22" t="s">
        <v>309</v>
      </c>
      <c r="K163" s="519" t="s">
        <v>1092</v>
      </c>
      <c r="L163" s="521" t="s">
        <v>1135</v>
      </c>
      <c r="M163" s="521" t="s">
        <v>1136</v>
      </c>
      <c r="N163" s="521" t="s">
        <v>885</v>
      </c>
      <c r="O163" s="22" t="s">
        <v>293</v>
      </c>
      <c r="P163" s="426">
        <v>2021</v>
      </c>
      <c r="Q163" s="720">
        <f t="shared" ca="1" si="6"/>
        <v>2.8166352940694965E-2</v>
      </c>
      <c r="R163" s="335">
        <f t="shared" ca="1" si="7"/>
        <v>214835353.18901137</v>
      </c>
      <c r="S163" s="335">
        <f t="shared" ca="1" si="8"/>
        <v>7627375601</v>
      </c>
      <c r="T163" s="429"/>
      <c r="U163" s="22"/>
      <c r="V163" s="24"/>
      <c r="W163" s="21"/>
      <c r="Y163" s="490"/>
    </row>
    <row r="164" spans="1:25" ht="45">
      <c r="A164" s="31">
        <v>161</v>
      </c>
      <c r="B164" s="22" t="s">
        <v>39</v>
      </c>
      <c r="C164" s="22" t="s">
        <v>290</v>
      </c>
      <c r="D164" s="22" t="s">
        <v>291</v>
      </c>
      <c r="E164" s="23" t="s">
        <v>296</v>
      </c>
      <c r="F164" s="22" t="s">
        <v>310</v>
      </c>
      <c r="G164" s="22" t="s">
        <v>298</v>
      </c>
      <c r="H164" s="22" t="s">
        <v>30</v>
      </c>
      <c r="I164" s="22" t="s">
        <v>299</v>
      </c>
      <c r="J164" s="22" t="s">
        <v>310</v>
      </c>
      <c r="K164" s="519" t="s">
        <v>1092</v>
      </c>
      <c r="L164" s="521" t="s">
        <v>1137</v>
      </c>
      <c r="M164" s="521" t="s">
        <v>1138</v>
      </c>
      <c r="N164" s="521" t="s">
        <v>885</v>
      </c>
      <c r="O164" s="22" t="s">
        <v>293</v>
      </c>
      <c r="P164" s="426">
        <v>2021</v>
      </c>
      <c r="Q164" s="720">
        <f t="shared" ca="1" si="6"/>
        <v>8.6248451106212376E-2</v>
      </c>
      <c r="R164" s="335">
        <f t="shared" ca="1" si="7"/>
        <v>14767628.327879146</v>
      </c>
      <c r="S164" s="335">
        <f t="shared" ca="1" si="8"/>
        <v>171221954</v>
      </c>
      <c r="T164" s="429" t="s">
        <v>304</v>
      </c>
      <c r="U164" s="22" t="s">
        <v>49</v>
      </c>
      <c r="V164" s="24"/>
      <c r="W164" s="21"/>
      <c r="Y164" s="490"/>
    </row>
    <row r="165" spans="1:25" ht="45">
      <c r="A165" s="31">
        <v>162</v>
      </c>
      <c r="B165" s="22" t="s">
        <v>39</v>
      </c>
      <c r="C165" s="22" t="s">
        <v>290</v>
      </c>
      <c r="D165" s="22" t="s">
        <v>291</v>
      </c>
      <c r="E165" s="23" t="s">
        <v>296</v>
      </c>
      <c r="F165" s="22" t="s">
        <v>311</v>
      </c>
      <c r="G165" s="22" t="s">
        <v>298</v>
      </c>
      <c r="H165" s="22" t="s">
        <v>30</v>
      </c>
      <c r="I165" s="22" t="s">
        <v>299</v>
      </c>
      <c r="J165" s="22" t="s">
        <v>311</v>
      </c>
      <c r="K165" s="519" t="s">
        <v>1092</v>
      </c>
      <c r="L165" s="521" t="s">
        <v>1139</v>
      </c>
      <c r="M165" s="521" t="s">
        <v>1140</v>
      </c>
      <c r="N165" s="521" t="s">
        <v>885</v>
      </c>
      <c r="O165" s="22" t="s">
        <v>293</v>
      </c>
      <c r="P165" s="426">
        <v>2021</v>
      </c>
      <c r="Q165" s="720">
        <f t="shared" ca="1" si="6"/>
        <v>5.8559719770838251E-2</v>
      </c>
      <c r="R165" s="335">
        <f t="shared" ca="1" si="7"/>
        <v>10026709.644855358</v>
      </c>
      <c r="S165" s="335">
        <f t="shared" ca="1" si="8"/>
        <v>171221954</v>
      </c>
      <c r="T165" s="429" t="s">
        <v>304</v>
      </c>
      <c r="U165" s="22" t="s">
        <v>49</v>
      </c>
      <c r="V165" s="24"/>
      <c r="W165" s="21"/>
      <c r="Y165" s="490"/>
    </row>
    <row r="166" spans="1:25" ht="30">
      <c r="A166" s="31">
        <v>163</v>
      </c>
      <c r="B166" s="22" t="s">
        <v>39</v>
      </c>
      <c r="C166" s="22" t="s">
        <v>290</v>
      </c>
      <c r="D166" s="22" t="s">
        <v>312</v>
      </c>
      <c r="E166" s="23" t="s">
        <v>42</v>
      </c>
      <c r="F166" s="22" t="s">
        <v>43</v>
      </c>
      <c r="G166" s="22" t="s">
        <v>44</v>
      </c>
      <c r="H166" s="22" t="s">
        <v>30</v>
      </c>
      <c r="I166" s="22" t="s">
        <v>313</v>
      </c>
      <c r="J166" s="22" t="s">
        <v>314</v>
      </c>
      <c r="K166" s="519" t="s">
        <v>1092</v>
      </c>
      <c r="L166" s="521" t="s">
        <v>1141</v>
      </c>
      <c r="M166" s="521" t="s">
        <v>1142</v>
      </c>
      <c r="N166" s="521" t="s">
        <v>815</v>
      </c>
      <c r="O166" s="22" t="s">
        <v>293</v>
      </c>
      <c r="P166" s="426">
        <v>2021</v>
      </c>
      <c r="Q166" s="720">
        <f t="shared" ca="1" si="6"/>
        <v>22508.675050084734</v>
      </c>
      <c r="R166" s="335" t="str">
        <f t="shared" ca="1" si="7"/>
        <v>N/A</v>
      </c>
      <c r="S166" s="335" t="str">
        <f t="shared" ca="1" si="8"/>
        <v>N/A</v>
      </c>
      <c r="T166" s="429" t="s">
        <v>48</v>
      </c>
      <c r="U166" s="22"/>
      <c r="V166" s="24"/>
      <c r="W166" s="21"/>
      <c r="Y166" s="490"/>
    </row>
    <row r="167" spans="1:25" ht="45">
      <c r="A167" s="31">
        <v>164</v>
      </c>
      <c r="B167" s="22" t="s">
        <v>39</v>
      </c>
      <c r="C167" s="22" t="s">
        <v>290</v>
      </c>
      <c r="D167" s="22" t="s">
        <v>315</v>
      </c>
      <c r="E167" s="23" t="s">
        <v>316</v>
      </c>
      <c r="F167" s="22" t="s">
        <v>317</v>
      </c>
      <c r="G167" s="22" t="s">
        <v>318</v>
      </c>
      <c r="H167" s="22" t="s">
        <v>30</v>
      </c>
      <c r="I167" s="22" t="s">
        <v>319</v>
      </c>
      <c r="J167" s="22" t="s">
        <v>317</v>
      </c>
      <c r="K167" s="519" t="s">
        <v>1092</v>
      </c>
      <c r="L167" s="521" t="s">
        <v>1143</v>
      </c>
      <c r="M167" s="521" t="s">
        <v>1144</v>
      </c>
      <c r="N167" s="521" t="s">
        <v>885</v>
      </c>
      <c r="O167" s="22" t="s">
        <v>293</v>
      </c>
      <c r="P167" s="426">
        <v>2021</v>
      </c>
      <c r="Q167" s="720">
        <f t="shared" ca="1" si="6"/>
        <v>0</v>
      </c>
      <c r="R167" s="335">
        <f t="shared" ca="1" si="7"/>
        <v>0</v>
      </c>
      <c r="S167" s="335">
        <f t="shared" ca="1" si="8"/>
        <v>0</v>
      </c>
      <c r="T167" s="429"/>
      <c r="U167" s="22"/>
      <c r="V167" s="24"/>
      <c r="W167" s="21"/>
      <c r="Y167" s="490"/>
    </row>
    <row r="168" spans="1:25" ht="45">
      <c r="A168" s="31">
        <v>165</v>
      </c>
      <c r="B168" s="22" t="s">
        <v>39</v>
      </c>
      <c r="C168" s="22" t="s">
        <v>290</v>
      </c>
      <c r="D168" s="22" t="s">
        <v>315</v>
      </c>
      <c r="E168" s="23" t="s">
        <v>316</v>
      </c>
      <c r="F168" s="22" t="s">
        <v>320</v>
      </c>
      <c r="G168" s="22" t="s">
        <v>318</v>
      </c>
      <c r="H168" s="22" t="s">
        <v>30</v>
      </c>
      <c r="I168" s="22" t="s">
        <v>319</v>
      </c>
      <c r="J168" s="22" t="s">
        <v>320</v>
      </c>
      <c r="K168" s="519" t="s">
        <v>1092</v>
      </c>
      <c r="L168" s="521" t="s">
        <v>1145</v>
      </c>
      <c r="M168" s="521" t="s">
        <v>1146</v>
      </c>
      <c r="N168" s="521" t="s">
        <v>885</v>
      </c>
      <c r="O168" s="22" t="s">
        <v>293</v>
      </c>
      <c r="P168" s="426">
        <v>2021</v>
      </c>
      <c r="Q168" s="414">
        <f t="shared" ca="1" si="6"/>
        <v>0.61871547242889235</v>
      </c>
      <c r="R168" s="335">
        <f t="shared" ca="1" si="7"/>
        <v>300119439.34740478</v>
      </c>
      <c r="S168" s="335">
        <f t="shared" ca="1" si="8"/>
        <v>485068586</v>
      </c>
      <c r="T168" s="429"/>
      <c r="U168" s="22"/>
      <c r="V168" s="24"/>
      <c r="W168" s="21"/>
      <c r="Y168" s="490"/>
    </row>
    <row r="169" spans="1:25" ht="105">
      <c r="A169" s="31">
        <v>166</v>
      </c>
      <c r="B169" s="22" t="s">
        <v>39</v>
      </c>
      <c r="C169" s="22" t="s">
        <v>290</v>
      </c>
      <c r="D169" s="22" t="s">
        <v>315</v>
      </c>
      <c r="E169" s="23" t="s">
        <v>316</v>
      </c>
      <c r="F169" s="22" t="s">
        <v>321</v>
      </c>
      <c r="G169" s="22" t="s">
        <v>318</v>
      </c>
      <c r="H169" s="22" t="s">
        <v>30</v>
      </c>
      <c r="I169" s="22" t="s">
        <v>319</v>
      </c>
      <c r="J169" s="22" t="s">
        <v>321</v>
      </c>
      <c r="K169" s="519" t="s">
        <v>1092</v>
      </c>
      <c r="L169" s="521" t="s">
        <v>1147</v>
      </c>
      <c r="M169" s="521" t="s">
        <v>1148</v>
      </c>
      <c r="N169" s="521" t="s">
        <v>885</v>
      </c>
      <c r="O169" s="22" t="s">
        <v>293</v>
      </c>
      <c r="P169" s="426">
        <v>2021</v>
      </c>
      <c r="Q169" s="720">
        <f t="shared" ca="1" si="6"/>
        <v>0.47211223957217491</v>
      </c>
      <c r="R169" s="335">
        <f t="shared" ca="1" si="7"/>
        <v>1087222.0832761263</v>
      </c>
      <c r="S169" s="335">
        <f t="shared" ca="1" si="8"/>
        <v>2302889</v>
      </c>
      <c r="T169" s="429" t="s">
        <v>322</v>
      </c>
      <c r="U169" s="22"/>
      <c r="V169" s="24" t="s">
        <v>323</v>
      </c>
      <c r="W169" s="21"/>
      <c r="Y169" s="490"/>
    </row>
    <row r="170" spans="1:25" ht="75">
      <c r="A170" s="31">
        <v>167</v>
      </c>
      <c r="B170" s="22" t="s">
        <v>39</v>
      </c>
      <c r="C170" s="22" t="s">
        <v>290</v>
      </c>
      <c r="D170" s="22" t="s">
        <v>324</v>
      </c>
      <c r="E170" s="23" t="s">
        <v>325</v>
      </c>
      <c r="F170" s="22" t="s">
        <v>142</v>
      </c>
      <c r="G170" s="22" t="s">
        <v>143</v>
      </c>
      <c r="H170" s="22" t="s">
        <v>30</v>
      </c>
      <c r="I170" s="22" t="s">
        <v>326</v>
      </c>
      <c r="J170" s="22" t="s">
        <v>327</v>
      </c>
      <c r="K170" s="519" t="s">
        <v>1092</v>
      </c>
      <c r="L170" s="521" t="s">
        <v>1149</v>
      </c>
      <c r="M170" s="521" t="s">
        <v>1150</v>
      </c>
      <c r="N170" s="521" t="s">
        <v>885</v>
      </c>
      <c r="O170" s="22" t="s">
        <v>293</v>
      </c>
      <c r="P170" s="426">
        <v>2021</v>
      </c>
      <c r="Q170" s="720">
        <f t="shared" ca="1" si="6"/>
        <v>6.6784608580274213E-2</v>
      </c>
      <c r="R170" s="335">
        <f t="shared" ca="1" si="7"/>
        <v>151</v>
      </c>
      <c r="S170" s="335">
        <f t="shared" ca="1" si="8"/>
        <v>2261</v>
      </c>
      <c r="T170" s="429" t="s">
        <v>328</v>
      </c>
      <c r="U170" s="22" t="s">
        <v>246</v>
      </c>
      <c r="V170" s="24"/>
      <c r="W170" s="21"/>
      <c r="Y170" s="490"/>
    </row>
    <row r="171" spans="1:25" ht="75">
      <c r="A171" s="31">
        <v>168</v>
      </c>
      <c r="B171" s="22" t="s">
        <v>39</v>
      </c>
      <c r="C171" s="22" t="s">
        <v>290</v>
      </c>
      <c r="D171" s="22" t="s">
        <v>324</v>
      </c>
      <c r="E171" s="23" t="s">
        <v>329</v>
      </c>
      <c r="F171" s="22" t="s">
        <v>142</v>
      </c>
      <c r="G171" s="22" t="s">
        <v>143</v>
      </c>
      <c r="H171" s="22" t="s">
        <v>30</v>
      </c>
      <c r="I171" s="22" t="s">
        <v>326</v>
      </c>
      <c r="J171" s="22" t="s">
        <v>330</v>
      </c>
      <c r="K171" s="519" t="s">
        <v>1092</v>
      </c>
      <c r="L171" s="521" t="s">
        <v>1151</v>
      </c>
      <c r="M171" s="521" t="s">
        <v>1152</v>
      </c>
      <c r="N171" s="521" t="s">
        <v>885</v>
      </c>
      <c r="O171" s="22" t="s">
        <v>293</v>
      </c>
      <c r="P171" s="426">
        <v>2021</v>
      </c>
      <c r="Q171" s="720">
        <f t="shared" ca="1" si="6"/>
        <v>1.082693947144075E-2</v>
      </c>
      <c r="R171" s="335">
        <f t="shared" ca="1" si="7"/>
        <v>254</v>
      </c>
      <c r="S171" s="335">
        <f t="shared" ca="1" si="8"/>
        <v>23460</v>
      </c>
      <c r="T171" s="429" t="s">
        <v>328</v>
      </c>
      <c r="U171" s="22" t="s">
        <v>246</v>
      </c>
      <c r="V171" s="24"/>
      <c r="W171" s="21"/>
      <c r="Y171" s="490"/>
    </row>
    <row r="172" spans="1:25" ht="75">
      <c r="A172" s="31">
        <v>169</v>
      </c>
      <c r="B172" s="22" t="s">
        <v>39</v>
      </c>
      <c r="C172" s="22" t="s">
        <v>290</v>
      </c>
      <c r="D172" s="22" t="s">
        <v>324</v>
      </c>
      <c r="E172" s="23" t="s">
        <v>331</v>
      </c>
      <c r="F172" s="22" t="s">
        <v>142</v>
      </c>
      <c r="G172" s="22" t="s">
        <v>143</v>
      </c>
      <c r="H172" s="22" t="s">
        <v>30</v>
      </c>
      <c r="I172" s="22" t="s">
        <v>332</v>
      </c>
      <c r="J172" s="22" t="s">
        <v>333</v>
      </c>
      <c r="K172" s="519" t="s">
        <v>1092</v>
      </c>
      <c r="L172" s="521" t="s">
        <v>1153</v>
      </c>
      <c r="M172" s="521" t="s">
        <v>1154</v>
      </c>
      <c r="N172" s="521" t="s">
        <v>885</v>
      </c>
      <c r="O172" s="22" t="s">
        <v>293</v>
      </c>
      <c r="P172" s="426">
        <v>2021</v>
      </c>
      <c r="Q172" s="720">
        <f t="shared" ca="1" si="6"/>
        <v>1.18511395650927E-2</v>
      </c>
      <c r="R172" s="335">
        <f t="shared" ca="1" si="7"/>
        <v>1405</v>
      </c>
      <c r="S172" s="335">
        <f t="shared" ca="1" si="8"/>
        <v>118554</v>
      </c>
      <c r="T172" s="429" t="s">
        <v>328</v>
      </c>
      <c r="U172" s="22" t="s">
        <v>246</v>
      </c>
      <c r="V172" s="24"/>
      <c r="W172" s="21"/>
      <c r="Y172" s="490"/>
    </row>
    <row r="173" spans="1:25" ht="120">
      <c r="A173" s="31">
        <v>170</v>
      </c>
      <c r="B173" s="22" t="s">
        <v>39</v>
      </c>
      <c r="C173" s="22" t="s">
        <v>290</v>
      </c>
      <c r="D173" s="22" t="s">
        <v>324</v>
      </c>
      <c r="E173" s="23" t="s">
        <v>252</v>
      </c>
      <c r="F173" s="22" t="s">
        <v>142</v>
      </c>
      <c r="G173" s="22" t="s">
        <v>253</v>
      </c>
      <c r="H173" s="22" t="s">
        <v>30</v>
      </c>
      <c r="I173" s="22" t="s">
        <v>334</v>
      </c>
      <c r="J173" s="22" t="s">
        <v>335</v>
      </c>
      <c r="K173" s="519" t="s">
        <v>1092</v>
      </c>
      <c r="L173" s="521" t="s">
        <v>1155</v>
      </c>
      <c r="M173" s="521" t="s">
        <v>1156</v>
      </c>
      <c r="N173" s="521" t="s">
        <v>885</v>
      </c>
      <c r="O173" s="22" t="s">
        <v>293</v>
      </c>
      <c r="P173" s="426">
        <v>2021</v>
      </c>
      <c r="Q173" s="720">
        <f t="shared" ca="1" si="6"/>
        <v>0.13724660938617642</v>
      </c>
      <c r="R173" s="335">
        <f t="shared" ca="1" si="7"/>
        <v>30335522</v>
      </c>
      <c r="S173" s="335">
        <f t="shared" ca="1" si="8"/>
        <v>221029300</v>
      </c>
      <c r="T173" s="429" t="s">
        <v>336</v>
      </c>
      <c r="U173" s="96" t="s">
        <v>337</v>
      </c>
      <c r="V173" s="24" t="s">
        <v>338</v>
      </c>
      <c r="W173" s="21"/>
      <c r="Y173" s="490"/>
    </row>
    <row r="174" spans="1:25" ht="90">
      <c r="A174" s="31">
        <v>171</v>
      </c>
      <c r="B174" s="22" t="s">
        <v>39</v>
      </c>
      <c r="C174" s="22" t="s">
        <v>290</v>
      </c>
      <c r="D174" s="22" t="s">
        <v>324</v>
      </c>
      <c r="E174" s="23" t="s">
        <v>153</v>
      </c>
      <c r="F174" s="22" t="s">
        <v>142</v>
      </c>
      <c r="G174" s="22" t="s">
        <v>154</v>
      </c>
      <c r="H174" s="22" t="s">
        <v>30</v>
      </c>
      <c r="I174" s="22" t="s">
        <v>339</v>
      </c>
      <c r="J174" s="22" t="s">
        <v>156</v>
      </c>
      <c r="K174" s="519" t="s">
        <v>1092</v>
      </c>
      <c r="L174" s="521" t="s">
        <v>1157</v>
      </c>
      <c r="M174" s="521" t="s">
        <v>1158</v>
      </c>
      <c r="N174" s="521" t="s">
        <v>885</v>
      </c>
      <c r="O174" s="22" t="s">
        <v>293</v>
      </c>
      <c r="P174" s="426">
        <v>2021</v>
      </c>
      <c r="Q174" s="720">
        <f t="shared" ca="1" si="6"/>
        <v>7.7823772915434658E-2</v>
      </c>
      <c r="R174" s="335">
        <f t="shared" ca="1" si="7"/>
        <v>658</v>
      </c>
      <c r="S174" s="335">
        <f t="shared" ca="1" si="8"/>
        <v>8455</v>
      </c>
      <c r="T174" s="429" t="s">
        <v>340</v>
      </c>
      <c r="U174"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74" s="24"/>
      <c r="W174" s="21"/>
      <c r="Y174" s="490"/>
    </row>
    <row r="175" spans="1:25" ht="120">
      <c r="A175" s="31">
        <v>172</v>
      </c>
      <c r="B175" s="22" t="s">
        <v>39</v>
      </c>
      <c r="C175" s="22" t="s">
        <v>290</v>
      </c>
      <c r="D175" s="22" t="s">
        <v>341</v>
      </c>
      <c r="E175" s="23" t="s">
        <v>342</v>
      </c>
      <c r="F175" s="22" t="s">
        <v>142</v>
      </c>
      <c r="G175" s="22" t="s">
        <v>343</v>
      </c>
      <c r="H175" s="22" t="s">
        <v>30</v>
      </c>
      <c r="I175" s="22" t="s">
        <v>344</v>
      </c>
      <c r="J175" s="22" t="s">
        <v>345</v>
      </c>
      <c r="K175" s="519" t="s">
        <v>1092</v>
      </c>
      <c r="L175" s="521" t="s">
        <v>1159</v>
      </c>
      <c r="M175" s="521" t="s">
        <v>1160</v>
      </c>
      <c r="N175" s="521" t="s">
        <v>885</v>
      </c>
      <c r="O175" s="22" t="s">
        <v>293</v>
      </c>
      <c r="P175" s="426">
        <v>2021</v>
      </c>
      <c r="Q175" s="720">
        <f t="shared" ca="1" si="6"/>
        <v>3.608386761393173E-2</v>
      </c>
      <c r="R175" s="335">
        <f t="shared" ca="1" si="7"/>
        <v>57047348</v>
      </c>
      <c r="S175" s="335">
        <f t="shared" ca="1" si="8"/>
        <v>1580965450</v>
      </c>
      <c r="T175" s="429" t="s">
        <v>336</v>
      </c>
      <c r="U175" s="96" t="s">
        <v>337</v>
      </c>
      <c r="V175" s="24" t="s">
        <v>338</v>
      </c>
      <c r="W175" s="21"/>
      <c r="Y175" s="490"/>
    </row>
    <row r="176" spans="1:25" ht="60">
      <c r="A176" s="31">
        <v>173</v>
      </c>
      <c r="B176" s="22" t="s">
        <v>39</v>
      </c>
      <c r="C176" s="22" t="s">
        <v>290</v>
      </c>
      <c r="D176" s="22" t="s">
        <v>341</v>
      </c>
      <c r="E176" s="23" t="s">
        <v>346</v>
      </c>
      <c r="F176" s="22" t="s">
        <v>142</v>
      </c>
      <c r="G176" s="22" t="s">
        <v>347</v>
      </c>
      <c r="H176" s="22" t="s">
        <v>30</v>
      </c>
      <c r="I176" s="22" t="s">
        <v>348</v>
      </c>
      <c r="J176" s="22" t="s">
        <v>349</v>
      </c>
      <c r="K176" s="519" t="s">
        <v>1092</v>
      </c>
      <c r="L176" s="521" t="s">
        <v>1161</v>
      </c>
      <c r="M176" s="521" t="s">
        <v>1162</v>
      </c>
      <c r="N176" s="521" t="s">
        <v>885</v>
      </c>
      <c r="O176" s="22" t="s">
        <v>293</v>
      </c>
      <c r="P176" s="426">
        <v>2021</v>
      </c>
      <c r="Q176" s="720">
        <f t="shared" ca="1" si="6"/>
        <v>0.1096859796550199</v>
      </c>
      <c r="R176" s="335">
        <f t="shared" ca="1" si="7"/>
        <v>248</v>
      </c>
      <c r="S176" s="335">
        <f t="shared" ca="1" si="8"/>
        <v>2261</v>
      </c>
      <c r="T176" s="429" t="s">
        <v>350</v>
      </c>
      <c r="U176" s="96" t="s">
        <v>351</v>
      </c>
      <c r="V176" s="24"/>
      <c r="W176" s="21"/>
      <c r="Y176" s="490"/>
    </row>
    <row r="177" spans="1:25" ht="60">
      <c r="A177" s="31">
        <v>174</v>
      </c>
      <c r="B177" s="22" t="s">
        <v>39</v>
      </c>
      <c r="C177" s="22" t="s">
        <v>290</v>
      </c>
      <c r="D177" s="22" t="s">
        <v>341</v>
      </c>
      <c r="E177" s="23" t="s">
        <v>352</v>
      </c>
      <c r="F177" s="22" t="s">
        <v>142</v>
      </c>
      <c r="G177" s="22" t="s">
        <v>347</v>
      </c>
      <c r="H177" s="22" t="s">
        <v>30</v>
      </c>
      <c r="I177" s="22" t="s">
        <v>353</v>
      </c>
      <c r="J177" s="22" t="s">
        <v>354</v>
      </c>
      <c r="K177" s="519" t="s">
        <v>1092</v>
      </c>
      <c r="L177" s="521" t="s">
        <v>1163</v>
      </c>
      <c r="M177" s="521" t="s">
        <v>1164</v>
      </c>
      <c r="N177" s="521" t="s">
        <v>885</v>
      </c>
      <c r="O177" s="22" t="s">
        <v>293</v>
      </c>
      <c r="P177" s="426">
        <v>2021</v>
      </c>
      <c r="Q177" s="720">
        <f t="shared" ca="1" si="6"/>
        <v>6.7476555839727198E-2</v>
      </c>
      <c r="R177" s="335">
        <f t="shared" ca="1" si="7"/>
        <v>1583</v>
      </c>
      <c r="S177" s="335">
        <f t="shared" ca="1" si="8"/>
        <v>23460</v>
      </c>
      <c r="T177" s="429" t="s">
        <v>355</v>
      </c>
      <c r="U177" s="96" t="s">
        <v>351</v>
      </c>
      <c r="V177" s="24"/>
      <c r="W177" s="21"/>
      <c r="Y177" s="490"/>
    </row>
    <row r="178" spans="1:25" ht="60">
      <c r="A178" s="31">
        <v>175</v>
      </c>
      <c r="B178" s="22" t="s">
        <v>39</v>
      </c>
      <c r="C178" s="22" t="s">
        <v>290</v>
      </c>
      <c r="D178" s="22" t="s">
        <v>341</v>
      </c>
      <c r="E178" s="23" t="s">
        <v>356</v>
      </c>
      <c r="F178" s="22" t="s">
        <v>142</v>
      </c>
      <c r="G178" s="22" t="s">
        <v>347</v>
      </c>
      <c r="H178" s="22" t="s">
        <v>30</v>
      </c>
      <c r="I178" s="22" t="s">
        <v>357</v>
      </c>
      <c r="J178" s="22" t="s">
        <v>358</v>
      </c>
      <c r="K178" s="519" t="s">
        <v>1092</v>
      </c>
      <c r="L178" s="521" t="s">
        <v>1165</v>
      </c>
      <c r="M178" s="521" t="s">
        <v>1166</v>
      </c>
      <c r="N178" s="521" t="s">
        <v>885</v>
      </c>
      <c r="O178" s="22" t="s">
        <v>293</v>
      </c>
      <c r="P178" s="426">
        <v>2021</v>
      </c>
      <c r="Q178" s="720">
        <f t="shared" ca="1" si="6"/>
        <v>2.8459604905781331E-2</v>
      </c>
      <c r="R178" s="335">
        <f t="shared" ca="1" si="7"/>
        <v>3374</v>
      </c>
      <c r="S178" s="335">
        <f t="shared" ca="1" si="8"/>
        <v>118554</v>
      </c>
      <c r="T178" s="429" t="s">
        <v>359</v>
      </c>
      <c r="U178" s="96" t="s">
        <v>351</v>
      </c>
      <c r="V178" s="24"/>
      <c r="W178" s="21"/>
      <c r="Y178" s="490"/>
    </row>
    <row r="179" spans="1:25" ht="75">
      <c r="A179" s="31">
        <v>176</v>
      </c>
      <c r="B179" s="22" t="s">
        <v>39</v>
      </c>
      <c r="C179" s="22" t="s">
        <v>290</v>
      </c>
      <c r="D179" s="22" t="s">
        <v>341</v>
      </c>
      <c r="E179" s="23" t="s">
        <v>270</v>
      </c>
      <c r="F179" s="22" t="s">
        <v>142</v>
      </c>
      <c r="G179" s="22" t="s">
        <v>360</v>
      </c>
      <c r="H179" s="22" t="s">
        <v>30</v>
      </c>
      <c r="I179" s="22" t="s">
        <v>361</v>
      </c>
      <c r="J179" s="22" t="s">
        <v>362</v>
      </c>
      <c r="K179" s="519" t="s">
        <v>1092</v>
      </c>
      <c r="L179" s="521" t="s">
        <v>1167</v>
      </c>
      <c r="M179" s="521" t="s">
        <v>1168</v>
      </c>
      <c r="N179" s="521" t="s">
        <v>885</v>
      </c>
      <c r="O179" s="22" t="s">
        <v>293</v>
      </c>
      <c r="P179" s="426">
        <v>2021</v>
      </c>
      <c r="Q179" s="720">
        <f t="shared" ca="1" si="6"/>
        <v>1.5257244234180957E-2</v>
      </c>
      <c r="R179" s="335">
        <f t="shared" ca="1" si="7"/>
        <v>129</v>
      </c>
      <c r="S179" s="335">
        <f t="shared" ca="1" si="8"/>
        <v>8455</v>
      </c>
      <c r="T179" s="429" t="s">
        <v>363</v>
      </c>
      <c r="U179" s="22"/>
      <c r="V179" s="24"/>
      <c r="W179" s="21"/>
      <c r="Y179" s="490"/>
    </row>
    <row r="180" spans="1:25" ht="30">
      <c r="A180" s="31">
        <v>177</v>
      </c>
      <c r="B180" s="22" t="s">
        <v>39</v>
      </c>
      <c r="C180" s="22" t="s">
        <v>290</v>
      </c>
      <c r="D180" s="22" t="s">
        <v>364</v>
      </c>
      <c r="E180" s="23" t="s">
        <v>91</v>
      </c>
      <c r="F180" s="22" t="s">
        <v>92</v>
      </c>
      <c r="G180" s="22" t="s">
        <v>93</v>
      </c>
      <c r="H180" s="22" t="s">
        <v>30</v>
      </c>
      <c r="I180" s="22" t="s">
        <v>365</v>
      </c>
      <c r="J180" s="22" t="s">
        <v>92</v>
      </c>
      <c r="K180" s="519" t="s">
        <v>1092</v>
      </c>
      <c r="L180" s="521" t="s">
        <v>1169</v>
      </c>
      <c r="M180" s="521" t="s">
        <v>1170</v>
      </c>
      <c r="N180" s="521" t="s">
        <v>885</v>
      </c>
      <c r="O180" s="22" t="s">
        <v>293</v>
      </c>
      <c r="P180" s="426">
        <v>2021</v>
      </c>
      <c r="Q180" s="414">
        <f t="shared" ca="1" si="6"/>
        <v>106.26418996142814</v>
      </c>
      <c r="R180" s="335">
        <f t="shared" ca="1" si="7"/>
        <v>7023255.9717683783</v>
      </c>
      <c r="S180" s="335">
        <f t="shared" ca="1" si="8"/>
        <v>66092.405864267959</v>
      </c>
      <c r="T180" s="429"/>
      <c r="U180" s="22"/>
      <c r="V180" s="24"/>
      <c r="W180" s="21"/>
      <c r="Y180" s="490"/>
    </row>
    <row r="181" spans="1:25" ht="30">
      <c r="A181" s="31">
        <v>178</v>
      </c>
      <c r="B181" s="22" t="s">
        <v>39</v>
      </c>
      <c r="C181" s="22" t="s">
        <v>290</v>
      </c>
      <c r="D181" s="22" t="s">
        <v>364</v>
      </c>
      <c r="E181" s="23" t="s">
        <v>91</v>
      </c>
      <c r="F181" s="22" t="s">
        <v>95</v>
      </c>
      <c r="G181" s="22" t="s">
        <v>93</v>
      </c>
      <c r="H181" s="22" t="s">
        <v>30</v>
      </c>
      <c r="I181" s="22" t="s">
        <v>365</v>
      </c>
      <c r="J181" s="22" t="s">
        <v>95</v>
      </c>
      <c r="K181" s="519" t="s">
        <v>1092</v>
      </c>
      <c r="L181" s="521" t="s">
        <v>1171</v>
      </c>
      <c r="M181" s="521" t="s">
        <v>1172</v>
      </c>
      <c r="N181" s="521" t="s">
        <v>885</v>
      </c>
      <c r="O181" s="22" t="s">
        <v>293</v>
      </c>
      <c r="P181" s="426">
        <v>2021</v>
      </c>
      <c r="Q181" s="720">
        <f t="shared" ca="1" si="6"/>
        <v>3.2691341846280503E-2</v>
      </c>
      <c r="R181" s="335">
        <f t="shared" ca="1" si="7"/>
        <v>7023255.9717683783</v>
      </c>
      <c r="S181" s="335">
        <f t="shared" ca="1" si="8"/>
        <v>214835353.18901137</v>
      </c>
      <c r="T181" s="429"/>
      <c r="U181" s="22"/>
      <c r="V181" s="24"/>
      <c r="W181" s="21"/>
      <c r="Y181" s="490"/>
    </row>
    <row r="182" spans="1:25" ht="30">
      <c r="A182" s="31">
        <v>179</v>
      </c>
      <c r="B182" s="22" t="s">
        <v>39</v>
      </c>
      <c r="C182" s="22" t="s">
        <v>290</v>
      </c>
      <c r="D182" s="22" t="s">
        <v>364</v>
      </c>
      <c r="E182" s="23" t="s">
        <v>91</v>
      </c>
      <c r="F182" s="22" t="s">
        <v>96</v>
      </c>
      <c r="G182" s="22" t="s">
        <v>93</v>
      </c>
      <c r="H182" s="22" t="s">
        <v>30</v>
      </c>
      <c r="I182" s="22" t="s">
        <v>365</v>
      </c>
      <c r="J182" s="22" t="s">
        <v>96</v>
      </c>
      <c r="K182" s="519" t="s">
        <v>1092</v>
      </c>
      <c r="L182" s="521" t="s">
        <v>1173</v>
      </c>
      <c r="M182" s="521" t="s">
        <v>1174</v>
      </c>
      <c r="N182" s="521" t="s">
        <v>885</v>
      </c>
      <c r="O182" s="22" t="s">
        <v>293</v>
      </c>
      <c r="P182" s="426">
        <v>2021</v>
      </c>
      <c r="Q182" s="720">
        <f t="shared" ca="1" si="6"/>
        <v>0.14851998116532975</v>
      </c>
      <c r="R182" s="335">
        <f t="shared" ca="1" si="7"/>
        <v>1489166.7276041477</v>
      </c>
      <c r="S182" s="335">
        <f t="shared" ca="1" si="8"/>
        <v>10026709.644855358</v>
      </c>
      <c r="T182" s="429" t="s">
        <v>48</v>
      </c>
      <c r="U182" s="22" t="s">
        <v>49</v>
      </c>
      <c r="V182" s="24"/>
      <c r="W182" s="21"/>
      <c r="Y182" s="490"/>
    </row>
    <row r="183" spans="1:25" ht="30">
      <c r="A183" s="31">
        <v>180</v>
      </c>
      <c r="B183" s="22" t="s">
        <v>39</v>
      </c>
      <c r="C183" s="22" t="s">
        <v>290</v>
      </c>
      <c r="D183" s="22" t="s">
        <v>364</v>
      </c>
      <c r="E183" s="23" t="s">
        <v>91</v>
      </c>
      <c r="F183" s="22" t="s">
        <v>97</v>
      </c>
      <c r="G183" s="22" t="s">
        <v>93</v>
      </c>
      <c r="H183" s="22" t="s">
        <v>30</v>
      </c>
      <c r="I183" s="22" t="s">
        <v>365</v>
      </c>
      <c r="J183" s="22" t="s">
        <v>97</v>
      </c>
      <c r="K183" s="519" t="s">
        <v>1092</v>
      </c>
      <c r="L183" s="521" t="s">
        <v>1175</v>
      </c>
      <c r="M183" s="521" t="s">
        <v>1176</v>
      </c>
      <c r="N183" s="521" t="s">
        <v>885</v>
      </c>
      <c r="O183" s="22" t="s">
        <v>293</v>
      </c>
      <c r="P183" s="426">
        <v>2021</v>
      </c>
      <c r="Q183" s="414">
        <f t="shared" ca="1" si="6"/>
        <v>146.92283993155073</v>
      </c>
      <c r="R183" s="335">
        <f t="shared" ca="1" si="7"/>
        <v>9710483.9674869254</v>
      </c>
      <c r="S183" s="335">
        <f t="shared" ca="1" si="8"/>
        <v>66092.405864267959</v>
      </c>
      <c r="T183" s="429"/>
      <c r="U183" s="22"/>
      <c r="V183" s="24"/>
      <c r="W183" s="21"/>
      <c r="Y183" s="490"/>
    </row>
    <row r="184" spans="1:25" ht="30">
      <c r="A184" s="31">
        <v>181</v>
      </c>
      <c r="B184" s="22" t="s">
        <v>39</v>
      </c>
      <c r="C184" s="22" t="s">
        <v>290</v>
      </c>
      <c r="D184" s="22" t="s">
        <v>364</v>
      </c>
      <c r="E184" s="23" t="s">
        <v>91</v>
      </c>
      <c r="F184" s="22" t="s">
        <v>98</v>
      </c>
      <c r="G184" s="22" t="s">
        <v>93</v>
      </c>
      <c r="H184" s="22" t="s">
        <v>30</v>
      </c>
      <c r="I184" s="22" t="s">
        <v>365</v>
      </c>
      <c r="J184" s="22" t="s">
        <v>98</v>
      </c>
      <c r="K184" s="519" t="s">
        <v>1092</v>
      </c>
      <c r="L184" s="521" t="s">
        <v>1177</v>
      </c>
      <c r="M184" s="521" t="s">
        <v>1178</v>
      </c>
      <c r="N184" s="521" t="s">
        <v>885</v>
      </c>
      <c r="O184" s="22" t="s">
        <v>293</v>
      </c>
      <c r="P184" s="426">
        <v>2021</v>
      </c>
      <c r="Q184" s="720">
        <f t="shared" ca="1" si="6"/>
        <v>4.5199655565737719E-2</v>
      </c>
      <c r="R184" s="335">
        <f t="shared" ca="1" si="7"/>
        <v>9710483.9674869254</v>
      </c>
      <c r="S184" s="335">
        <f t="shared" ca="1" si="8"/>
        <v>214835353.18901137</v>
      </c>
      <c r="T184" s="429"/>
      <c r="U184" s="22"/>
      <c r="V184" s="24"/>
      <c r="W184" s="21"/>
      <c r="Y184" s="490"/>
    </row>
    <row r="185" spans="1:25" ht="30">
      <c r="A185" s="31">
        <v>182</v>
      </c>
      <c r="B185" s="22" t="s">
        <v>39</v>
      </c>
      <c r="C185" s="22" t="s">
        <v>290</v>
      </c>
      <c r="D185" s="22" t="s">
        <v>364</v>
      </c>
      <c r="E185" s="23" t="s">
        <v>91</v>
      </c>
      <c r="F185" s="22" t="s">
        <v>99</v>
      </c>
      <c r="G185" s="22" t="s">
        <v>93</v>
      </c>
      <c r="H185" s="22" t="s">
        <v>30</v>
      </c>
      <c r="I185" s="22" t="s">
        <v>365</v>
      </c>
      <c r="J185" s="22" t="s">
        <v>99</v>
      </c>
      <c r="K185" s="519" t="s">
        <v>1092</v>
      </c>
      <c r="L185" s="521" t="s">
        <v>1179</v>
      </c>
      <c r="M185" s="521" t="s">
        <v>1180</v>
      </c>
      <c r="N185" s="521" t="s">
        <v>885</v>
      </c>
      <c r="O185" s="22" t="s">
        <v>293</v>
      </c>
      <c r="P185" s="426">
        <v>2021</v>
      </c>
      <c r="Q185" s="720">
        <f t="shared" ca="1" si="6"/>
        <v>0.20534648057178306</v>
      </c>
      <c r="R185" s="335">
        <f t="shared" ca="1" si="7"/>
        <v>2058949.5372862006</v>
      </c>
      <c r="S185" s="335">
        <f t="shared" ca="1" si="8"/>
        <v>10026709.644855358</v>
      </c>
      <c r="T185" s="429" t="s">
        <v>48</v>
      </c>
      <c r="U185" s="22" t="s">
        <v>49</v>
      </c>
      <c r="V185" s="24"/>
      <c r="W185" s="21"/>
      <c r="Y185" s="490"/>
    </row>
    <row r="186" spans="1:25" ht="60">
      <c r="A186" s="31">
        <v>183</v>
      </c>
      <c r="B186" s="22" t="s">
        <v>39</v>
      </c>
      <c r="C186" s="22" t="s">
        <v>366</v>
      </c>
      <c r="D186" s="22" t="s">
        <v>367</v>
      </c>
      <c r="E186" s="23" t="s">
        <v>368</v>
      </c>
      <c r="F186" s="22" t="s">
        <v>142</v>
      </c>
      <c r="G186" s="22" t="s">
        <v>369</v>
      </c>
      <c r="H186" s="22" t="s">
        <v>164</v>
      </c>
      <c r="I186" s="22" t="s">
        <v>370</v>
      </c>
      <c r="J186" s="22" t="s">
        <v>371</v>
      </c>
      <c r="K186" s="519" t="s">
        <v>1092</v>
      </c>
      <c r="L186" s="521" t="s">
        <v>1181</v>
      </c>
      <c r="M186" s="521" t="s">
        <v>1182</v>
      </c>
      <c r="N186" s="521" t="s">
        <v>885</v>
      </c>
      <c r="O186" s="22" t="s">
        <v>293</v>
      </c>
      <c r="P186" s="426">
        <v>2021</v>
      </c>
      <c r="Q186" s="720">
        <f t="shared" ca="1" si="6"/>
        <v>0</v>
      </c>
      <c r="R186" s="335">
        <f t="shared" ca="1" si="7"/>
        <v>0</v>
      </c>
      <c r="S186" s="335">
        <f t="shared" ca="1" si="8"/>
        <v>0</v>
      </c>
      <c r="T186" s="429" t="s">
        <v>372</v>
      </c>
      <c r="U186" s="22"/>
      <c r="V186" s="24"/>
      <c r="W186" s="21"/>
      <c r="Y186" s="490"/>
    </row>
    <row r="187" spans="1:25" ht="30">
      <c r="A187" s="31">
        <v>184</v>
      </c>
      <c r="B187" s="22" t="s">
        <v>39</v>
      </c>
      <c r="C187" s="22" t="s">
        <v>366</v>
      </c>
      <c r="D187" s="22" t="s">
        <v>367</v>
      </c>
      <c r="E187" s="23" t="s">
        <v>373</v>
      </c>
      <c r="F187" s="22" t="s">
        <v>142</v>
      </c>
      <c r="G187" s="22" t="s">
        <v>369</v>
      </c>
      <c r="H187" s="22" t="s">
        <v>164</v>
      </c>
      <c r="I187" s="22" t="s">
        <v>374</v>
      </c>
      <c r="J187" s="22" t="s">
        <v>375</v>
      </c>
      <c r="K187" s="519" t="s">
        <v>1092</v>
      </c>
      <c r="L187" s="521" t="s">
        <v>1183</v>
      </c>
      <c r="M187" s="521" t="s">
        <v>1184</v>
      </c>
      <c r="N187" s="521" t="s">
        <v>885</v>
      </c>
      <c r="O187" s="22" t="s">
        <v>293</v>
      </c>
      <c r="P187" s="426">
        <v>2021</v>
      </c>
      <c r="Q187" s="720">
        <f t="shared" ca="1" si="6"/>
        <v>0</v>
      </c>
      <c r="R187" s="335">
        <f t="shared" ca="1" si="7"/>
        <v>0</v>
      </c>
      <c r="S187" s="335">
        <f t="shared" ca="1" si="8"/>
        <v>0</v>
      </c>
      <c r="T187" s="429" t="s">
        <v>376</v>
      </c>
      <c r="U187" s="22"/>
      <c r="V187" s="24"/>
      <c r="W187" s="21"/>
      <c r="Y187" s="490"/>
    </row>
    <row r="188" spans="1:25" ht="30">
      <c r="A188" s="31">
        <v>185</v>
      </c>
      <c r="B188" s="22" t="s">
        <v>39</v>
      </c>
      <c r="C188" s="22" t="s">
        <v>366</v>
      </c>
      <c r="D188" s="22" t="s">
        <v>377</v>
      </c>
      <c r="E188" s="23" t="s">
        <v>378</v>
      </c>
      <c r="F188" s="22" t="s">
        <v>142</v>
      </c>
      <c r="G188" s="22" t="s">
        <v>379</v>
      </c>
      <c r="H188" s="22" t="s">
        <v>164</v>
      </c>
      <c r="I188" s="22" t="s">
        <v>380</v>
      </c>
      <c r="J188" s="22" t="s">
        <v>381</v>
      </c>
      <c r="K188" s="519" t="s">
        <v>1092</v>
      </c>
      <c r="L188" s="521" t="s">
        <v>1185</v>
      </c>
      <c r="M188" s="521" t="s">
        <v>1186</v>
      </c>
      <c r="N188" s="521" t="s">
        <v>885</v>
      </c>
      <c r="O188" s="22" t="s">
        <v>293</v>
      </c>
      <c r="P188" s="426">
        <v>2021</v>
      </c>
      <c r="Q188" s="720">
        <f t="shared" ca="1" si="6"/>
        <v>0</v>
      </c>
      <c r="R188" s="335">
        <f t="shared" ca="1" si="7"/>
        <v>0</v>
      </c>
      <c r="S188" s="335">
        <f t="shared" ca="1" si="8"/>
        <v>0</v>
      </c>
      <c r="T188" s="429" t="s">
        <v>383</v>
      </c>
      <c r="U188" s="22"/>
      <c r="V188" s="24"/>
      <c r="W188" s="21"/>
      <c r="Y188" s="490"/>
    </row>
    <row r="189" spans="1:25" ht="30">
      <c r="A189" s="31">
        <v>186</v>
      </c>
      <c r="B189" s="22" t="s">
        <v>39</v>
      </c>
      <c r="C189" s="22" t="s">
        <v>366</v>
      </c>
      <c r="D189" s="22" t="s">
        <v>377</v>
      </c>
      <c r="E189" s="23" t="s">
        <v>384</v>
      </c>
      <c r="F189" s="22" t="s">
        <v>142</v>
      </c>
      <c r="G189" s="22" t="s">
        <v>379</v>
      </c>
      <c r="H189" s="22" t="s">
        <v>164</v>
      </c>
      <c r="I189" s="22" t="s">
        <v>385</v>
      </c>
      <c r="J189" s="22" t="s">
        <v>386</v>
      </c>
      <c r="K189" s="519" t="s">
        <v>1092</v>
      </c>
      <c r="L189" s="521" t="s">
        <v>1187</v>
      </c>
      <c r="M189" s="521" t="s">
        <v>1188</v>
      </c>
      <c r="N189" s="521" t="s">
        <v>885</v>
      </c>
      <c r="O189" s="22" t="s">
        <v>293</v>
      </c>
      <c r="P189" s="426">
        <v>2021</v>
      </c>
      <c r="Q189" s="720">
        <f t="shared" ca="1" si="6"/>
        <v>0</v>
      </c>
      <c r="R189" s="335">
        <f t="shared" ca="1" si="7"/>
        <v>0</v>
      </c>
      <c r="S189" s="335">
        <f t="shared" ca="1" si="8"/>
        <v>0</v>
      </c>
      <c r="T189" s="429" t="s">
        <v>383</v>
      </c>
      <c r="U189" s="22"/>
      <c r="V189" s="24"/>
      <c r="W189" s="21"/>
      <c r="Y189" s="490"/>
    </row>
    <row r="190" spans="1:25" ht="30">
      <c r="A190" s="31">
        <v>187</v>
      </c>
      <c r="B190" s="22" t="s">
        <v>39</v>
      </c>
      <c r="C190" s="22" t="s">
        <v>366</v>
      </c>
      <c r="D190" s="22" t="s">
        <v>387</v>
      </c>
      <c r="E190" s="23" t="s">
        <v>388</v>
      </c>
      <c r="F190" s="22" t="s">
        <v>142</v>
      </c>
      <c r="G190" s="22" t="s">
        <v>389</v>
      </c>
      <c r="H190" s="22" t="s">
        <v>164</v>
      </c>
      <c r="I190" s="22" t="s">
        <v>390</v>
      </c>
      <c r="J190" s="22" t="s">
        <v>391</v>
      </c>
      <c r="K190" s="519" t="s">
        <v>1092</v>
      </c>
      <c r="L190" s="521" t="s">
        <v>1189</v>
      </c>
      <c r="M190" s="521" t="s">
        <v>1190</v>
      </c>
      <c r="N190" s="521" t="s">
        <v>885</v>
      </c>
      <c r="O190" s="22" t="s">
        <v>293</v>
      </c>
      <c r="P190" s="426">
        <v>2021</v>
      </c>
      <c r="Q190" s="720">
        <f t="shared" ca="1" si="6"/>
        <v>0</v>
      </c>
      <c r="R190" s="335">
        <f t="shared" ca="1" si="7"/>
        <v>0</v>
      </c>
      <c r="S190" s="335">
        <f t="shared" ca="1" si="8"/>
        <v>0</v>
      </c>
      <c r="T190" s="429" t="s">
        <v>392</v>
      </c>
      <c r="U190" s="22"/>
      <c r="V190" s="24"/>
      <c r="W190" s="21"/>
      <c r="Y190" s="490"/>
    </row>
    <row r="191" spans="1:25" ht="45">
      <c r="A191" s="31">
        <v>188</v>
      </c>
      <c r="B191" s="22" t="s">
        <v>39</v>
      </c>
      <c r="C191" s="22" t="s">
        <v>366</v>
      </c>
      <c r="D191" s="22" t="s">
        <v>141</v>
      </c>
      <c r="E191" s="23" t="s">
        <v>51</v>
      </c>
      <c r="F191" s="22" t="s">
        <v>52</v>
      </c>
      <c r="G191" s="22" t="s">
        <v>53</v>
      </c>
      <c r="H191" s="22" t="s">
        <v>30</v>
      </c>
      <c r="I191" s="22" t="s">
        <v>393</v>
      </c>
      <c r="J191" s="22" t="s">
        <v>52</v>
      </c>
      <c r="K191" s="519" t="s">
        <v>1191</v>
      </c>
      <c r="L191" s="521" t="s">
        <v>1192</v>
      </c>
      <c r="M191" s="521" t="s">
        <v>1193</v>
      </c>
      <c r="N191" s="521" t="s">
        <v>815</v>
      </c>
      <c r="O191" s="22" t="s">
        <v>394</v>
      </c>
      <c r="P191" s="426">
        <v>2021</v>
      </c>
      <c r="Q191" s="720">
        <f t="shared" ca="1" si="6"/>
        <v>0</v>
      </c>
      <c r="R191" s="335" t="str">
        <f t="shared" ca="1" si="7"/>
        <v>N/A</v>
      </c>
      <c r="S191" s="335" t="str">
        <f t="shared" ca="1" si="8"/>
        <v>N/A</v>
      </c>
      <c r="T191" s="429" t="s">
        <v>899</v>
      </c>
      <c r="U191" s="22"/>
      <c r="V191" s="24"/>
      <c r="W191" s="21"/>
      <c r="Y191" s="490"/>
    </row>
    <row r="192" spans="1:25" ht="45">
      <c r="A192" s="31">
        <v>189</v>
      </c>
      <c r="B192" s="22" t="s">
        <v>39</v>
      </c>
      <c r="C192" s="22" t="s">
        <v>366</v>
      </c>
      <c r="D192" s="22" t="s">
        <v>141</v>
      </c>
      <c r="E192" s="23" t="s">
        <v>51</v>
      </c>
      <c r="F192" s="22" t="s">
        <v>55</v>
      </c>
      <c r="G192" s="22" t="s">
        <v>53</v>
      </c>
      <c r="H192" s="22" t="s">
        <v>30</v>
      </c>
      <c r="I192" s="22" t="s">
        <v>393</v>
      </c>
      <c r="J192" s="22" t="s">
        <v>55</v>
      </c>
      <c r="K192" s="519" t="s">
        <v>1191</v>
      </c>
      <c r="L192" s="521" t="s">
        <v>1194</v>
      </c>
      <c r="M192" s="521" t="s">
        <v>1195</v>
      </c>
      <c r="N192" s="521" t="s">
        <v>815</v>
      </c>
      <c r="O192" s="22" t="s">
        <v>394</v>
      </c>
      <c r="P192" s="426">
        <v>2021</v>
      </c>
      <c r="Q192" s="720">
        <f t="shared" ca="1" si="6"/>
        <v>0</v>
      </c>
      <c r="R192" s="335" t="str">
        <f t="shared" ca="1" si="7"/>
        <v>N/A</v>
      </c>
      <c r="S192" s="335" t="str">
        <f t="shared" ca="1" si="8"/>
        <v>N/A</v>
      </c>
      <c r="T192" s="429" t="s">
        <v>899</v>
      </c>
      <c r="U192" s="22"/>
      <c r="V192" s="24"/>
      <c r="W192" s="21"/>
      <c r="Y192" s="490"/>
    </row>
    <row r="193" spans="1:25" ht="45">
      <c r="A193" s="31">
        <v>190</v>
      </c>
      <c r="B193" s="22" t="s">
        <v>39</v>
      </c>
      <c r="C193" s="22" t="s">
        <v>366</v>
      </c>
      <c r="D193" s="22" t="s">
        <v>141</v>
      </c>
      <c r="E193" s="23" t="s">
        <v>51</v>
      </c>
      <c r="F193" s="22" t="s">
        <v>56</v>
      </c>
      <c r="G193" s="22" t="s">
        <v>53</v>
      </c>
      <c r="H193" s="22" t="s">
        <v>30</v>
      </c>
      <c r="I193" s="22" t="s">
        <v>393</v>
      </c>
      <c r="J193" s="22" t="s">
        <v>56</v>
      </c>
      <c r="K193" s="519" t="s">
        <v>1191</v>
      </c>
      <c r="L193" s="521" t="s">
        <v>1196</v>
      </c>
      <c r="M193" s="521" t="s">
        <v>1197</v>
      </c>
      <c r="N193" s="521" t="s">
        <v>815</v>
      </c>
      <c r="O193" s="22" t="s">
        <v>394</v>
      </c>
      <c r="P193" s="426">
        <v>2021</v>
      </c>
      <c r="Q193" s="720">
        <f t="shared" ca="1" si="6"/>
        <v>0</v>
      </c>
      <c r="R193" s="335" t="str">
        <f t="shared" ca="1" si="7"/>
        <v>N/A</v>
      </c>
      <c r="S193" s="335" t="str">
        <f t="shared" ca="1" si="8"/>
        <v>N/A</v>
      </c>
      <c r="T193" s="429" t="s">
        <v>899</v>
      </c>
      <c r="U193" s="22"/>
      <c r="V193" s="24"/>
      <c r="W193" s="21"/>
      <c r="Y193" s="490"/>
    </row>
    <row r="194" spans="1:25" ht="45">
      <c r="A194" s="31">
        <v>191</v>
      </c>
      <c r="B194" s="22" t="s">
        <v>39</v>
      </c>
      <c r="C194" s="22" t="s">
        <v>366</v>
      </c>
      <c r="D194" s="22" t="s">
        <v>141</v>
      </c>
      <c r="E194" s="23" t="s">
        <v>51</v>
      </c>
      <c r="F194" s="22" t="s">
        <v>57</v>
      </c>
      <c r="G194" s="22" t="s">
        <v>53</v>
      </c>
      <c r="H194" s="22" t="s">
        <v>30</v>
      </c>
      <c r="I194" s="22" t="s">
        <v>393</v>
      </c>
      <c r="J194" s="22" t="s">
        <v>57</v>
      </c>
      <c r="K194" s="519" t="s">
        <v>1191</v>
      </c>
      <c r="L194" s="521" t="s">
        <v>1198</v>
      </c>
      <c r="M194" s="521" t="s">
        <v>1199</v>
      </c>
      <c r="N194" s="521" t="s">
        <v>815</v>
      </c>
      <c r="O194" s="22" t="s">
        <v>394</v>
      </c>
      <c r="P194" s="426">
        <v>2021</v>
      </c>
      <c r="Q194" s="720">
        <f t="shared" ca="1" si="6"/>
        <v>0</v>
      </c>
      <c r="R194" s="335" t="str">
        <f t="shared" ca="1" si="7"/>
        <v>N/A</v>
      </c>
      <c r="S194" s="335" t="str">
        <f t="shared" ca="1" si="8"/>
        <v>N/A</v>
      </c>
      <c r="T194" s="429" t="s">
        <v>899</v>
      </c>
      <c r="U194" s="22"/>
      <c r="V194" s="24"/>
      <c r="W194" s="21"/>
      <c r="Y194" s="490"/>
    </row>
    <row r="195" spans="1:25" ht="45">
      <c r="A195" s="31">
        <v>192</v>
      </c>
      <c r="B195" s="22" t="s">
        <v>39</v>
      </c>
      <c r="C195" s="22" t="s">
        <v>366</v>
      </c>
      <c r="D195" s="22" t="s">
        <v>141</v>
      </c>
      <c r="E195" s="23" t="s">
        <v>51</v>
      </c>
      <c r="F195" s="22" t="s">
        <v>58</v>
      </c>
      <c r="G195" s="22" t="s">
        <v>53</v>
      </c>
      <c r="H195" s="22" t="s">
        <v>30</v>
      </c>
      <c r="I195" s="22" t="s">
        <v>393</v>
      </c>
      <c r="J195" s="22" t="s">
        <v>58</v>
      </c>
      <c r="K195" s="519" t="s">
        <v>1191</v>
      </c>
      <c r="L195" s="521" t="s">
        <v>1200</v>
      </c>
      <c r="M195" s="521" t="s">
        <v>1201</v>
      </c>
      <c r="N195" s="521" t="s">
        <v>815</v>
      </c>
      <c r="O195" s="22" t="s">
        <v>394</v>
      </c>
      <c r="P195" s="426">
        <v>2021</v>
      </c>
      <c r="Q195" s="720">
        <f t="shared" ca="1" si="6"/>
        <v>0</v>
      </c>
      <c r="R195" s="335" t="str">
        <f t="shared" ca="1" si="7"/>
        <v>N/A</v>
      </c>
      <c r="S195" s="335" t="str">
        <f t="shared" ca="1" si="8"/>
        <v>N/A</v>
      </c>
      <c r="T195" s="429" t="s">
        <v>899</v>
      </c>
      <c r="U195" s="305" t="s">
        <v>395</v>
      </c>
      <c r="V195" s="24"/>
      <c r="W195" s="21"/>
      <c r="Y195" s="490"/>
    </row>
    <row r="196" spans="1:25" ht="45">
      <c r="A196" s="31">
        <v>193</v>
      </c>
      <c r="B196" s="22" t="s">
        <v>39</v>
      </c>
      <c r="C196" s="22" t="s">
        <v>366</v>
      </c>
      <c r="D196" s="22" t="s">
        <v>141</v>
      </c>
      <c r="E196" s="23" t="s">
        <v>51</v>
      </c>
      <c r="F196" s="22" t="s">
        <v>60</v>
      </c>
      <c r="G196" s="22" t="s">
        <v>53</v>
      </c>
      <c r="H196" s="22" t="s">
        <v>30</v>
      </c>
      <c r="I196" s="22" t="s">
        <v>393</v>
      </c>
      <c r="J196" s="22" t="s">
        <v>60</v>
      </c>
      <c r="K196" s="519" t="s">
        <v>1191</v>
      </c>
      <c r="L196" s="521" t="s">
        <v>1202</v>
      </c>
      <c r="M196" s="521" t="s">
        <v>1203</v>
      </c>
      <c r="N196" s="521" t="s">
        <v>815</v>
      </c>
      <c r="O196" s="22" t="s">
        <v>394</v>
      </c>
      <c r="P196" s="426">
        <v>2021</v>
      </c>
      <c r="Q196" s="720">
        <f t="shared" ref="Q196:Q259" ca="1" si="9">SUMIF(INDIRECT("'"&amp;K196&amp;"'!c:c"),A196,INDIRECT("'"&amp;K196&amp;"'!i:i"))</f>
        <v>0</v>
      </c>
      <c r="R196" s="335" t="str">
        <f t="shared" ref="R196:R259" ca="1" si="10">IF($N196 = "N","N/A",SUMIF(INDIRECT("'"&amp;K196&amp;"'!j:j"),L196,INDIRECT("'"&amp;K196&amp;"'!q:q")))</f>
        <v>N/A</v>
      </c>
      <c r="S196" s="335" t="str">
        <f t="shared" ref="S196:S259" ca="1" si="11">IF($N196 = "N","N/A",SUMIF(INDIRECT("'"&amp;K196&amp;"'!j:j"),M196,INDIRECT("'"&amp;K196&amp;"'!q:q")))</f>
        <v>N/A</v>
      </c>
      <c r="T196" s="429" t="s">
        <v>899</v>
      </c>
      <c r="U196" s="305" t="s">
        <v>395</v>
      </c>
      <c r="V196" s="24"/>
      <c r="W196" s="21"/>
      <c r="Y196" s="490"/>
    </row>
    <row r="197" spans="1:25" ht="45">
      <c r="A197" s="31">
        <v>194</v>
      </c>
      <c r="B197" s="22" t="s">
        <v>39</v>
      </c>
      <c r="C197" s="22" t="s">
        <v>366</v>
      </c>
      <c r="D197" s="22" t="s">
        <v>141</v>
      </c>
      <c r="E197" s="23" t="s">
        <v>51</v>
      </c>
      <c r="F197" s="22" t="s">
        <v>61</v>
      </c>
      <c r="G197" s="22" t="s">
        <v>53</v>
      </c>
      <c r="H197" s="22" t="s">
        <v>30</v>
      </c>
      <c r="I197" s="22" t="s">
        <v>393</v>
      </c>
      <c r="J197" s="22" t="s">
        <v>61</v>
      </c>
      <c r="K197" s="519" t="s">
        <v>1191</v>
      </c>
      <c r="L197" s="521" t="s">
        <v>1204</v>
      </c>
      <c r="M197" s="521" t="s">
        <v>1205</v>
      </c>
      <c r="N197" s="521" t="s">
        <v>815</v>
      </c>
      <c r="O197" s="22" t="s">
        <v>394</v>
      </c>
      <c r="P197" s="426">
        <v>2021</v>
      </c>
      <c r="Q197" s="720">
        <f t="shared" ca="1" si="9"/>
        <v>0</v>
      </c>
      <c r="R197" s="335" t="str">
        <f t="shared" ca="1" si="10"/>
        <v>N/A</v>
      </c>
      <c r="S197" s="335" t="str">
        <f t="shared" ca="1" si="11"/>
        <v>N/A</v>
      </c>
      <c r="T197" s="429" t="s">
        <v>899</v>
      </c>
      <c r="U197" s="22"/>
      <c r="V197" s="24"/>
      <c r="W197" s="21"/>
      <c r="Y197" s="490"/>
    </row>
    <row r="198" spans="1:25" ht="45">
      <c r="A198" s="31">
        <v>195</v>
      </c>
      <c r="B198" s="22" t="s">
        <v>39</v>
      </c>
      <c r="C198" s="22" t="s">
        <v>366</v>
      </c>
      <c r="D198" s="22" t="s">
        <v>141</v>
      </c>
      <c r="E198" s="23" t="s">
        <v>51</v>
      </c>
      <c r="F198" s="22" t="s">
        <v>62</v>
      </c>
      <c r="G198" s="22" t="s">
        <v>53</v>
      </c>
      <c r="H198" s="22" t="s">
        <v>30</v>
      </c>
      <c r="I198" s="22" t="s">
        <v>393</v>
      </c>
      <c r="J198" s="22" t="s">
        <v>62</v>
      </c>
      <c r="K198" s="519" t="s">
        <v>1191</v>
      </c>
      <c r="L198" s="521" t="s">
        <v>1206</v>
      </c>
      <c r="M198" s="521" t="s">
        <v>1207</v>
      </c>
      <c r="N198" s="521" t="s">
        <v>815</v>
      </c>
      <c r="O198" s="22" t="s">
        <v>394</v>
      </c>
      <c r="P198" s="426">
        <v>2021</v>
      </c>
      <c r="Q198" s="720">
        <f t="shared" ca="1" si="9"/>
        <v>0</v>
      </c>
      <c r="R198" s="335" t="str">
        <f t="shared" ca="1" si="10"/>
        <v>N/A</v>
      </c>
      <c r="S198" s="335" t="str">
        <f t="shared" ca="1" si="11"/>
        <v>N/A</v>
      </c>
      <c r="T198" s="429" t="s">
        <v>899</v>
      </c>
      <c r="U198" s="22"/>
      <c r="V198" s="24"/>
      <c r="W198" s="21"/>
      <c r="Y198" s="490"/>
    </row>
    <row r="199" spans="1:25" ht="45">
      <c r="A199" s="31">
        <v>196</v>
      </c>
      <c r="B199" s="22" t="s">
        <v>39</v>
      </c>
      <c r="C199" s="22" t="s">
        <v>366</v>
      </c>
      <c r="D199" s="22" t="s">
        <v>141</v>
      </c>
      <c r="E199" s="23" t="s">
        <v>51</v>
      </c>
      <c r="F199" s="22" t="s">
        <v>63</v>
      </c>
      <c r="G199" s="22" t="s">
        <v>53</v>
      </c>
      <c r="H199" s="22" t="s">
        <v>30</v>
      </c>
      <c r="I199" s="22" t="s">
        <v>393</v>
      </c>
      <c r="J199" s="22" t="s">
        <v>63</v>
      </c>
      <c r="K199" s="519" t="s">
        <v>1191</v>
      </c>
      <c r="L199" s="521" t="s">
        <v>1208</v>
      </c>
      <c r="M199" s="521" t="s">
        <v>1209</v>
      </c>
      <c r="N199" s="521" t="s">
        <v>815</v>
      </c>
      <c r="O199" s="22" t="s">
        <v>394</v>
      </c>
      <c r="P199" s="426">
        <v>2021</v>
      </c>
      <c r="Q199" s="720">
        <f t="shared" ca="1" si="9"/>
        <v>0</v>
      </c>
      <c r="R199" s="335" t="str">
        <f t="shared" ca="1" si="10"/>
        <v>N/A</v>
      </c>
      <c r="S199" s="335" t="str">
        <f t="shared" ca="1" si="11"/>
        <v>N/A</v>
      </c>
      <c r="T199" s="429" t="s">
        <v>899</v>
      </c>
      <c r="U199" s="22"/>
      <c r="V199" s="24"/>
      <c r="W199" s="21"/>
      <c r="Y199" s="490"/>
    </row>
    <row r="200" spans="1:25" ht="45">
      <c r="A200" s="31">
        <v>197</v>
      </c>
      <c r="B200" s="22" t="s">
        <v>39</v>
      </c>
      <c r="C200" s="22" t="s">
        <v>366</v>
      </c>
      <c r="D200" s="22" t="s">
        <v>141</v>
      </c>
      <c r="E200" s="23" t="s">
        <v>51</v>
      </c>
      <c r="F200" s="22" t="s">
        <v>64</v>
      </c>
      <c r="G200" s="22" t="s">
        <v>53</v>
      </c>
      <c r="H200" s="22" t="s">
        <v>30</v>
      </c>
      <c r="I200" s="22" t="s">
        <v>393</v>
      </c>
      <c r="J200" s="22" t="s">
        <v>64</v>
      </c>
      <c r="K200" s="519" t="s">
        <v>1191</v>
      </c>
      <c r="L200" s="521" t="s">
        <v>1210</v>
      </c>
      <c r="M200" s="521" t="s">
        <v>1211</v>
      </c>
      <c r="N200" s="521" t="s">
        <v>815</v>
      </c>
      <c r="O200" s="22" t="s">
        <v>394</v>
      </c>
      <c r="P200" s="426">
        <v>2021</v>
      </c>
      <c r="Q200" s="720">
        <f t="shared" ca="1" si="9"/>
        <v>0</v>
      </c>
      <c r="R200" s="335" t="str">
        <f t="shared" ca="1" si="10"/>
        <v>N/A</v>
      </c>
      <c r="S200" s="335" t="str">
        <f t="shared" ca="1" si="11"/>
        <v>N/A</v>
      </c>
      <c r="T200" s="429" t="s">
        <v>899</v>
      </c>
      <c r="U200" s="22"/>
      <c r="V200" s="24"/>
      <c r="W200" s="21"/>
      <c r="Y200" s="490"/>
    </row>
    <row r="201" spans="1:25" ht="45">
      <c r="A201" s="31">
        <v>198</v>
      </c>
      <c r="B201" s="22" t="s">
        <v>39</v>
      </c>
      <c r="C201" s="22" t="s">
        <v>366</v>
      </c>
      <c r="D201" s="22" t="s">
        <v>141</v>
      </c>
      <c r="E201" s="23" t="s">
        <v>51</v>
      </c>
      <c r="F201" s="22" t="s">
        <v>65</v>
      </c>
      <c r="G201" s="22" t="s">
        <v>53</v>
      </c>
      <c r="H201" s="22" t="s">
        <v>30</v>
      </c>
      <c r="I201" s="22" t="s">
        <v>393</v>
      </c>
      <c r="J201" s="22" t="s">
        <v>65</v>
      </c>
      <c r="K201" s="519" t="s">
        <v>1191</v>
      </c>
      <c r="L201" s="521" t="s">
        <v>1212</v>
      </c>
      <c r="M201" s="521" t="s">
        <v>1213</v>
      </c>
      <c r="N201" s="521" t="s">
        <v>815</v>
      </c>
      <c r="O201" s="22" t="s">
        <v>394</v>
      </c>
      <c r="P201" s="426">
        <v>2021</v>
      </c>
      <c r="Q201" s="720">
        <f t="shared" ca="1" si="9"/>
        <v>0</v>
      </c>
      <c r="R201" s="335" t="str">
        <f t="shared" ca="1" si="10"/>
        <v>N/A</v>
      </c>
      <c r="S201" s="335" t="str">
        <f t="shared" ca="1" si="11"/>
        <v>N/A</v>
      </c>
      <c r="T201" s="429" t="s">
        <v>899</v>
      </c>
      <c r="U201" s="305"/>
      <c r="V201" s="24"/>
      <c r="W201" s="21"/>
      <c r="Y201" s="490"/>
    </row>
    <row r="202" spans="1:25" ht="45">
      <c r="A202" s="31">
        <v>199</v>
      </c>
      <c r="B202" s="22" t="s">
        <v>39</v>
      </c>
      <c r="C202" s="22" t="s">
        <v>366</v>
      </c>
      <c r="D202" s="22" t="s">
        <v>141</v>
      </c>
      <c r="E202" s="23" t="s">
        <v>51</v>
      </c>
      <c r="F202" s="22" t="s">
        <v>66</v>
      </c>
      <c r="G202" s="22" t="s">
        <v>53</v>
      </c>
      <c r="H202" s="22" t="s">
        <v>30</v>
      </c>
      <c r="I202" s="22" t="s">
        <v>393</v>
      </c>
      <c r="J202" s="22" t="s">
        <v>66</v>
      </c>
      <c r="K202" s="519" t="s">
        <v>1191</v>
      </c>
      <c r="L202" s="521" t="s">
        <v>1214</v>
      </c>
      <c r="M202" s="521" t="s">
        <v>1215</v>
      </c>
      <c r="N202" s="521" t="s">
        <v>815</v>
      </c>
      <c r="O202" s="22" t="s">
        <v>394</v>
      </c>
      <c r="P202" s="426">
        <v>2021</v>
      </c>
      <c r="Q202" s="720">
        <f t="shared" ca="1" si="9"/>
        <v>0</v>
      </c>
      <c r="R202" s="335" t="str">
        <f t="shared" ca="1" si="10"/>
        <v>N/A</v>
      </c>
      <c r="S202" s="335" t="str">
        <f t="shared" ca="1" si="11"/>
        <v>N/A</v>
      </c>
      <c r="T202" s="429" t="s">
        <v>899</v>
      </c>
      <c r="U202" s="305"/>
      <c r="V202" s="24"/>
      <c r="W202" s="21"/>
      <c r="Y202" s="490"/>
    </row>
    <row r="203" spans="1:25" ht="45">
      <c r="A203" s="31">
        <v>200</v>
      </c>
      <c r="B203" s="22" t="s">
        <v>39</v>
      </c>
      <c r="C203" s="22" t="s">
        <v>366</v>
      </c>
      <c r="D203" s="22" t="s">
        <v>252</v>
      </c>
      <c r="E203" s="23" t="s">
        <v>42</v>
      </c>
      <c r="F203" s="22" t="s">
        <v>43</v>
      </c>
      <c r="G203" s="22" t="s">
        <v>44</v>
      </c>
      <c r="H203" s="22" t="s">
        <v>30</v>
      </c>
      <c r="I203" s="22" t="s">
        <v>396</v>
      </c>
      <c r="J203" s="22" t="s">
        <v>314</v>
      </c>
      <c r="K203" s="519" t="s">
        <v>1191</v>
      </c>
      <c r="L203" s="521" t="s">
        <v>1216</v>
      </c>
      <c r="M203" s="521" t="s">
        <v>1217</v>
      </c>
      <c r="N203" s="521" t="s">
        <v>815</v>
      </c>
      <c r="O203" s="22" t="s">
        <v>394</v>
      </c>
      <c r="P203" s="426">
        <v>2021</v>
      </c>
      <c r="Q203" s="720">
        <f t="shared" ca="1" si="9"/>
        <v>0</v>
      </c>
      <c r="R203" s="335" t="str">
        <f t="shared" ca="1" si="10"/>
        <v>N/A</v>
      </c>
      <c r="S203" s="335" t="str">
        <f t="shared" ca="1" si="11"/>
        <v>N/A</v>
      </c>
      <c r="T203" s="429" t="s">
        <v>48</v>
      </c>
      <c r="U203" s="22"/>
      <c r="V203" s="24"/>
      <c r="W203" s="21"/>
      <c r="Y203" s="490"/>
    </row>
    <row r="204" spans="1:25" ht="45">
      <c r="A204" s="31">
        <v>201</v>
      </c>
      <c r="B204" s="22" t="s">
        <v>39</v>
      </c>
      <c r="C204" s="22" t="s">
        <v>366</v>
      </c>
      <c r="D204" s="22" t="s">
        <v>397</v>
      </c>
      <c r="E204" s="23" t="s">
        <v>398</v>
      </c>
      <c r="F204" s="22" t="s">
        <v>399</v>
      </c>
      <c r="G204" s="22" t="s">
        <v>219</v>
      </c>
      <c r="H204" s="22" t="s">
        <v>164</v>
      </c>
      <c r="I204" s="22" t="s">
        <v>400</v>
      </c>
      <c r="J204" s="22" t="s">
        <v>401</v>
      </c>
      <c r="K204" s="519" t="s">
        <v>1191</v>
      </c>
      <c r="L204" s="521" t="s">
        <v>1218</v>
      </c>
      <c r="M204" s="521" t="s">
        <v>1219</v>
      </c>
      <c r="N204" s="521" t="s">
        <v>885</v>
      </c>
      <c r="O204" s="22" t="s">
        <v>394</v>
      </c>
      <c r="P204" s="426">
        <v>2021</v>
      </c>
      <c r="Q204" s="720">
        <f t="shared" ca="1" si="9"/>
        <v>0</v>
      </c>
      <c r="R204" s="335">
        <f t="shared" ca="1" si="10"/>
        <v>0</v>
      </c>
      <c r="S204" s="335">
        <f t="shared" ca="1" si="11"/>
        <v>0</v>
      </c>
      <c r="T204" s="429"/>
      <c r="U204" s="22"/>
      <c r="V204" s="24"/>
      <c r="W204" s="21"/>
      <c r="Y204" s="490"/>
    </row>
    <row r="205" spans="1:25" ht="45">
      <c r="A205" s="31">
        <v>202</v>
      </c>
      <c r="B205" s="22" t="s">
        <v>39</v>
      </c>
      <c r="C205" s="22" t="s">
        <v>366</v>
      </c>
      <c r="D205" s="22" t="s">
        <v>397</v>
      </c>
      <c r="E205" s="23" t="s">
        <v>398</v>
      </c>
      <c r="F205" s="22" t="s">
        <v>402</v>
      </c>
      <c r="G205" s="22" t="s">
        <v>219</v>
      </c>
      <c r="H205" s="22" t="s">
        <v>164</v>
      </c>
      <c r="I205" s="22" t="s">
        <v>400</v>
      </c>
      <c r="J205" s="22" t="s">
        <v>403</v>
      </c>
      <c r="K205" s="519" t="s">
        <v>1191</v>
      </c>
      <c r="L205" s="521" t="s">
        <v>1220</v>
      </c>
      <c r="M205" s="521" t="s">
        <v>1221</v>
      </c>
      <c r="N205" s="521" t="s">
        <v>885</v>
      </c>
      <c r="O205" s="22" t="s">
        <v>394</v>
      </c>
      <c r="P205" s="426">
        <v>2021</v>
      </c>
      <c r="Q205" s="720">
        <f t="shared" ca="1" si="9"/>
        <v>0</v>
      </c>
      <c r="R205" s="335">
        <f t="shared" ca="1" si="10"/>
        <v>0</v>
      </c>
      <c r="S205" s="335">
        <f t="shared" ca="1" si="11"/>
        <v>0</v>
      </c>
      <c r="T205" s="429"/>
      <c r="U205" s="22"/>
      <c r="V205" s="24"/>
      <c r="W205" s="21"/>
      <c r="Y205" s="490"/>
    </row>
    <row r="206" spans="1:25" ht="75">
      <c r="A206" s="31">
        <v>203</v>
      </c>
      <c r="B206" s="22" t="s">
        <v>39</v>
      </c>
      <c r="C206" s="22" t="s">
        <v>366</v>
      </c>
      <c r="D206" s="22" t="s">
        <v>397</v>
      </c>
      <c r="E206" s="23" t="s">
        <v>398</v>
      </c>
      <c r="F206" s="22" t="s">
        <v>404</v>
      </c>
      <c r="G206" s="22" t="s">
        <v>219</v>
      </c>
      <c r="H206" s="22" t="s">
        <v>164</v>
      </c>
      <c r="I206" s="22" t="s">
        <v>400</v>
      </c>
      <c r="J206" s="22" t="s">
        <v>405</v>
      </c>
      <c r="K206" s="519" t="s">
        <v>1191</v>
      </c>
      <c r="L206" s="521" t="s">
        <v>1222</v>
      </c>
      <c r="M206" s="521" t="s">
        <v>1223</v>
      </c>
      <c r="N206" s="521" t="s">
        <v>885</v>
      </c>
      <c r="O206" s="22" t="s">
        <v>394</v>
      </c>
      <c r="P206" s="426">
        <v>2021</v>
      </c>
      <c r="Q206" s="720">
        <f t="shared" ca="1" si="9"/>
        <v>0</v>
      </c>
      <c r="R206" s="335">
        <f t="shared" ca="1" si="10"/>
        <v>0</v>
      </c>
      <c r="S206" s="335">
        <f t="shared" ca="1" si="11"/>
        <v>0</v>
      </c>
      <c r="T206" s="429" t="s">
        <v>406</v>
      </c>
      <c r="U206" s="22" t="s">
        <v>407</v>
      </c>
      <c r="V206" s="24"/>
      <c r="W206" s="21"/>
      <c r="Y206" s="490"/>
    </row>
    <row r="207" spans="1:25" ht="45">
      <c r="A207" s="31">
        <v>204</v>
      </c>
      <c r="B207" s="22" t="s">
        <v>39</v>
      </c>
      <c r="C207" s="22" t="s">
        <v>366</v>
      </c>
      <c r="D207" s="22" t="s">
        <v>397</v>
      </c>
      <c r="E207" s="23" t="s">
        <v>234</v>
      </c>
      <c r="F207" s="22" t="s">
        <v>408</v>
      </c>
      <c r="G207" s="22" t="s">
        <v>235</v>
      </c>
      <c r="H207" s="22" t="s">
        <v>164</v>
      </c>
      <c r="I207" s="22" t="s">
        <v>409</v>
      </c>
      <c r="J207" s="22" t="s">
        <v>410</v>
      </c>
      <c r="K207" s="519" t="s">
        <v>1191</v>
      </c>
      <c r="L207" s="521" t="s">
        <v>1224</v>
      </c>
      <c r="M207" s="521" t="s">
        <v>1225</v>
      </c>
      <c r="N207" s="521" t="s">
        <v>815</v>
      </c>
      <c r="O207" s="22" t="s">
        <v>394</v>
      </c>
      <c r="P207" s="426">
        <v>2021</v>
      </c>
      <c r="Q207" s="720">
        <f t="shared" ca="1" si="9"/>
        <v>0</v>
      </c>
      <c r="R207" s="335" t="str">
        <f t="shared" ca="1" si="10"/>
        <v>N/A</v>
      </c>
      <c r="S207" s="335" t="str">
        <f t="shared" ca="1" si="11"/>
        <v>N/A</v>
      </c>
      <c r="T207" s="429"/>
      <c r="U207" s="22"/>
      <c r="V207" s="24"/>
      <c r="W207" s="21"/>
      <c r="Y207" s="490"/>
    </row>
    <row r="208" spans="1:25" ht="45">
      <c r="A208" s="31">
        <v>205</v>
      </c>
      <c r="B208" s="22" t="s">
        <v>39</v>
      </c>
      <c r="C208" s="22" t="s">
        <v>366</v>
      </c>
      <c r="D208" s="22" t="s">
        <v>397</v>
      </c>
      <c r="E208" s="23" t="s">
        <v>234</v>
      </c>
      <c r="F208" s="22" t="s">
        <v>411</v>
      </c>
      <c r="G208" s="22" t="s">
        <v>235</v>
      </c>
      <c r="H208" s="22" t="s">
        <v>164</v>
      </c>
      <c r="I208" s="22" t="s">
        <v>409</v>
      </c>
      <c r="J208" s="22" t="s">
        <v>410</v>
      </c>
      <c r="K208" s="519" t="s">
        <v>1191</v>
      </c>
      <c r="L208" s="521" t="s">
        <v>1226</v>
      </c>
      <c r="M208" s="521" t="s">
        <v>1227</v>
      </c>
      <c r="N208" s="521" t="s">
        <v>815</v>
      </c>
      <c r="O208" s="22" t="s">
        <v>394</v>
      </c>
      <c r="P208" s="426">
        <v>2021</v>
      </c>
      <c r="Q208" s="720">
        <f t="shared" ca="1" si="9"/>
        <v>0</v>
      </c>
      <c r="R208" s="335" t="str">
        <f t="shared" ca="1" si="10"/>
        <v>N/A</v>
      </c>
      <c r="S208" s="335" t="str">
        <f t="shared" ca="1" si="11"/>
        <v>N/A</v>
      </c>
      <c r="T208" s="429"/>
      <c r="U208" s="22"/>
      <c r="V208" s="24"/>
      <c r="W208" s="21"/>
      <c r="Y208" s="490"/>
    </row>
    <row r="209" spans="1:25" ht="60">
      <c r="A209" s="31">
        <v>206</v>
      </c>
      <c r="B209" s="22" t="s">
        <v>39</v>
      </c>
      <c r="C209" s="22" t="s">
        <v>366</v>
      </c>
      <c r="D209" s="22" t="s">
        <v>397</v>
      </c>
      <c r="E209" s="23" t="s">
        <v>234</v>
      </c>
      <c r="F209" s="22" t="s">
        <v>412</v>
      </c>
      <c r="G209" s="22" t="s">
        <v>235</v>
      </c>
      <c r="H209" s="22" t="s">
        <v>164</v>
      </c>
      <c r="I209" s="22" t="s">
        <v>409</v>
      </c>
      <c r="J209" s="22" t="s">
        <v>413</v>
      </c>
      <c r="K209" s="519" t="s">
        <v>1191</v>
      </c>
      <c r="L209" s="521" t="s">
        <v>1228</v>
      </c>
      <c r="M209" s="521" t="s">
        <v>1229</v>
      </c>
      <c r="N209" s="521" t="s">
        <v>815</v>
      </c>
      <c r="O209" s="22" t="s">
        <v>394</v>
      </c>
      <c r="P209" s="426">
        <v>2021</v>
      </c>
      <c r="Q209" s="720">
        <f t="shared" ca="1" si="9"/>
        <v>0</v>
      </c>
      <c r="R209" s="335" t="str">
        <f t="shared" ca="1" si="10"/>
        <v>N/A</v>
      </c>
      <c r="S209" s="335" t="str">
        <f t="shared" ca="1" si="11"/>
        <v>N/A</v>
      </c>
      <c r="T209" s="429" t="s">
        <v>414</v>
      </c>
      <c r="U209" s="22"/>
      <c r="V209" s="24"/>
      <c r="W209" s="21"/>
      <c r="Y209" s="490"/>
    </row>
    <row r="210" spans="1:25" ht="45">
      <c r="A210" s="31">
        <v>207</v>
      </c>
      <c r="B210" s="22" t="s">
        <v>39</v>
      </c>
      <c r="C210" s="22" t="s">
        <v>366</v>
      </c>
      <c r="D210" s="22" t="s">
        <v>397</v>
      </c>
      <c r="E210" s="23" t="s">
        <v>415</v>
      </c>
      <c r="F210" s="22" t="s">
        <v>408</v>
      </c>
      <c r="G210" s="22" t="s">
        <v>416</v>
      </c>
      <c r="H210" s="22" t="s">
        <v>164</v>
      </c>
      <c r="I210" s="22" t="s">
        <v>417</v>
      </c>
      <c r="J210" s="22" t="s">
        <v>418</v>
      </c>
      <c r="K210" s="519" t="s">
        <v>1191</v>
      </c>
      <c r="L210" s="521" t="s">
        <v>1230</v>
      </c>
      <c r="M210" s="521" t="s">
        <v>1231</v>
      </c>
      <c r="N210" s="521" t="s">
        <v>885</v>
      </c>
      <c r="O210" s="22" t="s">
        <v>394</v>
      </c>
      <c r="P210" s="426">
        <v>2021</v>
      </c>
      <c r="Q210" s="720">
        <f t="shared" ca="1" si="9"/>
        <v>0</v>
      </c>
      <c r="R210" s="335">
        <f t="shared" ca="1" si="10"/>
        <v>0</v>
      </c>
      <c r="S210" s="335">
        <f t="shared" ca="1" si="11"/>
        <v>0</v>
      </c>
      <c r="T210" s="429"/>
      <c r="U210" s="22"/>
      <c r="V210" s="24"/>
      <c r="W210" s="21"/>
      <c r="Y210" s="490"/>
    </row>
    <row r="211" spans="1:25" ht="45">
      <c r="A211" s="31">
        <v>208</v>
      </c>
      <c r="B211" s="22" t="s">
        <v>39</v>
      </c>
      <c r="C211" s="22" t="s">
        <v>366</v>
      </c>
      <c r="D211" s="22" t="s">
        <v>397</v>
      </c>
      <c r="E211" s="23" t="s">
        <v>415</v>
      </c>
      <c r="F211" s="22" t="s">
        <v>411</v>
      </c>
      <c r="G211" s="22" t="s">
        <v>416</v>
      </c>
      <c r="H211" s="22" t="s">
        <v>164</v>
      </c>
      <c r="I211" s="22" t="s">
        <v>417</v>
      </c>
      <c r="J211" s="22" t="s">
        <v>419</v>
      </c>
      <c r="K211" s="519" t="s">
        <v>1191</v>
      </c>
      <c r="L211" s="521" t="s">
        <v>1232</v>
      </c>
      <c r="M211" s="521" t="s">
        <v>1233</v>
      </c>
      <c r="N211" s="521" t="s">
        <v>885</v>
      </c>
      <c r="O211" s="22" t="s">
        <v>394</v>
      </c>
      <c r="P211" s="426">
        <v>2021</v>
      </c>
      <c r="Q211" s="720">
        <f t="shared" ca="1" si="9"/>
        <v>0</v>
      </c>
      <c r="R211" s="335">
        <f t="shared" ca="1" si="10"/>
        <v>0</v>
      </c>
      <c r="S211" s="335">
        <f t="shared" ca="1" si="11"/>
        <v>0</v>
      </c>
      <c r="T211" s="429"/>
      <c r="U211" s="22"/>
      <c r="V211" s="24"/>
      <c r="W211" s="21"/>
      <c r="Y211" s="490"/>
    </row>
    <row r="212" spans="1:25" ht="45">
      <c r="A212" s="31">
        <v>209</v>
      </c>
      <c r="B212" s="22" t="s">
        <v>39</v>
      </c>
      <c r="C212" s="22" t="s">
        <v>366</v>
      </c>
      <c r="D212" s="22" t="s">
        <v>397</v>
      </c>
      <c r="E212" s="23" t="s">
        <v>415</v>
      </c>
      <c r="F212" s="22" t="s">
        <v>412</v>
      </c>
      <c r="G212" s="22" t="s">
        <v>416</v>
      </c>
      <c r="H212" s="22" t="s">
        <v>164</v>
      </c>
      <c r="I212" s="22" t="s">
        <v>417</v>
      </c>
      <c r="J212" s="22" t="s">
        <v>420</v>
      </c>
      <c r="K212" s="519" t="s">
        <v>1191</v>
      </c>
      <c r="L212" s="521" t="s">
        <v>1234</v>
      </c>
      <c r="M212" s="521" t="s">
        <v>1235</v>
      </c>
      <c r="N212" s="521" t="s">
        <v>885</v>
      </c>
      <c r="O212" s="22" t="s">
        <v>394</v>
      </c>
      <c r="P212" s="426">
        <v>2021</v>
      </c>
      <c r="Q212" s="720">
        <f t="shared" ca="1" si="9"/>
        <v>0</v>
      </c>
      <c r="R212" s="335">
        <f t="shared" ca="1" si="10"/>
        <v>0</v>
      </c>
      <c r="S212" s="335">
        <f t="shared" ca="1" si="11"/>
        <v>0</v>
      </c>
      <c r="T212" s="429" t="s">
        <v>421</v>
      </c>
      <c r="U212" s="22"/>
      <c r="V212" s="24"/>
      <c r="W212" s="21"/>
      <c r="Y212" s="490"/>
    </row>
    <row r="213" spans="1:25" ht="75">
      <c r="A213" s="31">
        <v>210</v>
      </c>
      <c r="B213" s="22" t="s">
        <v>39</v>
      </c>
      <c r="C213" s="22" t="s">
        <v>422</v>
      </c>
      <c r="D213" s="22" t="s">
        <v>153</v>
      </c>
      <c r="E213" s="23" t="s">
        <v>141</v>
      </c>
      <c r="F213" s="22" t="s">
        <v>142</v>
      </c>
      <c r="G213" s="22" t="s">
        <v>143</v>
      </c>
      <c r="H213" s="22" t="s">
        <v>30</v>
      </c>
      <c r="I213" s="22" t="s">
        <v>423</v>
      </c>
      <c r="J213" s="22" t="s">
        <v>424</v>
      </c>
      <c r="K213" s="519" t="s">
        <v>1191</v>
      </c>
      <c r="L213" s="521" t="s">
        <v>1236</v>
      </c>
      <c r="M213" s="521" t="s">
        <v>1237</v>
      </c>
      <c r="N213" s="521" t="s">
        <v>885</v>
      </c>
      <c r="O213" s="22" t="s">
        <v>394</v>
      </c>
      <c r="P213" s="426">
        <v>2021</v>
      </c>
      <c r="Q213" s="720">
        <f t="shared" ca="1" si="9"/>
        <v>0</v>
      </c>
      <c r="R213" s="335">
        <f t="shared" ca="1" si="10"/>
        <v>0</v>
      </c>
      <c r="S213" s="335">
        <f t="shared" ca="1" si="11"/>
        <v>16719</v>
      </c>
      <c r="T213" s="429" t="s">
        <v>425</v>
      </c>
      <c r="U213" s="22" t="s">
        <v>246</v>
      </c>
      <c r="V213" s="24"/>
      <c r="W213" s="21"/>
      <c r="Y213" s="490"/>
    </row>
    <row r="214" spans="1:25" ht="75">
      <c r="A214" s="31">
        <v>211</v>
      </c>
      <c r="B214" s="22" t="s">
        <v>39</v>
      </c>
      <c r="C214" s="22" t="s">
        <v>422</v>
      </c>
      <c r="D214" s="22" t="s">
        <v>426</v>
      </c>
      <c r="E214" s="23" t="s">
        <v>252</v>
      </c>
      <c r="F214" s="22" t="s">
        <v>142</v>
      </c>
      <c r="G214" s="22" t="s">
        <v>253</v>
      </c>
      <c r="H214" s="22" t="s">
        <v>164</v>
      </c>
      <c r="I214" s="22" t="s">
        <v>427</v>
      </c>
      <c r="J214" s="22" t="s">
        <v>428</v>
      </c>
      <c r="K214" s="519" t="s">
        <v>1191</v>
      </c>
      <c r="L214" s="521" t="s">
        <v>1238</v>
      </c>
      <c r="M214" s="521" t="s">
        <v>1239</v>
      </c>
      <c r="N214" s="521" t="s">
        <v>885</v>
      </c>
      <c r="O214" s="22" t="s">
        <v>394</v>
      </c>
      <c r="P214" s="426">
        <v>2021</v>
      </c>
      <c r="Q214" s="720">
        <f t="shared" ca="1" si="9"/>
        <v>0</v>
      </c>
      <c r="R214" s="335">
        <f t="shared" ca="1" si="10"/>
        <v>0</v>
      </c>
      <c r="S214" s="335">
        <f t="shared" ca="1" si="11"/>
        <v>383968554</v>
      </c>
      <c r="T214" s="429" t="s">
        <v>429</v>
      </c>
      <c r="U214" s="22"/>
      <c r="V214" s="24"/>
      <c r="W214" s="21"/>
      <c r="Y214" s="490"/>
    </row>
    <row r="215" spans="1:25" ht="105">
      <c r="A215" s="31">
        <v>212</v>
      </c>
      <c r="B215" s="22" t="s">
        <v>39</v>
      </c>
      <c r="C215" s="22" t="s">
        <v>422</v>
      </c>
      <c r="D215" s="22" t="s">
        <v>426</v>
      </c>
      <c r="E215" s="23" t="s">
        <v>430</v>
      </c>
      <c r="F215" s="22" t="s">
        <v>142</v>
      </c>
      <c r="G215" s="22" t="s">
        <v>416</v>
      </c>
      <c r="H215" s="22" t="s">
        <v>164</v>
      </c>
      <c r="I215" s="22" t="s">
        <v>431</v>
      </c>
      <c r="J215" s="22" t="s">
        <v>432</v>
      </c>
      <c r="K215" s="519" t="s">
        <v>1191</v>
      </c>
      <c r="L215" s="521" t="s">
        <v>1240</v>
      </c>
      <c r="M215" s="521" t="s">
        <v>1241</v>
      </c>
      <c r="N215" s="521" t="s">
        <v>885</v>
      </c>
      <c r="O215" s="22" t="s">
        <v>394</v>
      </c>
      <c r="P215" s="426">
        <v>2021</v>
      </c>
      <c r="Q215" s="720">
        <f t="shared" ca="1" si="9"/>
        <v>0</v>
      </c>
      <c r="R215" s="335">
        <f t="shared" ca="1" si="10"/>
        <v>0</v>
      </c>
      <c r="S215" s="335">
        <f t="shared" ca="1" si="11"/>
        <v>0</v>
      </c>
      <c r="T215" s="429" t="s">
        <v>433</v>
      </c>
      <c r="U215" s="22"/>
      <c r="V215" s="24"/>
      <c r="W215" s="21"/>
      <c r="Y215" s="490"/>
    </row>
    <row r="216" spans="1:25" ht="30">
      <c r="A216" s="31">
        <v>213</v>
      </c>
      <c r="B216" s="22" t="s">
        <v>39</v>
      </c>
      <c r="C216" s="22" t="s">
        <v>422</v>
      </c>
      <c r="D216" s="22" t="s">
        <v>434</v>
      </c>
      <c r="E216" s="23" t="s">
        <v>91</v>
      </c>
      <c r="F216" s="22" t="s">
        <v>92</v>
      </c>
      <c r="G216" s="22" t="s">
        <v>93</v>
      </c>
      <c r="H216" s="22" t="s">
        <v>30</v>
      </c>
      <c r="I216" s="22" t="s">
        <v>435</v>
      </c>
      <c r="J216" s="22" t="s">
        <v>92</v>
      </c>
      <c r="K216" s="519" t="s">
        <v>1191</v>
      </c>
      <c r="L216" s="521" t="s">
        <v>1242</v>
      </c>
      <c r="M216" s="521" t="s">
        <v>1243</v>
      </c>
      <c r="N216" s="521" t="s">
        <v>885</v>
      </c>
      <c r="O216" s="22" t="s">
        <v>394</v>
      </c>
      <c r="P216" s="426">
        <v>2021</v>
      </c>
      <c r="Q216" s="414">
        <f t="shared" ca="1" si="9"/>
        <v>0</v>
      </c>
      <c r="R216" s="335">
        <f t="shared" ca="1" si="10"/>
        <v>0</v>
      </c>
      <c r="S216" s="335">
        <f t="shared" ca="1" si="11"/>
        <v>0</v>
      </c>
      <c r="T216" s="429"/>
      <c r="U216" s="22"/>
      <c r="V216" s="24"/>
      <c r="W216" s="21"/>
      <c r="Y216" s="490"/>
    </row>
    <row r="217" spans="1:25" ht="30">
      <c r="A217" s="31">
        <v>214</v>
      </c>
      <c r="B217" s="22" t="s">
        <v>39</v>
      </c>
      <c r="C217" s="22" t="s">
        <v>422</v>
      </c>
      <c r="D217" s="22" t="s">
        <v>434</v>
      </c>
      <c r="E217" s="23" t="s">
        <v>91</v>
      </c>
      <c r="F217" s="22" t="s">
        <v>95</v>
      </c>
      <c r="G217" s="22" t="s">
        <v>93</v>
      </c>
      <c r="H217" s="22" t="s">
        <v>30</v>
      </c>
      <c r="I217" s="22" t="s">
        <v>435</v>
      </c>
      <c r="J217" s="22" t="s">
        <v>95</v>
      </c>
      <c r="K217" s="519" t="s">
        <v>1191</v>
      </c>
      <c r="L217" s="521" t="s">
        <v>1244</v>
      </c>
      <c r="M217" s="521" t="s">
        <v>1245</v>
      </c>
      <c r="N217" s="521" t="s">
        <v>885</v>
      </c>
      <c r="O217" s="22" t="s">
        <v>394</v>
      </c>
      <c r="P217" s="426">
        <v>2021</v>
      </c>
      <c r="Q217" s="414">
        <f t="shared" ca="1" si="9"/>
        <v>0</v>
      </c>
      <c r="R217" s="335">
        <f t="shared" ca="1" si="10"/>
        <v>0</v>
      </c>
      <c r="S217" s="335">
        <f t="shared" ca="1" si="11"/>
        <v>0</v>
      </c>
      <c r="T217" s="429"/>
      <c r="U217" s="22"/>
      <c r="V217" s="24"/>
      <c r="W217" s="21"/>
      <c r="Y217" s="490"/>
    </row>
    <row r="218" spans="1:25" ht="30">
      <c r="A218" s="31">
        <v>215</v>
      </c>
      <c r="B218" s="22" t="s">
        <v>39</v>
      </c>
      <c r="C218" s="22" t="s">
        <v>422</v>
      </c>
      <c r="D218" s="22" t="s">
        <v>434</v>
      </c>
      <c r="E218" s="23" t="s">
        <v>91</v>
      </c>
      <c r="F218" s="22" t="s">
        <v>96</v>
      </c>
      <c r="G218" s="22" t="s">
        <v>93</v>
      </c>
      <c r="H218" s="22" t="s">
        <v>30</v>
      </c>
      <c r="I218" s="22" t="s">
        <v>435</v>
      </c>
      <c r="J218" s="22" t="s">
        <v>96</v>
      </c>
      <c r="K218" s="519" t="s">
        <v>1191</v>
      </c>
      <c r="L218" s="521" t="s">
        <v>1246</v>
      </c>
      <c r="M218" s="521" t="s">
        <v>1247</v>
      </c>
      <c r="N218" s="521" t="s">
        <v>885</v>
      </c>
      <c r="O218" s="22" t="s">
        <v>394</v>
      </c>
      <c r="P218" s="426">
        <v>2021</v>
      </c>
      <c r="Q218" s="414">
        <f t="shared" ca="1" si="9"/>
        <v>0</v>
      </c>
      <c r="R218" s="335">
        <f t="shared" ca="1" si="10"/>
        <v>0</v>
      </c>
      <c r="S218" s="335">
        <f t="shared" ca="1" si="11"/>
        <v>0</v>
      </c>
      <c r="T218" s="429" t="s">
        <v>48</v>
      </c>
      <c r="U218" s="22" t="s">
        <v>49</v>
      </c>
      <c r="V218" s="24"/>
      <c r="W218" s="21"/>
      <c r="Y218" s="490"/>
    </row>
    <row r="219" spans="1:25" ht="30">
      <c r="A219" s="31">
        <v>216</v>
      </c>
      <c r="B219" s="22" t="s">
        <v>39</v>
      </c>
      <c r="C219" s="22" t="s">
        <v>422</v>
      </c>
      <c r="D219" s="22" t="s">
        <v>434</v>
      </c>
      <c r="E219" s="23" t="s">
        <v>91</v>
      </c>
      <c r="F219" s="22" t="s">
        <v>97</v>
      </c>
      <c r="G219" s="22" t="s">
        <v>93</v>
      </c>
      <c r="H219" s="22" t="s">
        <v>30</v>
      </c>
      <c r="I219" s="22" t="s">
        <v>435</v>
      </c>
      <c r="J219" s="22" t="s">
        <v>97</v>
      </c>
      <c r="K219" s="519" t="s">
        <v>1191</v>
      </c>
      <c r="L219" s="521" t="s">
        <v>1248</v>
      </c>
      <c r="M219" s="521" t="s">
        <v>1249</v>
      </c>
      <c r="N219" s="521" t="s">
        <v>885</v>
      </c>
      <c r="O219" s="22" t="s">
        <v>394</v>
      </c>
      <c r="P219" s="426">
        <v>2021</v>
      </c>
      <c r="Q219" s="414">
        <f t="shared" ca="1" si="9"/>
        <v>0</v>
      </c>
      <c r="R219" s="335">
        <f t="shared" ca="1" si="10"/>
        <v>0</v>
      </c>
      <c r="S219" s="335">
        <f t="shared" ca="1" si="11"/>
        <v>0</v>
      </c>
      <c r="T219" s="429"/>
      <c r="U219" s="22"/>
      <c r="V219" s="24"/>
      <c r="W219" s="21"/>
      <c r="Y219" s="490"/>
    </row>
    <row r="220" spans="1:25" ht="30">
      <c r="A220" s="31">
        <v>217</v>
      </c>
      <c r="B220" s="22" t="s">
        <v>39</v>
      </c>
      <c r="C220" s="22" t="s">
        <v>422</v>
      </c>
      <c r="D220" s="22" t="s">
        <v>434</v>
      </c>
      <c r="E220" s="23" t="s">
        <v>91</v>
      </c>
      <c r="F220" s="22" t="s">
        <v>98</v>
      </c>
      <c r="G220" s="22" t="s">
        <v>93</v>
      </c>
      <c r="H220" s="22" t="s">
        <v>30</v>
      </c>
      <c r="I220" s="22" t="s">
        <v>435</v>
      </c>
      <c r="J220" s="22" t="s">
        <v>98</v>
      </c>
      <c r="K220" s="519" t="s">
        <v>1191</v>
      </c>
      <c r="L220" s="521" t="s">
        <v>1250</v>
      </c>
      <c r="M220" s="521" t="s">
        <v>1251</v>
      </c>
      <c r="N220" s="521" t="s">
        <v>885</v>
      </c>
      <c r="O220" s="22" t="s">
        <v>394</v>
      </c>
      <c r="P220" s="426">
        <v>2021</v>
      </c>
      <c r="Q220" s="414">
        <f t="shared" ca="1" si="9"/>
        <v>0</v>
      </c>
      <c r="R220" s="335">
        <f t="shared" ca="1" si="10"/>
        <v>0</v>
      </c>
      <c r="S220" s="335">
        <f t="shared" ca="1" si="11"/>
        <v>0</v>
      </c>
      <c r="T220" s="429"/>
      <c r="U220" s="22"/>
      <c r="V220" s="24"/>
      <c r="W220" s="21"/>
      <c r="Y220" s="490"/>
    </row>
    <row r="221" spans="1:25" ht="30">
      <c r="A221" s="31">
        <v>218</v>
      </c>
      <c r="B221" s="22" t="s">
        <v>39</v>
      </c>
      <c r="C221" s="22" t="s">
        <v>422</v>
      </c>
      <c r="D221" s="22" t="s">
        <v>434</v>
      </c>
      <c r="E221" s="23" t="s">
        <v>91</v>
      </c>
      <c r="F221" s="22" t="s">
        <v>99</v>
      </c>
      <c r="G221" s="22" t="s">
        <v>93</v>
      </c>
      <c r="H221" s="22" t="s">
        <v>30</v>
      </c>
      <c r="I221" s="22" t="s">
        <v>435</v>
      </c>
      <c r="J221" s="22" t="s">
        <v>99</v>
      </c>
      <c r="K221" s="519" t="s">
        <v>1191</v>
      </c>
      <c r="L221" s="521" t="s">
        <v>1252</v>
      </c>
      <c r="M221" s="521" t="s">
        <v>1253</v>
      </c>
      <c r="N221" s="521" t="s">
        <v>885</v>
      </c>
      <c r="O221" s="22" t="s">
        <v>394</v>
      </c>
      <c r="P221" s="426">
        <v>2021</v>
      </c>
      <c r="Q221" s="414">
        <f t="shared" ca="1" si="9"/>
        <v>0</v>
      </c>
      <c r="R221" s="335">
        <f t="shared" ca="1" si="10"/>
        <v>0</v>
      </c>
      <c r="S221" s="335">
        <f t="shared" ca="1" si="11"/>
        <v>0</v>
      </c>
      <c r="T221" s="429" t="s">
        <v>48</v>
      </c>
      <c r="U221" s="22" t="s">
        <v>49</v>
      </c>
      <c r="V221" s="24"/>
      <c r="W221" s="21"/>
      <c r="Y221" s="490"/>
    </row>
    <row r="222" spans="1:25" ht="45">
      <c r="A222" s="31">
        <v>219</v>
      </c>
      <c r="B222" s="22" t="s">
        <v>39</v>
      </c>
      <c r="C222" s="22" t="s">
        <v>422</v>
      </c>
      <c r="D222" s="22" t="s">
        <v>436</v>
      </c>
      <c r="E222" s="23" t="s">
        <v>437</v>
      </c>
      <c r="F222" s="22" t="s">
        <v>438</v>
      </c>
      <c r="G222" s="22" t="s">
        <v>439</v>
      </c>
      <c r="H222" s="22" t="s">
        <v>164</v>
      </c>
      <c r="I222" s="22" t="s">
        <v>440</v>
      </c>
      <c r="J222" s="22" t="s">
        <v>441</v>
      </c>
      <c r="K222" s="519" t="s">
        <v>1191</v>
      </c>
      <c r="L222" s="521" t="s">
        <v>1254</v>
      </c>
      <c r="M222" s="521" t="s">
        <v>1255</v>
      </c>
      <c r="N222" s="521" t="s">
        <v>885</v>
      </c>
      <c r="O222" s="22" t="s">
        <v>394</v>
      </c>
      <c r="P222" s="426">
        <v>2021</v>
      </c>
      <c r="Q222" s="720">
        <f t="shared" ca="1" si="9"/>
        <v>0</v>
      </c>
      <c r="R222" s="335">
        <f t="shared" ca="1" si="10"/>
        <v>0</v>
      </c>
      <c r="S222" s="335">
        <f t="shared" ca="1" si="11"/>
        <v>0</v>
      </c>
      <c r="T222" s="429" t="s">
        <v>442</v>
      </c>
      <c r="U222" s="22" t="s">
        <v>443</v>
      </c>
      <c r="V222" s="24"/>
      <c r="W222" s="21"/>
      <c r="Y222" s="490"/>
    </row>
    <row r="223" spans="1:25" ht="60">
      <c r="A223" s="31">
        <v>220</v>
      </c>
      <c r="B223" s="22" t="s">
        <v>39</v>
      </c>
      <c r="C223" s="22" t="s">
        <v>422</v>
      </c>
      <c r="D223" s="22" t="s">
        <v>444</v>
      </c>
      <c r="E223" s="23" t="s">
        <v>445</v>
      </c>
      <c r="F223" s="22" t="s">
        <v>142</v>
      </c>
      <c r="G223" s="22" t="s">
        <v>446</v>
      </c>
      <c r="H223" s="22" t="s">
        <v>30</v>
      </c>
      <c r="I223" s="22" t="s">
        <v>447</v>
      </c>
      <c r="J223" s="22" t="s">
        <v>448</v>
      </c>
      <c r="K223" s="519" t="s">
        <v>1191</v>
      </c>
      <c r="L223" s="521" t="s">
        <v>1256</v>
      </c>
      <c r="M223" s="521" t="s">
        <v>1257</v>
      </c>
      <c r="N223" s="521" t="s">
        <v>885</v>
      </c>
      <c r="O223" s="22" t="s">
        <v>394</v>
      </c>
      <c r="P223" s="426">
        <v>2021</v>
      </c>
      <c r="Q223" s="720">
        <f t="shared" ca="1" si="9"/>
        <v>1.0646569770919313E-2</v>
      </c>
      <c r="R223" s="335">
        <f t="shared" ca="1" si="10"/>
        <v>178</v>
      </c>
      <c r="S223" s="335">
        <f t="shared" ca="1" si="11"/>
        <v>16719</v>
      </c>
      <c r="U223" s="22" t="s">
        <v>449</v>
      </c>
      <c r="V223" s="24"/>
      <c r="W223" s="21"/>
      <c r="Y223" s="490"/>
    </row>
    <row r="224" spans="1:25" ht="45">
      <c r="A224" s="31">
        <v>221</v>
      </c>
      <c r="B224" s="22" t="s">
        <v>39</v>
      </c>
      <c r="C224" s="22" t="s">
        <v>422</v>
      </c>
      <c r="D224" s="22" t="s">
        <v>444</v>
      </c>
      <c r="E224" s="23" t="s">
        <v>450</v>
      </c>
      <c r="F224" s="22" t="s">
        <v>451</v>
      </c>
      <c r="G224" s="22" t="s">
        <v>452</v>
      </c>
      <c r="H224" s="22" t="s">
        <v>30</v>
      </c>
      <c r="I224" s="22" t="s">
        <v>453</v>
      </c>
      <c r="J224" s="22" t="s">
        <v>454</v>
      </c>
      <c r="K224" s="519" t="s">
        <v>1191</v>
      </c>
      <c r="L224" s="521" t="s">
        <v>1258</v>
      </c>
      <c r="M224" s="521" t="s">
        <v>1259</v>
      </c>
      <c r="N224" s="521" t="s">
        <v>885</v>
      </c>
      <c r="O224" s="22" t="s">
        <v>394</v>
      </c>
      <c r="P224" s="426">
        <v>2021</v>
      </c>
      <c r="Q224" s="414">
        <f t="shared" ca="1" si="9"/>
        <v>38.706905157743826</v>
      </c>
      <c r="R224" s="335">
        <f t="shared" ca="1" si="10"/>
        <v>14862234403.234037</v>
      </c>
      <c r="S224" s="335">
        <f t="shared" ca="1" si="11"/>
        <v>383968554</v>
      </c>
      <c r="T224" s="429" t="s">
        <v>455</v>
      </c>
      <c r="U224" s="22"/>
      <c r="V224" s="24"/>
      <c r="W224" s="21"/>
      <c r="Y224" s="490"/>
    </row>
    <row r="225" spans="1:25" ht="75">
      <c r="A225" s="31">
        <v>222</v>
      </c>
      <c r="B225" s="22" t="s">
        <v>39</v>
      </c>
      <c r="C225" s="22" t="s">
        <v>422</v>
      </c>
      <c r="D225" s="22" t="s">
        <v>456</v>
      </c>
      <c r="E225" s="23" t="s">
        <v>457</v>
      </c>
      <c r="F225" s="22" t="s">
        <v>142</v>
      </c>
      <c r="G225" s="22" t="s">
        <v>458</v>
      </c>
      <c r="H225" s="22" t="s">
        <v>164</v>
      </c>
      <c r="I225" s="22" t="s">
        <v>459</v>
      </c>
      <c r="J225" s="22" t="s">
        <v>460</v>
      </c>
      <c r="K225" s="519" t="s">
        <v>1191</v>
      </c>
      <c r="L225" s="521" t="s">
        <v>1260</v>
      </c>
      <c r="M225" s="521" t="s">
        <v>1261</v>
      </c>
      <c r="N225" s="521" t="s">
        <v>885</v>
      </c>
      <c r="O225" s="22" t="s">
        <v>394</v>
      </c>
      <c r="P225" s="426">
        <v>2021</v>
      </c>
      <c r="Q225" s="720">
        <f t="shared" ca="1" si="9"/>
        <v>1.0646569770919313E-2</v>
      </c>
      <c r="R225" s="335">
        <f t="shared" ca="1" si="10"/>
        <v>4087948</v>
      </c>
      <c r="S225" s="335">
        <f t="shared" ca="1" si="11"/>
        <v>383968554</v>
      </c>
      <c r="T225" s="429" t="s">
        <v>461</v>
      </c>
      <c r="U225" s="22"/>
      <c r="V225" s="24"/>
      <c r="W225" s="21"/>
      <c r="Y225" s="490"/>
    </row>
    <row r="226" spans="1:25" ht="45">
      <c r="A226" s="31">
        <v>223</v>
      </c>
      <c r="B226" s="22" t="s">
        <v>39</v>
      </c>
      <c r="C226" s="22" t="s">
        <v>462</v>
      </c>
      <c r="D226" s="22" t="s">
        <v>463</v>
      </c>
      <c r="E226" s="23" t="s">
        <v>51</v>
      </c>
      <c r="F226" s="22" t="s">
        <v>52</v>
      </c>
      <c r="G226" s="22" t="s">
        <v>53</v>
      </c>
      <c r="H226" s="22" t="s">
        <v>30</v>
      </c>
      <c r="I226" s="22" t="s">
        <v>464</v>
      </c>
      <c r="J226" s="22" t="s">
        <v>52</v>
      </c>
      <c r="K226" s="519" t="s">
        <v>1262</v>
      </c>
      <c r="L226" s="521" t="s">
        <v>1263</v>
      </c>
      <c r="M226" s="521" t="s">
        <v>1264</v>
      </c>
      <c r="N226" s="521" t="s">
        <v>815</v>
      </c>
      <c r="O226" s="22" t="s">
        <v>465</v>
      </c>
      <c r="P226" s="426">
        <v>2021</v>
      </c>
      <c r="Q226" s="414">
        <f t="shared" ca="1" si="9"/>
        <v>526.97448667001686</v>
      </c>
      <c r="R226" s="335" t="str">
        <f t="shared" ca="1" si="10"/>
        <v>N/A</v>
      </c>
      <c r="S226" s="335" t="str">
        <f t="shared" ca="1" si="11"/>
        <v>N/A</v>
      </c>
      <c r="T226" s="429" t="s">
        <v>48</v>
      </c>
      <c r="U226" s="22"/>
      <c r="V226" s="24"/>
      <c r="W226" s="21"/>
      <c r="Y226" s="490"/>
    </row>
    <row r="227" spans="1:25" ht="45">
      <c r="A227" s="31">
        <v>224</v>
      </c>
      <c r="B227" s="22" t="s">
        <v>39</v>
      </c>
      <c r="C227" s="22" t="s">
        <v>462</v>
      </c>
      <c r="D227" s="22" t="s">
        <v>463</v>
      </c>
      <c r="E227" s="23" t="s">
        <v>51</v>
      </c>
      <c r="F227" s="22" t="s">
        <v>55</v>
      </c>
      <c r="G227" s="22" t="s">
        <v>53</v>
      </c>
      <c r="H227" s="22" t="s">
        <v>30</v>
      </c>
      <c r="I227" s="22" t="s">
        <v>464</v>
      </c>
      <c r="J227" s="22" t="s">
        <v>55</v>
      </c>
      <c r="K227" s="519" t="s">
        <v>1262</v>
      </c>
      <c r="L227" s="521" t="s">
        <v>1265</v>
      </c>
      <c r="M227" s="521" t="s">
        <v>1266</v>
      </c>
      <c r="N227" s="521" t="s">
        <v>815</v>
      </c>
      <c r="O227" s="22" t="s">
        <v>465</v>
      </c>
      <c r="P227" s="426">
        <v>2021</v>
      </c>
      <c r="Q227" s="414">
        <f t="shared" ca="1" si="9"/>
        <v>458.09941897824945</v>
      </c>
      <c r="R227" s="335" t="str">
        <f t="shared" ca="1" si="10"/>
        <v>N/A</v>
      </c>
      <c r="S227" s="335" t="str">
        <f t="shared" ca="1" si="11"/>
        <v>N/A</v>
      </c>
      <c r="T227" s="429" t="s">
        <v>48</v>
      </c>
      <c r="U227" s="22"/>
      <c r="V227" s="24"/>
      <c r="W227" s="21"/>
      <c r="Y227" s="490"/>
    </row>
    <row r="228" spans="1:25" ht="45">
      <c r="A228" s="31">
        <v>225</v>
      </c>
      <c r="B228" s="22" t="s">
        <v>39</v>
      </c>
      <c r="C228" s="22" t="s">
        <v>462</v>
      </c>
      <c r="D228" s="22" t="s">
        <v>463</v>
      </c>
      <c r="E228" s="23" t="s">
        <v>51</v>
      </c>
      <c r="F228" s="22" t="s">
        <v>56</v>
      </c>
      <c r="G228" s="22" t="s">
        <v>53</v>
      </c>
      <c r="H228" s="22" t="s">
        <v>30</v>
      </c>
      <c r="I228" s="22" t="s">
        <v>464</v>
      </c>
      <c r="J228" s="22" t="s">
        <v>56</v>
      </c>
      <c r="K228" s="519" t="s">
        <v>1262</v>
      </c>
      <c r="L228" s="521" t="s">
        <v>1267</v>
      </c>
      <c r="M228" s="521" t="s">
        <v>1268</v>
      </c>
      <c r="N228" s="521" t="s">
        <v>815</v>
      </c>
      <c r="O228" s="22" t="s">
        <v>465</v>
      </c>
      <c r="P228" s="426">
        <v>2021</v>
      </c>
      <c r="Q228" s="414">
        <f t="shared" ca="1" si="9"/>
        <v>3936100.0098972721</v>
      </c>
      <c r="R228" s="335" t="str">
        <f t="shared" ca="1" si="10"/>
        <v>N/A</v>
      </c>
      <c r="S228" s="335" t="str">
        <f t="shared" ca="1" si="11"/>
        <v>N/A</v>
      </c>
      <c r="T228" s="429" t="s">
        <v>48</v>
      </c>
      <c r="U228" s="22"/>
      <c r="V228" s="24"/>
      <c r="W228" s="21"/>
      <c r="Y228" s="490"/>
    </row>
    <row r="229" spans="1:25" ht="45">
      <c r="A229" s="31">
        <v>226</v>
      </c>
      <c r="B229" s="22" t="s">
        <v>39</v>
      </c>
      <c r="C229" s="22" t="s">
        <v>462</v>
      </c>
      <c r="D229" s="22" t="s">
        <v>463</v>
      </c>
      <c r="E229" s="23" t="s">
        <v>51</v>
      </c>
      <c r="F229" s="22" t="s">
        <v>57</v>
      </c>
      <c r="G229" s="22" t="s">
        <v>53</v>
      </c>
      <c r="H229" s="22" t="s">
        <v>30</v>
      </c>
      <c r="I229" s="22" t="s">
        <v>464</v>
      </c>
      <c r="J229" s="22" t="s">
        <v>57</v>
      </c>
      <c r="K229" s="519" t="s">
        <v>1262</v>
      </c>
      <c r="L229" s="521" t="s">
        <v>1269</v>
      </c>
      <c r="M229" s="521" t="s">
        <v>1270</v>
      </c>
      <c r="N229" s="521" t="s">
        <v>815</v>
      </c>
      <c r="O229" s="22" t="s">
        <v>465</v>
      </c>
      <c r="P229" s="426">
        <v>2021</v>
      </c>
      <c r="Q229" s="414">
        <f t="shared" ca="1" si="9"/>
        <v>3456646.0931983329</v>
      </c>
      <c r="R229" s="335" t="str">
        <f t="shared" ca="1" si="10"/>
        <v>N/A</v>
      </c>
      <c r="S229" s="335" t="str">
        <f t="shared" ca="1" si="11"/>
        <v>N/A</v>
      </c>
      <c r="T229" s="429" t="s">
        <v>48</v>
      </c>
      <c r="U229" s="22"/>
      <c r="V229" s="24"/>
      <c r="W229" s="21"/>
      <c r="Y229" s="490"/>
    </row>
    <row r="230" spans="1:25" ht="45">
      <c r="A230" s="31">
        <v>227</v>
      </c>
      <c r="B230" s="22" t="s">
        <v>39</v>
      </c>
      <c r="C230" s="22" t="s">
        <v>462</v>
      </c>
      <c r="D230" s="22" t="s">
        <v>463</v>
      </c>
      <c r="E230" s="23" t="s">
        <v>51</v>
      </c>
      <c r="F230" s="22" t="s">
        <v>58</v>
      </c>
      <c r="G230" s="22" t="s">
        <v>53</v>
      </c>
      <c r="H230" s="22" t="s">
        <v>30</v>
      </c>
      <c r="I230" s="22" t="s">
        <v>464</v>
      </c>
      <c r="J230" s="22" t="s">
        <v>58</v>
      </c>
      <c r="K230" s="519" t="s">
        <v>1262</v>
      </c>
      <c r="L230" s="521" t="s">
        <v>1271</v>
      </c>
      <c r="M230" s="521" t="s">
        <v>1272</v>
      </c>
      <c r="N230" s="521" t="s">
        <v>815</v>
      </c>
      <c r="O230" s="22" t="s">
        <v>465</v>
      </c>
      <c r="P230" s="426">
        <v>2021</v>
      </c>
      <c r="Q230" s="414">
        <f t="shared" ca="1" si="9"/>
        <v>115481.60817746399</v>
      </c>
      <c r="R230" s="335" t="str">
        <f t="shared" ca="1" si="10"/>
        <v>N/A</v>
      </c>
      <c r="S230" s="335" t="str">
        <f t="shared" ca="1" si="11"/>
        <v>N/A</v>
      </c>
      <c r="T230" s="429" t="s">
        <v>48</v>
      </c>
      <c r="U230" s="22" t="s">
        <v>49</v>
      </c>
      <c r="V230" s="24"/>
      <c r="W230" s="21"/>
      <c r="Y230" s="490"/>
    </row>
    <row r="231" spans="1:25" ht="45">
      <c r="A231" s="31">
        <v>228</v>
      </c>
      <c r="B231" s="22" t="s">
        <v>39</v>
      </c>
      <c r="C231" s="22" t="s">
        <v>462</v>
      </c>
      <c r="D231" s="22" t="s">
        <v>463</v>
      </c>
      <c r="E231" s="23" t="s">
        <v>51</v>
      </c>
      <c r="F231" s="22" t="s">
        <v>60</v>
      </c>
      <c r="G231" s="22" t="s">
        <v>53</v>
      </c>
      <c r="H231" s="22" t="s">
        <v>30</v>
      </c>
      <c r="I231" s="22" t="s">
        <v>464</v>
      </c>
      <c r="J231" s="22" t="s">
        <v>60</v>
      </c>
      <c r="K231" s="519" t="s">
        <v>1262</v>
      </c>
      <c r="L231" s="521" t="s">
        <v>1273</v>
      </c>
      <c r="M231" s="521" t="s">
        <v>1274</v>
      </c>
      <c r="N231" s="521" t="s">
        <v>815</v>
      </c>
      <c r="O231" s="22" t="s">
        <v>465</v>
      </c>
      <c r="P231" s="426">
        <v>2021</v>
      </c>
      <c r="Q231" s="414">
        <f t="shared" ca="1" si="9"/>
        <v>87063.557028289157</v>
      </c>
      <c r="R231" s="335" t="str">
        <f t="shared" ca="1" si="10"/>
        <v>N/A</v>
      </c>
      <c r="S231" s="335" t="str">
        <f t="shared" ca="1" si="11"/>
        <v>N/A</v>
      </c>
      <c r="T231" s="429" t="s">
        <v>48</v>
      </c>
      <c r="U231" s="22" t="s">
        <v>49</v>
      </c>
      <c r="V231" s="24"/>
      <c r="W231" s="21"/>
      <c r="Y231" s="490"/>
    </row>
    <row r="232" spans="1:25" ht="45">
      <c r="A232" s="31">
        <v>229</v>
      </c>
      <c r="B232" s="22" t="s">
        <v>39</v>
      </c>
      <c r="C232" s="22" t="s">
        <v>462</v>
      </c>
      <c r="D232" s="22" t="s">
        <v>463</v>
      </c>
      <c r="E232" s="23" t="s">
        <v>51</v>
      </c>
      <c r="F232" s="22" t="s">
        <v>61</v>
      </c>
      <c r="G232" s="22" t="s">
        <v>53</v>
      </c>
      <c r="H232" s="22" t="s">
        <v>30</v>
      </c>
      <c r="I232" s="22" t="s">
        <v>464</v>
      </c>
      <c r="J232" s="22" t="s">
        <v>61</v>
      </c>
      <c r="K232" s="519" t="s">
        <v>1262</v>
      </c>
      <c r="L232" s="521" t="s">
        <v>1275</v>
      </c>
      <c r="M232" s="521" t="s">
        <v>1276</v>
      </c>
      <c r="N232" s="521" t="s">
        <v>815</v>
      </c>
      <c r="O232" s="22" t="s">
        <v>465</v>
      </c>
      <c r="P232" s="426">
        <v>2021</v>
      </c>
      <c r="Q232" s="414">
        <f t="shared" ca="1" si="9"/>
        <v>4795.1123763680444</v>
      </c>
      <c r="R232" s="335" t="str">
        <f t="shared" ca="1" si="10"/>
        <v>N/A</v>
      </c>
      <c r="S232" s="335" t="str">
        <f t="shared" ca="1" si="11"/>
        <v>N/A</v>
      </c>
      <c r="T232" s="429" t="s">
        <v>48</v>
      </c>
      <c r="U232" s="22"/>
      <c r="V232" s="24"/>
      <c r="W232" s="21"/>
      <c r="Y232" s="490"/>
    </row>
    <row r="233" spans="1:25" ht="45">
      <c r="A233" s="31">
        <v>230</v>
      </c>
      <c r="B233" s="22" t="s">
        <v>39</v>
      </c>
      <c r="C233" s="22" t="s">
        <v>462</v>
      </c>
      <c r="D233" s="22" t="s">
        <v>463</v>
      </c>
      <c r="E233" s="23" t="s">
        <v>51</v>
      </c>
      <c r="F233" s="22" t="s">
        <v>62</v>
      </c>
      <c r="G233" s="22" t="s">
        <v>53</v>
      </c>
      <c r="H233" s="22" t="s">
        <v>30</v>
      </c>
      <c r="I233" s="22" t="s">
        <v>464</v>
      </c>
      <c r="J233" s="22" t="s">
        <v>62</v>
      </c>
      <c r="K233" s="519" t="s">
        <v>1262</v>
      </c>
      <c r="L233" s="521" t="s">
        <v>1277</v>
      </c>
      <c r="M233" s="521" t="s">
        <v>1278</v>
      </c>
      <c r="N233" s="521" t="s">
        <v>815</v>
      </c>
      <c r="O233" s="22" t="s">
        <v>465</v>
      </c>
      <c r="P233" s="426">
        <v>2021</v>
      </c>
      <c r="Q233" s="414">
        <f t="shared" ca="1" si="9"/>
        <v>3696.9631093570561</v>
      </c>
      <c r="R233" s="335" t="str">
        <f t="shared" ca="1" si="10"/>
        <v>N/A</v>
      </c>
      <c r="S233" s="335" t="str">
        <f t="shared" ca="1" si="11"/>
        <v>N/A</v>
      </c>
      <c r="T233" s="429" t="s">
        <v>48</v>
      </c>
      <c r="U233" s="22"/>
      <c r="V233" s="24"/>
      <c r="W233" s="21"/>
      <c r="Y233" s="490"/>
    </row>
    <row r="234" spans="1:25" ht="45">
      <c r="A234" s="31">
        <v>231</v>
      </c>
      <c r="B234" s="22" t="s">
        <v>39</v>
      </c>
      <c r="C234" s="22" t="s">
        <v>462</v>
      </c>
      <c r="D234" s="22" t="s">
        <v>463</v>
      </c>
      <c r="E234" s="23" t="s">
        <v>51</v>
      </c>
      <c r="F234" s="22" t="s">
        <v>63</v>
      </c>
      <c r="G234" s="22" t="s">
        <v>53</v>
      </c>
      <c r="H234" s="22" t="s">
        <v>30</v>
      </c>
      <c r="I234" s="22" t="s">
        <v>464</v>
      </c>
      <c r="J234" s="22" t="s">
        <v>63</v>
      </c>
      <c r="K234" s="519" t="s">
        <v>1262</v>
      </c>
      <c r="L234" s="521" t="s">
        <v>1279</v>
      </c>
      <c r="M234" s="521" t="s">
        <v>1280</v>
      </c>
      <c r="N234" s="521" t="s">
        <v>815</v>
      </c>
      <c r="O234" s="22" t="s">
        <v>465</v>
      </c>
      <c r="P234" s="426">
        <v>2021</v>
      </c>
      <c r="Q234" s="414">
        <f t="shared" ca="1" si="9"/>
        <v>35235683.539573707</v>
      </c>
      <c r="R234" s="335" t="str">
        <f t="shared" ca="1" si="10"/>
        <v>N/A</v>
      </c>
      <c r="S234" s="335" t="str">
        <f t="shared" ca="1" si="11"/>
        <v>N/A</v>
      </c>
      <c r="T234" s="429" t="s">
        <v>48</v>
      </c>
      <c r="U234" s="22"/>
      <c r="V234" s="24"/>
      <c r="W234" s="21"/>
      <c r="Y234" s="490"/>
    </row>
    <row r="235" spans="1:25" ht="45">
      <c r="A235" s="31">
        <v>232</v>
      </c>
      <c r="B235" s="22" t="s">
        <v>39</v>
      </c>
      <c r="C235" s="22" t="s">
        <v>462</v>
      </c>
      <c r="D235" s="22" t="s">
        <v>463</v>
      </c>
      <c r="E235" s="23" t="s">
        <v>51</v>
      </c>
      <c r="F235" s="22" t="s">
        <v>64</v>
      </c>
      <c r="G235" s="22" t="s">
        <v>53</v>
      </c>
      <c r="H235" s="22" t="s">
        <v>30</v>
      </c>
      <c r="I235" s="22" t="s">
        <v>464</v>
      </c>
      <c r="J235" s="22" t="s">
        <v>64</v>
      </c>
      <c r="K235" s="519" t="s">
        <v>1262</v>
      </c>
      <c r="L235" s="521" t="s">
        <v>1281</v>
      </c>
      <c r="M235" s="521" t="s">
        <v>1282</v>
      </c>
      <c r="N235" s="521" t="s">
        <v>815</v>
      </c>
      <c r="O235" s="22" t="s">
        <v>465</v>
      </c>
      <c r="P235" s="426">
        <v>2021</v>
      </c>
      <c r="Q235" s="414">
        <f t="shared" ca="1" si="9"/>
        <v>27414475.355412994</v>
      </c>
      <c r="R235" s="335" t="str">
        <f t="shared" ca="1" si="10"/>
        <v>N/A</v>
      </c>
      <c r="S235" s="335" t="str">
        <f t="shared" ca="1" si="11"/>
        <v>N/A</v>
      </c>
      <c r="T235" s="429" t="s">
        <v>48</v>
      </c>
      <c r="U235" s="22"/>
      <c r="V235" s="24"/>
      <c r="W235" s="21"/>
      <c r="Y235" s="490"/>
    </row>
    <row r="236" spans="1:25" ht="45">
      <c r="A236" s="31">
        <v>233</v>
      </c>
      <c r="B236" s="22" t="s">
        <v>39</v>
      </c>
      <c r="C236" s="22" t="s">
        <v>462</v>
      </c>
      <c r="D236" s="22" t="s">
        <v>463</v>
      </c>
      <c r="E236" s="23" t="s">
        <v>51</v>
      </c>
      <c r="F236" s="22" t="s">
        <v>65</v>
      </c>
      <c r="G236" s="22" t="s">
        <v>53</v>
      </c>
      <c r="H236" s="22" t="s">
        <v>30</v>
      </c>
      <c r="I236" s="22" t="s">
        <v>464</v>
      </c>
      <c r="J236" s="22" t="s">
        <v>65</v>
      </c>
      <c r="K236" s="519" t="s">
        <v>1262</v>
      </c>
      <c r="L236" s="521" t="s">
        <v>1283</v>
      </c>
      <c r="M236" s="521" t="s">
        <v>1284</v>
      </c>
      <c r="N236" s="521" t="s">
        <v>815</v>
      </c>
      <c r="O236" s="22" t="s">
        <v>465</v>
      </c>
      <c r="P236" s="426">
        <v>2021</v>
      </c>
      <c r="Q236" s="414">
        <f t="shared" ca="1" si="9"/>
        <v>1418645.2185403905</v>
      </c>
      <c r="R236" s="335" t="str">
        <f t="shared" ca="1" si="10"/>
        <v>N/A</v>
      </c>
      <c r="S236" s="335" t="str">
        <f t="shared" ca="1" si="11"/>
        <v>N/A</v>
      </c>
      <c r="T236" s="429" t="s">
        <v>48</v>
      </c>
      <c r="U236" s="22" t="s">
        <v>49</v>
      </c>
      <c r="V236" s="24"/>
      <c r="W236" s="21"/>
      <c r="Y236" s="490"/>
    </row>
    <row r="237" spans="1:25" ht="45">
      <c r="A237" s="31">
        <v>234</v>
      </c>
      <c r="B237" s="22" t="s">
        <v>39</v>
      </c>
      <c r="C237" s="22" t="s">
        <v>462</v>
      </c>
      <c r="D237" s="22" t="s">
        <v>463</v>
      </c>
      <c r="E237" s="23" t="s">
        <v>51</v>
      </c>
      <c r="F237" s="22" t="s">
        <v>66</v>
      </c>
      <c r="G237" s="22" t="s">
        <v>53</v>
      </c>
      <c r="H237" s="22" t="s">
        <v>30</v>
      </c>
      <c r="I237" s="22" t="s">
        <v>464</v>
      </c>
      <c r="J237" s="22" t="s">
        <v>66</v>
      </c>
      <c r="K237" s="519" t="s">
        <v>1262</v>
      </c>
      <c r="L237" s="521" t="s">
        <v>1285</v>
      </c>
      <c r="M237" s="521" t="s">
        <v>1286</v>
      </c>
      <c r="N237" s="521" t="s">
        <v>815</v>
      </c>
      <c r="O237" s="22" t="s">
        <v>465</v>
      </c>
      <c r="P237" s="426">
        <v>2021</v>
      </c>
      <c r="Q237" s="414">
        <f t="shared" ca="1" si="9"/>
        <v>981539.22067260125</v>
      </c>
      <c r="R237" s="335" t="str">
        <f t="shared" ca="1" si="10"/>
        <v>N/A</v>
      </c>
      <c r="S237" s="335" t="str">
        <f t="shared" ca="1" si="11"/>
        <v>N/A</v>
      </c>
      <c r="T237" s="429" t="s">
        <v>48</v>
      </c>
      <c r="U237" s="22" t="s">
        <v>49</v>
      </c>
      <c r="V237" s="24"/>
      <c r="W237" s="21"/>
      <c r="Y237" s="490"/>
    </row>
    <row r="238" spans="1:25" ht="30">
      <c r="A238" s="31">
        <v>235</v>
      </c>
      <c r="B238" s="22" t="s">
        <v>39</v>
      </c>
      <c r="C238" s="22" t="s">
        <v>462</v>
      </c>
      <c r="D238" s="22" t="s">
        <v>466</v>
      </c>
      <c r="E238" s="23" t="s">
        <v>42</v>
      </c>
      <c r="F238" s="22" t="s">
        <v>43</v>
      </c>
      <c r="G238" s="22" t="s">
        <v>44</v>
      </c>
      <c r="H238" s="22" t="s">
        <v>30</v>
      </c>
      <c r="I238" s="22" t="s">
        <v>467</v>
      </c>
      <c r="J238" s="22" t="s">
        <v>46</v>
      </c>
      <c r="K238" s="519" t="s">
        <v>1262</v>
      </c>
      <c r="L238" s="521" t="s">
        <v>1287</v>
      </c>
      <c r="M238" s="521" t="s">
        <v>1288</v>
      </c>
      <c r="N238" s="521" t="s">
        <v>815</v>
      </c>
      <c r="O238" s="22" t="s">
        <v>465</v>
      </c>
      <c r="P238" s="426">
        <v>2021</v>
      </c>
      <c r="Q238" s="414">
        <f t="shared" ca="1" si="9"/>
        <v>698.3958442475863</v>
      </c>
      <c r="R238" s="335" t="str">
        <f t="shared" ca="1" si="10"/>
        <v>N/A</v>
      </c>
      <c r="S238" s="335" t="str">
        <f t="shared" ca="1" si="11"/>
        <v>N/A</v>
      </c>
      <c r="T238" s="429" t="s">
        <v>48</v>
      </c>
      <c r="U238" s="22"/>
      <c r="V238" s="24"/>
      <c r="W238" s="21"/>
      <c r="Y238" s="490"/>
    </row>
    <row r="239" spans="1:25" ht="75">
      <c r="A239" s="31">
        <v>236</v>
      </c>
      <c r="B239" s="22" t="s">
        <v>39</v>
      </c>
      <c r="C239" s="22" t="s">
        <v>462</v>
      </c>
      <c r="D239" s="22" t="s">
        <v>468</v>
      </c>
      <c r="E239" s="23" t="s">
        <v>325</v>
      </c>
      <c r="F239" s="22" t="s">
        <v>142</v>
      </c>
      <c r="G239" s="22" t="s">
        <v>143</v>
      </c>
      <c r="H239" s="22" t="s">
        <v>30</v>
      </c>
      <c r="I239" s="22" t="s">
        <v>469</v>
      </c>
      <c r="J239" s="22" t="s">
        <v>333</v>
      </c>
      <c r="K239" s="519" t="s">
        <v>1262</v>
      </c>
      <c r="L239" s="521" t="s">
        <v>1289</v>
      </c>
      <c r="M239" s="521" t="s">
        <v>1290</v>
      </c>
      <c r="N239" s="521" t="s">
        <v>885</v>
      </c>
      <c r="O239" s="22" t="s">
        <v>465</v>
      </c>
      <c r="P239" s="426">
        <v>2021</v>
      </c>
      <c r="Q239" s="720">
        <f t="shared" ca="1" si="9"/>
        <v>1.5438054805094559E-3</v>
      </c>
      <c r="R239" s="335">
        <f t="shared" ca="1" si="10"/>
        <v>16</v>
      </c>
      <c r="S239" s="335">
        <f t="shared" ca="1" si="11"/>
        <v>27424839.355412994</v>
      </c>
      <c r="T239" s="429" t="s">
        <v>425</v>
      </c>
      <c r="U239" s="22" t="s">
        <v>246</v>
      </c>
      <c r="V239" s="24"/>
      <c r="W239" s="21"/>
      <c r="Y239" s="490"/>
    </row>
    <row r="240" spans="1:25" ht="75">
      <c r="A240" s="31">
        <v>237</v>
      </c>
      <c r="B240" s="22" t="s">
        <v>39</v>
      </c>
      <c r="C240" s="22" t="s">
        <v>462</v>
      </c>
      <c r="D240" s="22" t="s">
        <v>468</v>
      </c>
      <c r="E240" s="23" t="s">
        <v>329</v>
      </c>
      <c r="F240" s="22" t="s">
        <v>142</v>
      </c>
      <c r="G240" s="22" t="s">
        <v>143</v>
      </c>
      <c r="H240" s="22" t="s">
        <v>30</v>
      </c>
      <c r="I240" s="22" t="s">
        <v>470</v>
      </c>
      <c r="J240" s="22" t="s">
        <v>330</v>
      </c>
      <c r="K240" s="519" t="s">
        <v>1262</v>
      </c>
      <c r="L240" s="521" t="s">
        <v>1291</v>
      </c>
      <c r="M240" s="521" t="s">
        <v>1292</v>
      </c>
      <c r="N240" s="521" t="s">
        <v>885</v>
      </c>
      <c r="O240" s="22" t="s">
        <v>465</v>
      </c>
      <c r="P240" s="426">
        <v>2021</v>
      </c>
      <c r="Q240" s="720" t="str">
        <f ca="1">VLOOKUP($A240, INDIRECT("'"&amp;K240&amp;"'!C25:Q39"), 7, 0)</f>
        <v>N/A</v>
      </c>
      <c r="R240" s="335" t="str">
        <f ca="1">IF($N240 = "N","N/A",VLOOKUP($A240, INDIRECT("'"&amp;K240&amp;"'!C25:Q39"), 15, 0))</f>
        <v>N/A</v>
      </c>
      <c r="S240" s="335" t="str">
        <f ca="1">IF($N240 = "N","N/A", VLOOKUP($A240, INDIRECT("'"&amp;K240&amp;"'!C25:Q39"), 15, 0))</f>
        <v>N/A</v>
      </c>
      <c r="T240" s="429" t="s">
        <v>425</v>
      </c>
      <c r="U240" s="22" t="s">
        <v>246</v>
      </c>
      <c r="V240" s="24"/>
      <c r="W240" s="21"/>
      <c r="Y240" s="490"/>
    </row>
    <row r="241" spans="1:25" ht="75">
      <c r="A241" s="31">
        <v>238</v>
      </c>
      <c r="B241" s="22" t="s">
        <v>39</v>
      </c>
      <c r="C241" s="22" t="s">
        <v>462</v>
      </c>
      <c r="D241" s="22" t="s">
        <v>468</v>
      </c>
      <c r="E241" s="23" t="s">
        <v>331</v>
      </c>
      <c r="F241" s="22" t="s">
        <v>142</v>
      </c>
      <c r="G241" s="22" t="s">
        <v>143</v>
      </c>
      <c r="H241" s="22" t="s">
        <v>30</v>
      </c>
      <c r="I241" s="22" t="s">
        <v>471</v>
      </c>
      <c r="J241" s="22" t="s">
        <v>327</v>
      </c>
      <c r="K241" s="519" t="s">
        <v>1262</v>
      </c>
      <c r="L241" s="521" t="s">
        <v>1293</v>
      </c>
      <c r="M241" s="521" t="s">
        <v>1294</v>
      </c>
      <c r="N241" s="521" t="s">
        <v>885</v>
      </c>
      <c r="O241" s="22" t="s">
        <v>465</v>
      </c>
      <c r="P241" s="426">
        <v>2021</v>
      </c>
      <c r="Q241" s="720" t="str">
        <f t="shared" ref="Q241:Q244" ca="1" si="12">VLOOKUP($A241, INDIRECT("'"&amp;K241&amp;"'!C25:Q39"), 7, 0)</f>
        <v>N/A</v>
      </c>
      <c r="R241" s="335" t="str">
        <f t="shared" ref="R241:R244" ca="1" si="13">IF($N241 = "N","N/A",VLOOKUP($A241, INDIRECT("'"&amp;K241&amp;"'!C25:Q39"), 15, 0))</f>
        <v>N/A</v>
      </c>
      <c r="S241" s="335" t="str">
        <f t="shared" ref="S241:S244" ca="1" si="14">IF($N241 = "N","N/A", VLOOKUP($A241, INDIRECT("'"&amp;K241&amp;"'!C25:Q39"), 15, 0))</f>
        <v>N/A</v>
      </c>
      <c r="T241" s="429" t="s">
        <v>425</v>
      </c>
      <c r="U241" s="22" t="s">
        <v>246</v>
      </c>
      <c r="V241" s="24"/>
      <c r="W241" s="21"/>
      <c r="Y241" s="490"/>
    </row>
    <row r="242" spans="1:25" ht="90">
      <c r="A242" s="31">
        <v>239</v>
      </c>
      <c r="B242" s="22" t="s">
        <v>39</v>
      </c>
      <c r="C242" s="22" t="s">
        <v>462</v>
      </c>
      <c r="D242" s="22" t="s">
        <v>472</v>
      </c>
      <c r="E242" s="23" t="s">
        <v>473</v>
      </c>
      <c r="F242" s="22" t="s">
        <v>142</v>
      </c>
      <c r="G242" s="22" t="s">
        <v>474</v>
      </c>
      <c r="H242" s="22" t="s">
        <v>164</v>
      </c>
      <c r="I242" s="22" t="s">
        <v>1295</v>
      </c>
      <c r="J242" s="22" t="s">
        <v>476</v>
      </c>
      <c r="K242" s="519" t="s">
        <v>1262</v>
      </c>
      <c r="L242" s="521" t="s">
        <v>1296</v>
      </c>
      <c r="M242" s="521" t="s">
        <v>1297</v>
      </c>
      <c r="N242" s="521" t="s">
        <v>885</v>
      </c>
      <c r="O242" s="22" t="s">
        <v>465</v>
      </c>
      <c r="P242" s="426">
        <v>2021</v>
      </c>
      <c r="Q242" s="720" t="str">
        <f t="shared" ca="1" si="12"/>
        <v>N/A -  Indicator</v>
      </c>
      <c r="R242" s="335" t="str">
        <f t="shared" ca="1" si="13"/>
        <v>N/A</v>
      </c>
      <c r="S242" s="335" t="str">
        <f t="shared" ca="1" si="14"/>
        <v>N/A</v>
      </c>
      <c r="T242" s="429" t="s">
        <v>477</v>
      </c>
      <c r="U242" s="22" t="s">
        <v>478</v>
      </c>
      <c r="V242" s="24"/>
      <c r="W242" s="21"/>
      <c r="Y242" s="490"/>
    </row>
    <row r="243" spans="1:25" ht="90">
      <c r="A243" s="31">
        <v>240</v>
      </c>
      <c r="B243" s="22" t="s">
        <v>39</v>
      </c>
      <c r="C243" s="22" t="s">
        <v>462</v>
      </c>
      <c r="D243" s="22" t="s">
        <v>472</v>
      </c>
      <c r="E243" s="23" t="s">
        <v>479</v>
      </c>
      <c r="F243" s="22" t="s">
        <v>142</v>
      </c>
      <c r="G243" s="22" t="s">
        <v>474</v>
      </c>
      <c r="H243" s="22" t="s">
        <v>164</v>
      </c>
      <c r="I243" s="22" t="s">
        <v>1298</v>
      </c>
      <c r="J243" s="22" t="s">
        <v>481</v>
      </c>
      <c r="K243" s="519" t="s">
        <v>1262</v>
      </c>
      <c r="L243" s="521" t="s">
        <v>1299</v>
      </c>
      <c r="M243" s="521" t="s">
        <v>1300</v>
      </c>
      <c r="N243" s="521" t="s">
        <v>885</v>
      </c>
      <c r="O243" s="22" t="s">
        <v>465</v>
      </c>
      <c r="P243" s="426">
        <v>2021</v>
      </c>
      <c r="Q243" s="720" t="str">
        <f t="shared" ca="1" si="12"/>
        <v>N/A -  Indicator</v>
      </c>
      <c r="R243" s="335" t="str">
        <f t="shared" ca="1" si="13"/>
        <v>N/A</v>
      </c>
      <c r="S243" s="335" t="str">
        <f t="shared" ca="1" si="14"/>
        <v>N/A</v>
      </c>
      <c r="T243" s="429" t="s">
        <v>482</v>
      </c>
      <c r="U243" s="22" t="s">
        <v>478</v>
      </c>
      <c r="V243" s="24"/>
      <c r="W243" s="21"/>
      <c r="Y243" s="490"/>
    </row>
    <row r="244" spans="1:25" ht="90">
      <c r="A244" s="31">
        <v>241</v>
      </c>
      <c r="B244" s="22" t="s">
        <v>39</v>
      </c>
      <c r="C244" s="22" t="s">
        <v>462</v>
      </c>
      <c r="D244" s="22" t="s">
        <v>472</v>
      </c>
      <c r="E244" s="23" t="s">
        <v>483</v>
      </c>
      <c r="F244" s="22" t="s">
        <v>142</v>
      </c>
      <c r="G244" s="22" t="s">
        <v>474</v>
      </c>
      <c r="H244" s="22" t="s">
        <v>164</v>
      </c>
      <c r="I244" s="22" t="s">
        <v>1301</v>
      </c>
      <c r="J244" s="22" t="s">
        <v>485</v>
      </c>
      <c r="K244" s="519" t="s">
        <v>1262</v>
      </c>
      <c r="L244" s="521" t="s">
        <v>1302</v>
      </c>
      <c r="M244" s="521" t="s">
        <v>1303</v>
      </c>
      <c r="N244" s="521" t="s">
        <v>885</v>
      </c>
      <c r="O244" s="22" t="s">
        <v>465</v>
      </c>
      <c r="P244" s="426">
        <v>2021</v>
      </c>
      <c r="Q244" s="720" t="str">
        <f t="shared" ca="1" si="12"/>
        <v>N/A -  Indicator</v>
      </c>
      <c r="R244" s="335" t="str">
        <f t="shared" ca="1" si="13"/>
        <v>N/A</v>
      </c>
      <c r="S244" s="335" t="str">
        <f t="shared" ca="1" si="14"/>
        <v>N/A</v>
      </c>
      <c r="T244" s="429" t="s">
        <v>486</v>
      </c>
      <c r="U244" s="22" t="s">
        <v>478</v>
      </c>
      <c r="V244" s="24"/>
      <c r="W244" s="21"/>
      <c r="Y244" s="490"/>
    </row>
    <row r="245" spans="1:25" ht="30">
      <c r="A245" s="31">
        <v>242</v>
      </c>
      <c r="B245" s="22" t="s">
        <v>39</v>
      </c>
      <c r="C245" s="22" t="s">
        <v>462</v>
      </c>
      <c r="D245" s="22" t="s">
        <v>487</v>
      </c>
      <c r="E245" s="23" t="s">
        <v>91</v>
      </c>
      <c r="F245" s="22" t="s">
        <v>92</v>
      </c>
      <c r="G245" s="22" t="s">
        <v>93</v>
      </c>
      <c r="H245" s="22" t="s">
        <v>30</v>
      </c>
      <c r="I245" s="22" t="s">
        <v>488</v>
      </c>
      <c r="J245" s="22" t="s">
        <v>92</v>
      </c>
      <c r="K245" s="519" t="s">
        <v>1262</v>
      </c>
      <c r="L245" s="521" t="s">
        <v>1304</v>
      </c>
      <c r="M245" s="521" t="s">
        <v>1305</v>
      </c>
      <c r="N245" s="521" t="s">
        <v>885</v>
      </c>
      <c r="O245" s="22" t="s">
        <v>465</v>
      </c>
      <c r="P245" s="426">
        <v>2021</v>
      </c>
      <c r="Q245" s="414">
        <f t="shared" ca="1" si="9"/>
        <v>237.86750549205007</v>
      </c>
      <c r="R245" s="335">
        <f t="shared" ca="1" si="10"/>
        <v>879387.39271889604</v>
      </c>
      <c r="S245" s="335">
        <f t="shared" ca="1" si="11"/>
        <v>3696.9631093570561</v>
      </c>
      <c r="T245" s="429" t="s">
        <v>48</v>
      </c>
      <c r="U245" s="22"/>
      <c r="V245" s="24"/>
      <c r="W245" s="21"/>
      <c r="Y245" s="490"/>
    </row>
    <row r="246" spans="1:25" ht="30">
      <c r="A246" s="31">
        <v>243</v>
      </c>
      <c r="B246" s="22" t="s">
        <v>39</v>
      </c>
      <c r="C246" s="22" t="s">
        <v>462</v>
      </c>
      <c r="D246" s="22" t="s">
        <v>487</v>
      </c>
      <c r="E246" s="23" t="s">
        <v>91</v>
      </c>
      <c r="F246" s="22" t="s">
        <v>95</v>
      </c>
      <c r="G246" s="22" t="s">
        <v>93</v>
      </c>
      <c r="H246" s="22" t="s">
        <v>30</v>
      </c>
      <c r="I246" s="22" t="s">
        <v>488</v>
      </c>
      <c r="J246" s="22" t="s">
        <v>95</v>
      </c>
      <c r="K246" s="519" t="s">
        <v>1262</v>
      </c>
      <c r="L246" s="521" t="s">
        <v>1306</v>
      </c>
      <c r="M246" s="521" t="s">
        <v>1307</v>
      </c>
      <c r="N246" s="521" t="s">
        <v>885</v>
      </c>
      <c r="O246" s="22" t="s">
        <v>465</v>
      </c>
      <c r="P246" s="426">
        <v>2021</v>
      </c>
      <c r="Q246" s="720">
        <f t="shared" ca="1" si="9"/>
        <v>3.2077483932052009E-2</v>
      </c>
      <c r="R246" s="335">
        <f t="shared" ca="1" si="10"/>
        <v>879387.39271889604</v>
      </c>
      <c r="S246" s="335">
        <f t="shared" ca="1" si="11"/>
        <v>27414475.355412994</v>
      </c>
      <c r="T246" s="429" t="s">
        <v>48</v>
      </c>
      <c r="U246" s="22"/>
      <c r="V246" s="24"/>
      <c r="W246" s="21"/>
      <c r="Y246" s="490"/>
    </row>
    <row r="247" spans="1:25" ht="30">
      <c r="A247" s="31">
        <v>244</v>
      </c>
      <c r="B247" s="22" t="s">
        <v>39</v>
      </c>
      <c r="C247" s="22" t="s">
        <v>462</v>
      </c>
      <c r="D247" s="22" t="s">
        <v>487</v>
      </c>
      <c r="E247" s="23" t="s">
        <v>91</v>
      </c>
      <c r="F247" s="22" t="s">
        <v>96</v>
      </c>
      <c r="G247" s="22" t="s">
        <v>93</v>
      </c>
      <c r="H247" s="22" t="s">
        <v>30</v>
      </c>
      <c r="I247" s="22" t="s">
        <v>488</v>
      </c>
      <c r="J247" s="22" t="s">
        <v>96</v>
      </c>
      <c r="K247" s="519" t="s">
        <v>1262</v>
      </c>
      <c r="L247" s="521" t="s">
        <v>1308</v>
      </c>
      <c r="M247" s="521" t="s">
        <v>1309</v>
      </c>
      <c r="N247" s="521" t="s">
        <v>885</v>
      </c>
      <c r="O247" s="22" t="s">
        <v>465</v>
      </c>
      <c r="P247" s="426">
        <v>2021</v>
      </c>
      <c r="Q247" s="720">
        <f t="shared" ca="1" si="9"/>
        <v>0.39160901698294409</v>
      </c>
      <c r="R247" s="335">
        <f t="shared" ca="1" si="10"/>
        <v>384379.60933780239</v>
      </c>
      <c r="S247" s="335">
        <f t="shared" ca="1" si="11"/>
        <v>981539.22067260125</v>
      </c>
      <c r="T247" s="429" t="s">
        <v>48</v>
      </c>
      <c r="U247" s="22" t="s">
        <v>49</v>
      </c>
      <c r="V247" s="24"/>
      <c r="W247" s="21"/>
      <c r="Y247" s="490"/>
    </row>
    <row r="248" spans="1:25" ht="30">
      <c r="A248" s="31">
        <v>245</v>
      </c>
      <c r="B248" s="22" t="s">
        <v>39</v>
      </c>
      <c r="C248" s="22" t="s">
        <v>462</v>
      </c>
      <c r="D248" s="22" t="s">
        <v>487</v>
      </c>
      <c r="E248" s="23" t="s">
        <v>91</v>
      </c>
      <c r="F248" s="22" t="s">
        <v>97</v>
      </c>
      <c r="G248" s="22" t="s">
        <v>93</v>
      </c>
      <c r="H248" s="22" t="s">
        <v>30</v>
      </c>
      <c r="I248" s="22" t="s">
        <v>488</v>
      </c>
      <c r="J248" s="22" t="s">
        <v>97</v>
      </c>
      <c r="K248" s="519" t="s">
        <v>1262</v>
      </c>
      <c r="L248" s="521" t="s">
        <v>1310</v>
      </c>
      <c r="M248" s="521" t="s">
        <v>1311</v>
      </c>
      <c r="N248" s="521" t="s">
        <v>885</v>
      </c>
      <c r="O248" s="22" t="s">
        <v>465</v>
      </c>
      <c r="P248" s="426">
        <v>2021</v>
      </c>
      <c r="Q248" s="414">
        <f t="shared" ca="1" si="9"/>
        <v>387.03783924478273</v>
      </c>
      <c r="R248" s="335">
        <f t="shared" ca="1" si="10"/>
        <v>1430864.6136132283</v>
      </c>
      <c r="S248" s="335">
        <f t="shared" ca="1" si="11"/>
        <v>3696.9631093570561</v>
      </c>
      <c r="T248" s="429" t="s">
        <v>48</v>
      </c>
      <c r="U248" s="22"/>
      <c r="V248" s="24"/>
      <c r="W248" s="21"/>
      <c r="Y248" s="490"/>
    </row>
    <row r="249" spans="1:25" ht="30">
      <c r="A249" s="31">
        <v>246</v>
      </c>
      <c r="B249" s="22" t="s">
        <v>39</v>
      </c>
      <c r="C249" s="22" t="s">
        <v>462</v>
      </c>
      <c r="D249" s="22" t="s">
        <v>487</v>
      </c>
      <c r="E249" s="23" t="s">
        <v>91</v>
      </c>
      <c r="F249" s="22" t="s">
        <v>98</v>
      </c>
      <c r="G249" s="22" t="s">
        <v>93</v>
      </c>
      <c r="H249" s="22" t="s">
        <v>30</v>
      </c>
      <c r="I249" s="22" t="s">
        <v>488</v>
      </c>
      <c r="J249" s="22" t="s">
        <v>98</v>
      </c>
      <c r="K249" s="519" t="s">
        <v>1262</v>
      </c>
      <c r="L249" s="521" t="s">
        <v>1312</v>
      </c>
      <c r="M249" s="521" t="s">
        <v>1313</v>
      </c>
      <c r="N249" s="521" t="s">
        <v>885</v>
      </c>
      <c r="O249" s="22" t="s">
        <v>465</v>
      </c>
      <c r="P249" s="426">
        <v>2021</v>
      </c>
      <c r="Q249" s="720">
        <f t="shared" ca="1" si="9"/>
        <v>5.2193762421599794E-2</v>
      </c>
      <c r="R249" s="335">
        <f t="shared" ca="1" si="10"/>
        <v>1430864.6136132283</v>
      </c>
      <c r="S249" s="335">
        <f t="shared" ca="1" si="11"/>
        <v>0</v>
      </c>
      <c r="T249" s="429" t="s">
        <v>48</v>
      </c>
      <c r="U249" s="22"/>
      <c r="V249" s="24"/>
      <c r="W249" s="21"/>
      <c r="Y249" s="490"/>
    </row>
    <row r="250" spans="1:25" ht="30">
      <c r="A250" s="31">
        <v>247</v>
      </c>
      <c r="B250" s="22" t="s">
        <v>39</v>
      </c>
      <c r="C250" s="22" t="s">
        <v>462</v>
      </c>
      <c r="D250" s="22" t="s">
        <v>487</v>
      </c>
      <c r="E250" s="23" t="s">
        <v>91</v>
      </c>
      <c r="F250" s="22" t="s">
        <v>99</v>
      </c>
      <c r="G250" s="22" t="s">
        <v>93</v>
      </c>
      <c r="H250" s="22" t="s">
        <v>30</v>
      </c>
      <c r="I250" s="22" t="s">
        <v>488</v>
      </c>
      <c r="J250" s="22" t="s">
        <v>99</v>
      </c>
      <c r="K250" s="519" t="s">
        <v>1262</v>
      </c>
      <c r="L250" s="521" t="s">
        <v>1314</v>
      </c>
      <c r="M250" s="521" t="s">
        <v>1315</v>
      </c>
      <c r="N250" s="521" t="s">
        <v>885</v>
      </c>
      <c r="O250" s="22" t="s">
        <v>465</v>
      </c>
      <c r="P250" s="426">
        <v>2021</v>
      </c>
      <c r="Q250" s="414">
        <f t="shared" ca="1" si="9"/>
        <v>0.63719299299970056</v>
      </c>
      <c r="R250" s="335">
        <f t="shared" ca="1" si="10"/>
        <v>625429.9137669683</v>
      </c>
      <c r="S250" s="335">
        <f t="shared" ca="1" si="11"/>
        <v>981539.22067260125</v>
      </c>
      <c r="T250" s="429" t="s">
        <v>48</v>
      </c>
      <c r="U250" s="22" t="s">
        <v>49</v>
      </c>
      <c r="V250" s="24"/>
      <c r="W250" s="21"/>
      <c r="Y250" s="490"/>
    </row>
    <row r="251" spans="1:25" ht="30">
      <c r="A251" s="31">
        <v>248</v>
      </c>
      <c r="B251" s="22" t="s">
        <v>39</v>
      </c>
      <c r="C251" s="22" t="s">
        <v>462</v>
      </c>
      <c r="D251" s="22" t="s">
        <v>489</v>
      </c>
      <c r="E251" s="23" t="s">
        <v>296</v>
      </c>
      <c r="F251" s="22" t="s">
        <v>297</v>
      </c>
      <c r="G251" s="22" t="s">
        <v>298</v>
      </c>
      <c r="H251" s="22" t="s">
        <v>30</v>
      </c>
      <c r="I251" s="22" t="s">
        <v>490</v>
      </c>
      <c r="J251" s="22" t="s">
        <v>297</v>
      </c>
      <c r="K251" s="519" t="s">
        <v>1262</v>
      </c>
      <c r="L251" s="521" t="s">
        <v>1316</v>
      </c>
      <c r="M251" s="521" t="s">
        <v>1317</v>
      </c>
      <c r="N251" s="521" t="s">
        <v>885</v>
      </c>
      <c r="O251" s="22" t="s">
        <v>465</v>
      </c>
      <c r="P251" s="426">
        <v>2021</v>
      </c>
      <c r="Q251" s="720">
        <f t="shared" ca="1" si="9"/>
        <v>5.039499796822939E-4</v>
      </c>
      <c r="R251" s="335">
        <f t="shared" ca="1" si="10"/>
        <v>526.97448667001686</v>
      </c>
      <c r="S251" s="335">
        <f t="shared" ca="1" si="11"/>
        <v>1045688.08</v>
      </c>
      <c r="T251" s="429"/>
      <c r="U251" s="22"/>
      <c r="V251" s="24"/>
      <c r="W251" s="21"/>
      <c r="Y251" s="490"/>
    </row>
    <row r="252" spans="1:25" ht="30">
      <c r="A252" s="31">
        <v>249</v>
      </c>
      <c r="B252" s="22" t="s">
        <v>39</v>
      </c>
      <c r="C252" s="22" t="s">
        <v>462</v>
      </c>
      <c r="D252" s="22" t="s">
        <v>489</v>
      </c>
      <c r="E252" s="23" t="s">
        <v>296</v>
      </c>
      <c r="F252" s="22" t="s">
        <v>300</v>
      </c>
      <c r="G252" s="22" t="s">
        <v>298</v>
      </c>
      <c r="H252" s="22" t="s">
        <v>30</v>
      </c>
      <c r="I252" s="22" t="s">
        <v>490</v>
      </c>
      <c r="J252" s="22" t="s">
        <v>300</v>
      </c>
      <c r="K252" s="519" t="s">
        <v>1262</v>
      </c>
      <c r="L252" s="521" t="s">
        <v>1318</v>
      </c>
      <c r="M252" s="521" t="s">
        <v>1319</v>
      </c>
      <c r="N252" s="521" t="s">
        <v>885</v>
      </c>
      <c r="O252" s="22" t="s">
        <v>465</v>
      </c>
      <c r="P252" s="426">
        <v>2021</v>
      </c>
      <c r="Q252" s="720">
        <f t="shared" ca="1" si="9"/>
        <v>4.3808419330767303E-4</v>
      </c>
      <c r="R252" s="335">
        <f t="shared" ca="1" si="10"/>
        <v>458.09941897824945</v>
      </c>
      <c r="S252" s="335">
        <f t="shared" ca="1" si="11"/>
        <v>1045688.08</v>
      </c>
      <c r="T252" s="429"/>
      <c r="U252" s="22"/>
      <c r="V252" s="24"/>
      <c r="W252" s="21"/>
      <c r="Y252" s="490"/>
    </row>
    <row r="253" spans="1:25" ht="30">
      <c r="A253" s="31">
        <v>250</v>
      </c>
      <c r="B253" s="22" t="s">
        <v>39</v>
      </c>
      <c r="C253" s="22" t="s">
        <v>462</v>
      </c>
      <c r="D253" s="22" t="s">
        <v>489</v>
      </c>
      <c r="E253" s="23" t="s">
        <v>296</v>
      </c>
      <c r="F253" s="22" t="s">
        <v>301</v>
      </c>
      <c r="G253" s="22" t="s">
        <v>298</v>
      </c>
      <c r="H253" s="22" t="s">
        <v>30</v>
      </c>
      <c r="I253" s="22" t="s">
        <v>490</v>
      </c>
      <c r="J253" s="22" t="s">
        <v>301</v>
      </c>
      <c r="K253" s="519" t="s">
        <v>1262</v>
      </c>
      <c r="L253" s="521" t="s">
        <v>1320</v>
      </c>
      <c r="M253" s="521" t="s">
        <v>1321</v>
      </c>
      <c r="N253" s="521" t="s">
        <v>885</v>
      </c>
      <c r="O253" s="22" t="s">
        <v>465</v>
      </c>
      <c r="P253" s="426">
        <v>2021</v>
      </c>
      <c r="Q253" s="720">
        <f t="shared" ca="1" si="9"/>
        <v>4.145190655787708E-3</v>
      </c>
      <c r="R253" s="335">
        <f t="shared" ca="1" si="10"/>
        <v>3936100.0098972721</v>
      </c>
      <c r="S253" s="335">
        <f t="shared" ca="1" si="11"/>
        <v>949558256</v>
      </c>
      <c r="T253" s="429"/>
      <c r="U253" s="22"/>
      <c r="V253" s="24"/>
      <c r="W253" s="21"/>
      <c r="Y253" s="490"/>
    </row>
    <row r="254" spans="1:25" ht="30">
      <c r="A254" s="31">
        <v>251</v>
      </c>
      <c r="B254" s="22" t="s">
        <v>39</v>
      </c>
      <c r="C254" s="22" t="s">
        <v>462</v>
      </c>
      <c r="D254" s="22" t="s">
        <v>489</v>
      </c>
      <c r="E254" s="23" t="s">
        <v>296</v>
      </c>
      <c r="F254" s="22" t="s">
        <v>302</v>
      </c>
      <c r="G254" s="22" t="s">
        <v>298</v>
      </c>
      <c r="H254" s="22" t="s">
        <v>30</v>
      </c>
      <c r="I254" s="22" t="s">
        <v>490</v>
      </c>
      <c r="J254" s="22" t="s">
        <v>302</v>
      </c>
      <c r="K254" s="519" t="s">
        <v>1262</v>
      </c>
      <c r="L254" s="521" t="s">
        <v>1322</v>
      </c>
      <c r="M254" s="521" t="s">
        <v>1323</v>
      </c>
      <c r="N254" s="521" t="s">
        <v>885</v>
      </c>
      <c r="O254" s="22" t="s">
        <v>465</v>
      </c>
      <c r="P254" s="426">
        <v>2021</v>
      </c>
      <c r="Q254" s="720">
        <f t="shared" ca="1" si="9"/>
        <v>3.640267536358857E-3</v>
      </c>
      <c r="R254" s="335">
        <f t="shared" ca="1" si="10"/>
        <v>3456646.0931983329</v>
      </c>
      <c r="S254" s="335">
        <f t="shared" ca="1" si="11"/>
        <v>949558256</v>
      </c>
      <c r="T254" s="429"/>
      <c r="U254" s="22"/>
      <c r="V254" s="24"/>
      <c r="W254" s="21"/>
      <c r="Y254" s="490"/>
    </row>
    <row r="255" spans="1:25" ht="30">
      <c r="A255" s="31">
        <v>252</v>
      </c>
      <c r="B255" s="22" t="s">
        <v>39</v>
      </c>
      <c r="C255" s="22" t="s">
        <v>462</v>
      </c>
      <c r="D255" s="22" t="s">
        <v>489</v>
      </c>
      <c r="E255" s="23" t="s">
        <v>296</v>
      </c>
      <c r="F255" s="22" t="s">
        <v>303</v>
      </c>
      <c r="G255" s="22" t="s">
        <v>298</v>
      </c>
      <c r="H255" s="22" t="s">
        <v>30</v>
      </c>
      <c r="I255" s="22" t="s">
        <v>490</v>
      </c>
      <c r="J255" s="22" t="s">
        <v>303</v>
      </c>
      <c r="K255" s="519" t="s">
        <v>1262</v>
      </c>
      <c r="L255" s="521" t="s">
        <v>1324</v>
      </c>
      <c r="M255" s="521" t="s">
        <v>1325</v>
      </c>
      <c r="N255" s="521" t="s">
        <v>885</v>
      </c>
      <c r="O255" s="22" t="s">
        <v>465</v>
      </c>
      <c r="P255" s="426">
        <v>2021</v>
      </c>
      <c r="Q255" s="720">
        <f t="shared" ca="1" si="9"/>
        <v>3.0810051781206792E-4</v>
      </c>
      <c r="R255" s="335">
        <f t="shared" ca="1" si="10"/>
        <v>115481.60817746399</v>
      </c>
      <c r="S255" s="335">
        <f t="shared" ca="1" si="11"/>
        <v>374817962</v>
      </c>
      <c r="T255" s="429" t="s">
        <v>304</v>
      </c>
      <c r="U255" s="22" t="s">
        <v>491</v>
      </c>
      <c r="V255" s="24"/>
      <c r="W255" s="21"/>
      <c r="Y255" s="490"/>
    </row>
    <row r="256" spans="1:25" ht="30">
      <c r="A256" s="31">
        <v>253</v>
      </c>
      <c r="B256" s="22" t="s">
        <v>39</v>
      </c>
      <c r="C256" s="22" t="s">
        <v>462</v>
      </c>
      <c r="D256" s="22" t="s">
        <v>489</v>
      </c>
      <c r="E256" s="23" t="s">
        <v>296</v>
      </c>
      <c r="F256" s="22" t="s">
        <v>305</v>
      </c>
      <c r="G256" s="22" t="s">
        <v>298</v>
      </c>
      <c r="H256" s="22" t="s">
        <v>30</v>
      </c>
      <c r="I256" s="22" t="s">
        <v>490</v>
      </c>
      <c r="J256" s="22" t="s">
        <v>305</v>
      </c>
      <c r="K256" s="519" t="s">
        <v>1262</v>
      </c>
      <c r="L256" s="521" t="s">
        <v>1326</v>
      </c>
      <c r="M256" s="521" t="s">
        <v>1327</v>
      </c>
      <c r="N256" s="521" t="s">
        <v>885</v>
      </c>
      <c r="O256" s="22" t="s">
        <v>465</v>
      </c>
      <c r="P256" s="426">
        <v>2021</v>
      </c>
      <c r="Q256" s="720">
        <f t="shared" ca="1" si="9"/>
        <v>2.3228224326210162E-4</v>
      </c>
      <c r="R256" s="335">
        <f t="shared" ca="1" si="10"/>
        <v>87063.557028289157</v>
      </c>
      <c r="S256" s="335">
        <f t="shared" ca="1" si="11"/>
        <v>374817962</v>
      </c>
      <c r="T256" s="429" t="s">
        <v>304</v>
      </c>
      <c r="U256" s="22" t="s">
        <v>491</v>
      </c>
      <c r="V256" s="24"/>
      <c r="W256" s="21"/>
      <c r="Y256" s="490"/>
    </row>
    <row r="257" spans="1:25" ht="30">
      <c r="A257" s="31">
        <v>254</v>
      </c>
      <c r="B257" s="22" t="s">
        <v>39</v>
      </c>
      <c r="C257" s="22" t="s">
        <v>462</v>
      </c>
      <c r="D257" s="22" t="s">
        <v>489</v>
      </c>
      <c r="E257" s="23" t="s">
        <v>296</v>
      </c>
      <c r="F257" s="22" t="s">
        <v>306</v>
      </c>
      <c r="G257" s="22" t="s">
        <v>298</v>
      </c>
      <c r="H257" s="22" t="s">
        <v>30</v>
      </c>
      <c r="I257" s="22" t="s">
        <v>490</v>
      </c>
      <c r="J257" s="22" t="s">
        <v>306</v>
      </c>
      <c r="K257" s="519" t="s">
        <v>1262</v>
      </c>
      <c r="L257" s="521" t="s">
        <v>1328</v>
      </c>
      <c r="M257" s="521" t="s">
        <v>1329</v>
      </c>
      <c r="N257" s="521" t="s">
        <v>885</v>
      </c>
      <c r="O257" s="22" t="s">
        <v>465</v>
      </c>
      <c r="P257" s="426">
        <v>2021</v>
      </c>
      <c r="Q257" s="720">
        <f t="shared" ca="1" si="9"/>
        <v>4.5856048931609168E-3</v>
      </c>
      <c r="R257" s="335">
        <f t="shared" ca="1" si="10"/>
        <v>4795.1123763680444</v>
      </c>
      <c r="S257" s="335">
        <f t="shared" ca="1" si="11"/>
        <v>1045688.08</v>
      </c>
      <c r="T257" s="429"/>
      <c r="U257" s="22"/>
      <c r="V257" s="24"/>
      <c r="W257" s="21"/>
      <c r="Y257" s="490"/>
    </row>
    <row r="258" spans="1:25" ht="30">
      <c r="A258" s="31">
        <v>255</v>
      </c>
      <c r="B258" s="22" t="s">
        <v>39</v>
      </c>
      <c r="C258" s="22" t="s">
        <v>462</v>
      </c>
      <c r="D258" s="22" t="s">
        <v>489</v>
      </c>
      <c r="E258" s="23" t="s">
        <v>296</v>
      </c>
      <c r="F258" s="22" t="s">
        <v>307</v>
      </c>
      <c r="G258" s="22" t="s">
        <v>298</v>
      </c>
      <c r="H258" s="22" t="s">
        <v>30</v>
      </c>
      <c r="I258" s="22" t="s">
        <v>490</v>
      </c>
      <c r="J258" s="22" t="s">
        <v>307</v>
      </c>
      <c r="K258" s="519" t="s">
        <v>1262</v>
      </c>
      <c r="L258" s="521" t="s">
        <v>1330</v>
      </c>
      <c r="M258" s="521" t="s">
        <v>1331</v>
      </c>
      <c r="N258" s="521" t="s">
        <v>885</v>
      </c>
      <c r="O258" s="22" t="s">
        <v>465</v>
      </c>
      <c r="P258" s="426">
        <v>2021</v>
      </c>
      <c r="Q258" s="720">
        <f t="shared" ca="1" si="9"/>
        <v>3.5354358341323508E-3</v>
      </c>
      <c r="R258" s="335">
        <f t="shared" ca="1" si="10"/>
        <v>3696.9631093570561</v>
      </c>
      <c r="S258" s="335">
        <f t="shared" ca="1" si="11"/>
        <v>1045688.08</v>
      </c>
      <c r="T258" s="429"/>
      <c r="U258" s="22"/>
      <c r="V258" s="24"/>
      <c r="W258" s="21"/>
      <c r="Y258" s="490"/>
    </row>
    <row r="259" spans="1:25" ht="30">
      <c r="A259" s="31">
        <v>256</v>
      </c>
      <c r="B259" s="22" t="s">
        <v>39</v>
      </c>
      <c r="C259" s="22" t="s">
        <v>462</v>
      </c>
      <c r="D259" s="22" t="s">
        <v>489</v>
      </c>
      <c r="E259" s="23" t="s">
        <v>296</v>
      </c>
      <c r="F259" s="22" t="s">
        <v>308</v>
      </c>
      <c r="G259" s="22" t="s">
        <v>298</v>
      </c>
      <c r="H259" s="22" t="s">
        <v>30</v>
      </c>
      <c r="I259" s="22" t="s">
        <v>490</v>
      </c>
      <c r="J259" s="22" t="s">
        <v>308</v>
      </c>
      <c r="K259" s="519" t="s">
        <v>1262</v>
      </c>
      <c r="L259" s="521" t="s">
        <v>1332</v>
      </c>
      <c r="M259" s="521" t="s">
        <v>1333</v>
      </c>
      <c r="N259" s="521" t="s">
        <v>885</v>
      </c>
      <c r="O259" s="22" t="s">
        <v>465</v>
      </c>
      <c r="P259" s="426">
        <v>2021</v>
      </c>
      <c r="Q259" s="720">
        <f t="shared" ca="1" si="9"/>
        <v>3.710744792847518E-2</v>
      </c>
      <c r="R259" s="335">
        <f t="shared" ca="1" si="10"/>
        <v>35235683.539573707</v>
      </c>
      <c r="S259" s="335">
        <f t="shared" ca="1" si="11"/>
        <v>1899116512</v>
      </c>
      <c r="T259" s="429"/>
      <c r="U259" s="22"/>
      <c r="V259" s="24"/>
      <c r="W259" s="21"/>
      <c r="Y259" s="490"/>
    </row>
    <row r="260" spans="1:25" ht="30">
      <c r="A260" s="31">
        <v>257</v>
      </c>
      <c r="B260" s="22" t="s">
        <v>39</v>
      </c>
      <c r="C260" s="22" t="s">
        <v>462</v>
      </c>
      <c r="D260" s="22" t="s">
        <v>489</v>
      </c>
      <c r="E260" s="23" t="s">
        <v>296</v>
      </c>
      <c r="F260" s="22" t="s">
        <v>309</v>
      </c>
      <c r="G260" s="22" t="s">
        <v>298</v>
      </c>
      <c r="H260" s="22" t="s">
        <v>30</v>
      </c>
      <c r="I260" s="22" t="s">
        <v>490</v>
      </c>
      <c r="J260" s="22" t="s">
        <v>309</v>
      </c>
      <c r="K260" s="519" t="s">
        <v>1262</v>
      </c>
      <c r="L260" s="521" t="s">
        <v>1334</v>
      </c>
      <c r="M260" s="521" t="s">
        <v>1335</v>
      </c>
      <c r="N260" s="521" t="s">
        <v>885</v>
      </c>
      <c r="O260" s="22" t="s">
        <v>465</v>
      </c>
      <c r="P260" s="426">
        <v>2021</v>
      </c>
      <c r="Q260" s="720">
        <f t="shared" ref="Q260:Q309" ca="1" si="15">SUMIF(INDIRECT("'"&amp;K260&amp;"'!c:c"),A260,INDIRECT("'"&amp;K260&amp;"'!i:i"))</f>
        <v>2.8870767203790174E-2</v>
      </c>
      <c r="R260" s="335">
        <f t="shared" ref="R260:R323" ca="1" si="16">IF($N260 = "N","N/A",SUMIF(INDIRECT("'"&amp;K260&amp;"'!j:j"),L260,INDIRECT("'"&amp;K260&amp;"'!q:q")))</f>
        <v>27414475.355412994</v>
      </c>
      <c r="S260" s="335">
        <f t="shared" ref="S260:S323" ca="1" si="17">IF($N260 = "N","N/A",SUMIF(INDIRECT("'"&amp;K260&amp;"'!j:j"),M260,INDIRECT("'"&amp;K260&amp;"'!q:q")))</f>
        <v>0</v>
      </c>
      <c r="T260" s="429"/>
      <c r="U260" s="22"/>
      <c r="V260" s="24"/>
      <c r="W260" s="21"/>
      <c r="Y260" s="490"/>
    </row>
    <row r="261" spans="1:25" ht="30">
      <c r="A261" s="31">
        <v>258</v>
      </c>
      <c r="B261" s="22" t="s">
        <v>39</v>
      </c>
      <c r="C261" s="22" t="s">
        <v>462</v>
      </c>
      <c r="D261" s="22" t="s">
        <v>489</v>
      </c>
      <c r="E261" s="23" t="s">
        <v>296</v>
      </c>
      <c r="F261" s="22" t="s">
        <v>310</v>
      </c>
      <c r="G261" s="22" t="s">
        <v>298</v>
      </c>
      <c r="H261" s="22" t="s">
        <v>30</v>
      </c>
      <c r="I261" s="22" t="s">
        <v>490</v>
      </c>
      <c r="J261" s="22" t="s">
        <v>310</v>
      </c>
      <c r="K261" s="519" t="s">
        <v>1262</v>
      </c>
      <c r="L261" s="521" t="s">
        <v>1336</v>
      </c>
      <c r="M261" s="521" t="s">
        <v>1337</v>
      </c>
      <c r="N261" s="521" t="s">
        <v>885</v>
      </c>
      <c r="O261" s="22" t="s">
        <v>465</v>
      </c>
      <c r="P261" s="426">
        <v>2021</v>
      </c>
      <c r="Q261" s="720">
        <f t="shared" ca="1" si="15"/>
        <v>3.7848912335220223E-3</v>
      </c>
      <c r="R261" s="335">
        <f t="shared" ca="1" si="16"/>
        <v>1418645.2185403905</v>
      </c>
      <c r="S261" s="335">
        <f t="shared" ca="1" si="17"/>
        <v>374817962</v>
      </c>
      <c r="T261" s="429" t="s">
        <v>304</v>
      </c>
      <c r="U261" s="22" t="s">
        <v>491</v>
      </c>
      <c r="V261" s="24"/>
      <c r="W261" s="21"/>
      <c r="Y261" s="490"/>
    </row>
    <row r="262" spans="1:25" ht="30">
      <c r="A262" s="100">
        <v>259</v>
      </c>
      <c r="B262" s="22" t="s">
        <v>39</v>
      </c>
      <c r="C262" s="22" t="s">
        <v>462</v>
      </c>
      <c r="D262" s="22" t="s">
        <v>489</v>
      </c>
      <c r="E262" s="23" t="s">
        <v>296</v>
      </c>
      <c r="F262" s="101" t="s">
        <v>311</v>
      </c>
      <c r="G262" s="101" t="s">
        <v>298</v>
      </c>
      <c r="H262" s="101" t="s">
        <v>30</v>
      </c>
      <c r="I262" s="101" t="s">
        <v>490</v>
      </c>
      <c r="J262" s="101" t="s">
        <v>311</v>
      </c>
      <c r="K262" s="519" t="s">
        <v>1262</v>
      </c>
      <c r="L262" s="521" t="s">
        <v>1338</v>
      </c>
      <c r="M262" s="521" t="s">
        <v>1339</v>
      </c>
      <c r="N262" s="521" t="s">
        <v>885</v>
      </c>
      <c r="O262" s="101" t="s">
        <v>465</v>
      </c>
      <c r="P262" s="426">
        <v>2021</v>
      </c>
      <c r="Q262" s="720">
        <f t="shared" ca="1" si="15"/>
        <v>2.6187091339891582E-3</v>
      </c>
      <c r="R262" s="335">
        <f t="shared" ca="1" si="16"/>
        <v>981539.22067260125</v>
      </c>
      <c r="S262" s="335">
        <f t="shared" ca="1" si="17"/>
        <v>374817962</v>
      </c>
      <c r="T262" s="522" t="s">
        <v>304</v>
      </c>
      <c r="U262" s="101" t="s">
        <v>491</v>
      </c>
      <c r="V262" s="24"/>
      <c r="W262" s="21"/>
      <c r="Y262" s="490"/>
    </row>
    <row r="263" spans="1:25" ht="45">
      <c r="A263" s="31">
        <v>260</v>
      </c>
      <c r="B263" s="22" t="s">
        <v>39</v>
      </c>
      <c r="C263" s="22" t="s">
        <v>492</v>
      </c>
      <c r="D263" s="22" t="s">
        <v>493</v>
      </c>
      <c r="E263" s="23" t="s">
        <v>51</v>
      </c>
      <c r="F263" s="22" t="s">
        <v>52</v>
      </c>
      <c r="G263" s="22" t="s">
        <v>53</v>
      </c>
      <c r="H263" s="22" t="s">
        <v>30</v>
      </c>
      <c r="I263" s="22" t="s">
        <v>494</v>
      </c>
      <c r="J263" s="22" t="s">
        <v>52</v>
      </c>
      <c r="K263" s="519" t="s">
        <v>1340</v>
      </c>
      <c r="L263" s="521" t="s">
        <v>1341</v>
      </c>
      <c r="M263" s="521" t="s">
        <v>1342</v>
      </c>
      <c r="N263" s="521" t="s">
        <v>815</v>
      </c>
      <c r="O263" s="22" t="s">
        <v>495</v>
      </c>
      <c r="P263" s="426">
        <v>2021</v>
      </c>
      <c r="Q263" s="414">
        <f t="shared" ca="1" si="15"/>
        <v>2.96999992132187</v>
      </c>
      <c r="R263" s="335" t="str">
        <f t="shared" ca="1" si="16"/>
        <v>N/A</v>
      </c>
      <c r="S263" s="335" t="str">
        <f t="shared" ca="1" si="17"/>
        <v>N/A</v>
      </c>
      <c r="T263" s="429" t="s">
        <v>899</v>
      </c>
      <c r="U263" s="22"/>
      <c r="V263" s="24"/>
      <c r="W263" s="21"/>
      <c r="Y263" s="490"/>
    </row>
    <row r="264" spans="1:25" ht="45">
      <c r="A264" s="31">
        <v>261</v>
      </c>
      <c r="B264" s="22" t="s">
        <v>39</v>
      </c>
      <c r="C264" s="22" t="s">
        <v>492</v>
      </c>
      <c r="D264" s="22" t="s">
        <v>493</v>
      </c>
      <c r="E264" s="23" t="s">
        <v>51</v>
      </c>
      <c r="F264" s="22" t="s">
        <v>55</v>
      </c>
      <c r="G264" s="22" t="s">
        <v>53</v>
      </c>
      <c r="H264" s="22" t="s">
        <v>30</v>
      </c>
      <c r="I264" s="22" t="s">
        <v>494</v>
      </c>
      <c r="J264" s="22" t="s">
        <v>55</v>
      </c>
      <c r="K264" s="519" t="s">
        <v>1340</v>
      </c>
      <c r="L264" s="521" t="s">
        <v>1343</v>
      </c>
      <c r="M264" s="521" t="s">
        <v>1344</v>
      </c>
      <c r="N264" s="521" t="s">
        <v>815</v>
      </c>
      <c r="O264" s="22" t="s">
        <v>495</v>
      </c>
      <c r="P264" s="426">
        <v>2021</v>
      </c>
      <c r="Q264" s="414">
        <f t="shared" ca="1" si="15"/>
        <v>1.9305000196695301</v>
      </c>
      <c r="R264" s="335" t="str">
        <f t="shared" ca="1" si="16"/>
        <v>N/A</v>
      </c>
      <c r="S264" s="335" t="str">
        <f t="shared" ca="1" si="17"/>
        <v>N/A</v>
      </c>
      <c r="T264" s="429" t="s">
        <v>899</v>
      </c>
      <c r="U264" s="22"/>
      <c r="V264" s="24"/>
      <c r="W264" s="21"/>
      <c r="Y264" s="490"/>
    </row>
    <row r="265" spans="1:25" ht="45">
      <c r="A265" s="31">
        <v>262</v>
      </c>
      <c r="B265" s="22" t="s">
        <v>39</v>
      </c>
      <c r="C265" s="22" t="s">
        <v>492</v>
      </c>
      <c r="D265" s="22" t="s">
        <v>493</v>
      </c>
      <c r="E265" s="23" t="s">
        <v>51</v>
      </c>
      <c r="F265" s="22" t="s">
        <v>56</v>
      </c>
      <c r="G265" s="22" t="s">
        <v>53</v>
      </c>
      <c r="H265" s="22" t="s">
        <v>30</v>
      </c>
      <c r="I265" s="22" t="s">
        <v>494</v>
      </c>
      <c r="J265" s="22" t="s">
        <v>56</v>
      </c>
      <c r="K265" s="519" t="s">
        <v>1340</v>
      </c>
      <c r="L265" s="521" t="s">
        <v>1345</v>
      </c>
      <c r="M265" s="521" t="s">
        <v>1346</v>
      </c>
      <c r="N265" s="521" t="s">
        <v>815</v>
      </c>
      <c r="O265" s="22" t="s">
        <v>495</v>
      </c>
      <c r="P265" s="426">
        <v>2021</v>
      </c>
      <c r="Q265" s="414">
        <f t="shared" ca="1" si="15"/>
        <v>12751.4696622014</v>
      </c>
      <c r="R265" s="335" t="str">
        <f t="shared" ca="1" si="16"/>
        <v>N/A</v>
      </c>
      <c r="S265" s="335" t="str">
        <f t="shared" ca="1" si="17"/>
        <v>N/A</v>
      </c>
      <c r="T265" s="429" t="s">
        <v>899</v>
      </c>
      <c r="U265" s="22"/>
      <c r="V265" s="24"/>
      <c r="W265" s="21"/>
      <c r="Y265" s="490"/>
    </row>
    <row r="266" spans="1:25" ht="45">
      <c r="A266" s="31">
        <v>263</v>
      </c>
      <c r="B266" s="22" t="s">
        <v>39</v>
      </c>
      <c r="C266" s="22" t="s">
        <v>492</v>
      </c>
      <c r="D266" s="22" t="s">
        <v>493</v>
      </c>
      <c r="E266" s="23" t="s">
        <v>51</v>
      </c>
      <c r="F266" s="22" t="s">
        <v>57</v>
      </c>
      <c r="G266" s="22" t="s">
        <v>53</v>
      </c>
      <c r="H266" s="22" t="s">
        <v>30</v>
      </c>
      <c r="I266" s="22" t="s">
        <v>494</v>
      </c>
      <c r="J266" s="22" t="s">
        <v>57</v>
      </c>
      <c r="K266" s="519" t="s">
        <v>1340</v>
      </c>
      <c r="L266" s="521" t="s">
        <v>1347</v>
      </c>
      <c r="M266" s="521" t="s">
        <v>1348</v>
      </c>
      <c r="N266" s="521" t="s">
        <v>815</v>
      </c>
      <c r="O266" s="22" t="s">
        <v>495</v>
      </c>
      <c r="P266" s="426">
        <v>2021</v>
      </c>
      <c r="Q266" s="414">
        <f t="shared" ca="1" si="15"/>
        <v>8288.4555844496408</v>
      </c>
      <c r="R266" s="335" t="str">
        <f t="shared" ca="1" si="16"/>
        <v>N/A</v>
      </c>
      <c r="S266" s="335" t="str">
        <f t="shared" ca="1" si="17"/>
        <v>N/A</v>
      </c>
      <c r="T266" s="429" t="s">
        <v>899</v>
      </c>
      <c r="U266" s="22"/>
      <c r="V266" s="24"/>
      <c r="W266" s="21"/>
      <c r="Y266" s="490"/>
    </row>
    <row r="267" spans="1:25" ht="45">
      <c r="A267" s="31">
        <v>264</v>
      </c>
      <c r="B267" s="22" t="s">
        <v>39</v>
      </c>
      <c r="C267" s="22" t="s">
        <v>492</v>
      </c>
      <c r="D267" s="22" t="s">
        <v>493</v>
      </c>
      <c r="E267" s="23" t="s">
        <v>51</v>
      </c>
      <c r="F267" s="22" t="s">
        <v>58</v>
      </c>
      <c r="G267" s="22" t="s">
        <v>53</v>
      </c>
      <c r="H267" s="22" t="s">
        <v>30</v>
      </c>
      <c r="I267" s="22" t="s">
        <v>494</v>
      </c>
      <c r="J267" s="22" t="s">
        <v>58</v>
      </c>
      <c r="K267" s="519" t="s">
        <v>1340</v>
      </c>
      <c r="L267" s="521" t="s">
        <v>1349</v>
      </c>
      <c r="M267" s="521" t="s">
        <v>1350</v>
      </c>
      <c r="N267" s="521" t="s">
        <v>815</v>
      </c>
      <c r="O267" s="22" t="s">
        <v>495</v>
      </c>
      <c r="P267" s="426">
        <v>2021</v>
      </c>
      <c r="Q267" s="720">
        <f t="shared" ca="1" si="15"/>
        <v>0</v>
      </c>
      <c r="R267" s="335" t="str">
        <f t="shared" ca="1" si="16"/>
        <v>N/A</v>
      </c>
      <c r="S267" s="335" t="str">
        <f t="shared" ca="1" si="17"/>
        <v>N/A</v>
      </c>
      <c r="T267" s="429" t="s">
        <v>899</v>
      </c>
      <c r="U267" s="22" t="s">
        <v>49</v>
      </c>
      <c r="V267" s="24"/>
      <c r="W267" s="21"/>
      <c r="Y267" s="490"/>
    </row>
    <row r="268" spans="1:25" ht="45">
      <c r="A268" s="31">
        <v>265</v>
      </c>
      <c r="B268" s="22" t="s">
        <v>39</v>
      </c>
      <c r="C268" s="22" t="s">
        <v>492</v>
      </c>
      <c r="D268" s="22" t="s">
        <v>493</v>
      </c>
      <c r="E268" s="23" t="s">
        <v>51</v>
      </c>
      <c r="F268" s="22" t="s">
        <v>60</v>
      </c>
      <c r="G268" s="22" t="s">
        <v>53</v>
      </c>
      <c r="H268" s="22" t="s">
        <v>30</v>
      </c>
      <c r="I268" s="22" t="s">
        <v>494</v>
      </c>
      <c r="J268" s="22" t="s">
        <v>60</v>
      </c>
      <c r="K268" s="519" t="s">
        <v>1340</v>
      </c>
      <c r="L268" s="521" t="s">
        <v>1351</v>
      </c>
      <c r="M268" s="521" t="s">
        <v>1352</v>
      </c>
      <c r="N268" s="521" t="s">
        <v>815</v>
      </c>
      <c r="O268" s="22" t="s">
        <v>495</v>
      </c>
      <c r="P268" s="426">
        <v>2021</v>
      </c>
      <c r="Q268" s="720">
        <f t="shared" ca="1" si="15"/>
        <v>0</v>
      </c>
      <c r="R268" s="335" t="str">
        <f t="shared" ca="1" si="16"/>
        <v>N/A</v>
      </c>
      <c r="S268" s="335" t="str">
        <f t="shared" ca="1" si="17"/>
        <v>N/A</v>
      </c>
      <c r="T268" s="429" t="s">
        <v>899</v>
      </c>
      <c r="U268" s="22" t="s">
        <v>49</v>
      </c>
      <c r="V268" s="24"/>
      <c r="W268" s="21"/>
      <c r="Y268" s="490"/>
    </row>
    <row r="269" spans="1:25" ht="45">
      <c r="A269" s="31">
        <v>266</v>
      </c>
      <c r="B269" s="22" t="s">
        <v>39</v>
      </c>
      <c r="C269" s="22" t="s">
        <v>492</v>
      </c>
      <c r="D269" s="22" t="s">
        <v>493</v>
      </c>
      <c r="E269" s="23" t="s">
        <v>51</v>
      </c>
      <c r="F269" s="22" t="s">
        <v>61</v>
      </c>
      <c r="G269" s="22" t="s">
        <v>53</v>
      </c>
      <c r="H269" s="22" t="s">
        <v>30</v>
      </c>
      <c r="I269" s="22" t="s">
        <v>494</v>
      </c>
      <c r="J269" s="22" t="s">
        <v>61</v>
      </c>
      <c r="K269" s="519" t="s">
        <v>1340</v>
      </c>
      <c r="L269" s="521" t="s">
        <v>1353</v>
      </c>
      <c r="M269" s="521" t="s">
        <v>1354</v>
      </c>
      <c r="N269" s="521" t="s">
        <v>815</v>
      </c>
      <c r="O269" s="22" t="s">
        <v>495</v>
      </c>
      <c r="P269" s="426">
        <v>2021</v>
      </c>
      <c r="Q269" s="414">
        <f t="shared" ca="1" si="15"/>
        <v>8.9099997639655992</v>
      </c>
      <c r="R269" s="335" t="str">
        <f t="shared" ca="1" si="16"/>
        <v>N/A</v>
      </c>
      <c r="S269" s="335" t="str">
        <f t="shared" ca="1" si="17"/>
        <v>N/A</v>
      </c>
      <c r="T269" s="429" t="s">
        <v>899</v>
      </c>
      <c r="U269" s="22"/>
      <c r="V269" s="24"/>
      <c r="W269" s="21"/>
      <c r="Y269" s="490"/>
    </row>
    <row r="270" spans="1:25" ht="45">
      <c r="A270" s="31">
        <v>267</v>
      </c>
      <c r="B270" s="22" t="s">
        <v>39</v>
      </c>
      <c r="C270" s="22" t="s">
        <v>492</v>
      </c>
      <c r="D270" s="22" t="s">
        <v>493</v>
      </c>
      <c r="E270" s="23" t="s">
        <v>51</v>
      </c>
      <c r="F270" s="22" t="s">
        <v>62</v>
      </c>
      <c r="G270" s="22" t="s">
        <v>53</v>
      </c>
      <c r="H270" s="22" t="s">
        <v>30</v>
      </c>
      <c r="I270" s="22" t="s">
        <v>494</v>
      </c>
      <c r="J270" s="22" t="s">
        <v>62</v>
      </c>
      <c r="K270" s="519" t="s">
        <v>1340</v>
      </c>
      <c r="L270" s="521" t="s">
        <v>1355</v>
      </c>
      <c r="M270" s="521" t="s">
        <v>1356</v>
      </c>
      <c r="N270" s="521" t="s">
        <v>815</v>
      </c>
      <c r="O270" s="22" t="s">
        <v>495</v>
      </c>
      <c r="P270" s="426">
        <v>2021</v>
      </c>
      <c r="Q270" s="414">
        <f t="shared" ca="1" si="15"/>
        <v>5.7915000590085901</v>
      </c>
      <c r="R270" s="335" t="str">
        <f t="shared" ca="1" si="16"/>
        <v>N/A</v>
      </c>
      <c r="S270" s="335" t="str">
        <f t="shared" ca="1" si="17"/>
        <v>N/A</v>
      </c>
      <c r="T270" s="429" t="s">
        <v>899</v>
      </c>
      <c r="U270" s="22"/>
      <c r="V270" s="24"/>
      <c r="W270" s="21"/>
      <c r="Y270" s="490"/>
    </row>
    <row r="271" spans="1:25" ht="45">
      <c r="A271" s="31">
        <v>268</v>
      </c>
      <c r="B271" s="22" t="s">
        <v>39</v>
      </c>
      <c r="C271" s="22" t="s">
        <v>492</v>
      </c>
      <c r="D271" s="22" t="s">
        <v>493</v>
      </c>
      <c r="E271" s="23" t="s">
        <v>51</v>
      </c>
      <c r="F271" s="22" t="s">
        <v>63</v>
      </c>
      <c r="G271" s="22" t="s">
        <v>53</v>
      </c>
      <c r="H271" s="22" t="s">
        <v>30</v>
      </c>
      <c r="I271" s="22" t="s">
        <v>494</v>
      </c>
      <c r="J271" s="22" t="s">
        <v>63</v>
      </c>
      <c r="K271" s="519" t="s">
        <v>1340</v>
      </c>
      <c r="L271" s="521" t="s">
        <v>1357</v>
      </c>
      <c r="M271" s="521" t="s">
        <v>1358</v>
      </c>
      <c r="N271" s="521" t="s">
        <v>815</v>
      </c>
      <c r="O271" s="22" t="s">
        <v>495</v>
      </c>
      <c r="P271" s="426">
        <v>2021</v>
      </c>
      <c r="Q271" s="414">
        <f t="shared" ca="1" si="15"/>
        <v>38254.408986604198</v>
      </c>
      <c r="R271" s="335" t="str">
        <f t="shared" ca="1" si="16"/>
        <v>N/A</v>
      </c>
      <c r="S271" s="335" t="str">
        <f t="shared" ca="1" si="17"/>
        <v>N/A</v>
      </c>
      <c r="T271" s="429" t="s">
        <v>899</v>
      </c>
      <c r="U271" s="22"/>
      <c r="V271" s="24"/>
      <c r="W271" s="21"/>
      <c r="Y271" s="490"/>
    </row>
    <row r="272" spans="1:25" ht="45">
      <c r="A272" s="31">
        <v>269</v>
      </c>
      <c r="B272" s="22" t="s">
        <v>39</v>
      </c>
      <c r="C272" s="22" t="s">
        <v>492</v>
      </c>
      <c r="D272" s="22" t="s">
        <v>493</v>
      </c>
      <c r="E272" s="23" t="s">
        <v>51</v>
      </c>
      <c r="F272" s="22" t="s">
        <v>64</v>
      </c>
      <c r="G272" s="22" t="s">
        <v>53</v>
      </c>
      <c r="H272" s="22" t="s">
        <v>30</v>
      </c>
      <c r="I272" s="22" t="s">
        <v>494</v>
      </c>
      <c r="J272" s="22" t="s">
        <v>64</v>
      </c>
      <c r="K272" s="519" t="s">
        <v>1340</v>
      </c>
      <c r="L272" s="521" t="s">
        <v>1359</v>
      </c>
      <c r="M272" s="521" t="s">
        <v>1360</v>
      </c>
      <c r="N272" s="521" t="s">
        <v>815</v>
      </c>
      <c r="O272" s="22" t="s">
        <v>495</v>
      </c>
      <c r="P272" s="426">
        <v>2021</v>
      </c>
      <c r="Q272" s="414">
        <f t="shared" ca="1" si="15"/>
        <v>24865.366753348899</v>
      </c>
      <c r="R272" s="335" t="str">
        <f t="shared" ca="1" si="16"/>
        <v>N/A</v>
      </c>
      <c r="S272" s="335" t="str">
        <f t="shared" ca="1" si="17"/>
        <v>N/A</v>
      </c>
      <c r="T272" s="429" t="s">
        <v>899</v>
      </c>
      <c r="U272" s="22"/>
      <c r="V272" s="24"/>
      <c r="W272" s="21"/>
      <c r="Y272" s="490"/>
    </row>
    <row r="273" spans="1:25" ht="45">
      <c r="A273" s="31">
        <v>270</v>
      </c>
      <c r="B273" s="22" t="s">
        <v>39</v>
      </c>
      <c r="C273" s="22" t="s">
        <v>492</v>
      </c>
      <c r="D273" s="22" t="s">
        <v>493</v>
      </c>
      <c r="E273" s="23" t="s">
        <v>51</v>
      </c>
      <c r="F273" s="22" t="s">
        <v>65</v>
      </c>
      <c r="G273" s="22" t="s">
        <v>53</v>
      </c>
      <c r="H273" s="22" t="s">
        <v>30</v>
      </c>
      <c r="I273" s="22" t="s">
        <v>494</v>
      </c>
      <c r="J273" s="22" t="s">
        <v>65</v>
      </c>
      <c r="K273" s="519" t="s">
        <v>1340</v>
      </c>
      <c r="L273" s="521" t="s">
        <v>1361</v>
      </c>
      <c r="M273" s="521" t="s">
        <v>1362</v>
      </c>
      <c r="N273" s="521" t="s">
        <v>815</v>
      </c>
      <c r="O273" s="22" t="s">
        <v>495</v>
      </c>
      <c r="P273" s="426">
        <v>2021</v>
      </c>
      <c r="Q273" s="720">
        <f t="shared" ca="1" si="15"/>
        <v>0</v>
      </c>
      <c r="R273" s="335" t="str">
        <f t="shared" ca="1" si="16"/>
        <v>N/A</v>
      </c>
      <c r="S273" s="335" t="str">
        <f t="shared" ca="1" si="17"/>
        <v>N/A</v>
      </c>
      <c r="T273" s="429" t="s">
        <v>899</v>
      </c>
      <c r="U273" s="22" t="s">
        <v>49</v>
      </c>
      <c r="V273" s="24"/>
      <c r="W273" s="21"/>
      <c r="Y273" s="490"/>
    </row>
    <row r="274" spans="1:25" ht="45">
      <c r="A274" s="31">
        <v>271</v>
      </c>
      <c r="B274" s="22" t="s">
        <v>39</v>
      </c>
      <c r="C274" s="22" t="s">
        <v>492</v>
      </c>
      <c r="D274" s="22" t="s">
        <v>493</v>
      </c>
      <c r="E274" s="23" t="s">
        <v>51</v>
      </c>
      <c r="F274" s="22" t="s">
        <v>66</v>
      </c>
      <c r="G274" s="22" t="s">
        <v>53</v>
      </c>
      <c r="H274" s="22" t="s">
        <v>30</v>
      </c>
      <c r="I274" s="22" t="s">
        <v>494</v>
      </c>
      <c r="J274" s="22" t="s">
        <v>66</v>
      </c>
      <c r="K274" s="519" t="s">
        <v>1340</v>
      </c>
      <c r="L274" s="521" t="s">
        <v>1363</v>
      </c>
      <c r="M274" s="521" t="s">
        <v>1364</v>
      </c>
      <c r="N274" s="521" t="s">
        <v>815</v>
      </c>
      <c r="O274" s="22" t="s">
        <v>495</v>
      </c>
      <c r="P274" s="426">
        <v>2021</v>
      </c>
      <c r="Q274" s="720">
        <f t="shared" ca="1" si="15"/>
        <v>0</v>
      </c>
      <c r="R274" s="335" t="str">
        <f t="shared" ca="1" si="16"/>
        <v>N/A</v>
      </c>
      <c r="S274" s="335" t="str">
        <f t="shared" ca="1" si="17"/>
        <v>N/A</v>
      </c>
      <c r="T274" s="429" t="s">
        <v>899</v>
      </c>
      <c r="U274" s="22" t="s">
        <v>49</v>
      </c>
      <c r="V274" s="24"/>
      <c r="W274" s="21"/>
      <c r="Y274" s="490"/>
    </row>
    <row r="275" spans="1:25" ht="30">
      <c r="A275" s="31">
        <v>272</v>
      </c>
      <c r="B275" s="22" t="s">
        <v>39</v>
      </c>
      <c r="C275" s="22" t="s">
        <v>492</v>
      </c>
      <c r="D275" s="22" t="s">
        <v>496</v>
      </c>
      <c r="E275" s="23" t="s">
        <v>42</v>
      </c>
      <c r="F275" s="22" t="s">
        <v>43</v>
      </c>
      <c r="G275" s="22" t="s">
        <v>44</v>
      </c>
      <c r="H275" s="22" t="s">
        <v>30</v>
      </c>
      <c r="I275" s="22" t="s">
        <v>497</v>
      </c>
      <c r="J275" s="22" t="s">
        <v>46</v>
      </c>
      <c r="K275" s="519" t="s">
        <v>1340</v>
      </c>
      <c r="L275" s="521" t="s">
        <v>1365</v>
      </c>
      <c r="M275" s="521" t="s">
        <v>1366</v>
      </c>
      <c r="N275" s="521" t="s">
        <v>815</v>
      </c>
      <c r="O275" s="22" t="s">
        <v>495</v>
      </c>
      <c r="P275" s="426">
        <v>2021</v>
      </c>
      <c r="Q275" s="414">
        <f t="shared" ca="1" si="15"/>
        <v>1.8062420433562247</v>
      </c>
      <c r="R275" s="335" t="str">
        <f t="shared" ca="1" si="16"/>
        <v>N/A</v>
      </c>
      <c r="S275" s="335" t="str">
        <f t="shared" ca="1" si="17"/>
        <v>N/A</v>
      </c>
      <c r="T275" s="429" t="s">
        <v>48</v>
      </c>
      <c r="U275" s="22"/>
      <c r="V275" s="24"/>
      <c r="W275" s="21"/>
      <c r="Y275" s="490"/>
    </row>
    <row r="276" spans="1:25" ht="75">
      <c r="A276" s="31">
        <v>273</v>
      </c>
      <c r="B276" s="22" t="s">
        <v>39</v>
      </c>
      <c r="C276" s="22" t="s">
        <v>492</v>
      </c>
      <c r="D276" s="22" t="s">
        <v>498</v>
      </c>
      <c r="E276" s="23" t="s">
        <v>499</v>
      </c>
      <c r="F276" s="22" t="s">
        <v>142</v>
      </c>
      <c r="G276" s="22" t="s">
        <v>143</v>
      </c>
      <c r="H276" s="22" t="s">
        <v>30</v>
      </c>
      <c r="I276" s="22" t="s">
        <v>500</v>
      </c>
      <c r="J276" s="22" t="s">
        <v>501</v>
      </c>
      <c r="K276" s="519" t="s">
        <v>1340</v>
      </c>
      <c r="L276" s="521" t="s">
        <v>1367</v>
      </c>
      <c r="M276" s="521" t="s">
        <v>1368</v>
      </c>
      <c r="N276" s="521" t="s">
        <v>885</v>
      </c>
      <c r="O276" s="22" t="s">
        <v>495</v>
      </c>
      <c r="P276" s="426">
        <v>2021</v>
      </c>
      <c r="Q276" s="720">
        <f t="shared" ca="1" si="15"/>
        <v>1.2500000000000001E-2</v>
      </c>
      <c r="R276" s="335">
        <f t="shared" ca="1" si="16"/>
        <v>1</v>
      </c>
      <c r="S276" s="335">
        <f t="shared" ca="1" si="17"/>
        <v>80</v>
      </c>
      <c r="T276" s="429" t="s">
        <v>502</v>
      </c>
      <c r="U276" s="22" t="s">
        <v>246</v>
      </c>
      <c r="V276" s="24"/>
      <c r="W276" s="21"/>
      <c r="Y276" s="490"/>
    </row>
    <row r="277" spans="1:25" ht="75">
      <c r="A277" s="31">
        <v>274</v>
      </c>
      <c r="B277" s="22" t="s">
        <v>39</v>
      </c>
      <c r="C277" s="22" t="s">
        <v>492</v>
      </c>
      <c r="D277" s="22" t="s">
        <v>498</v>
      </c>
      <c r="E277" s="23" t="s">
        <v>499</v>
      </c>
      <c r="F277" s="22" t="s">
        <v>142</v>
      </c>
      <c r="G277" s="22" t="s">
        <v>143</v>
      </c>
      <c r="H277" s="22" t="s">
        <v>30</v>
      </c>
      <c r="I277" s="22" t="s">
        <v>503</v>
      </c>
      <c r="J277" s="22" t="s">
        <v>504</v>
      </c>
      <c r="K277" s="519" t="s">
        <v>1340</v>
      </c>
      <c r="L277" s="521" t="s">
        <v>1369</v>
      </c>
      <c r="M277" s="521" t="s">
        <v>1370</v>
      </c>
      <c r="N277" s="521" t="s">
        <v>885</v>
      </c>
      <c r="O277" s="22" t="s">
        <v>495</v>
      </c>
      <c r="P277" s="426">
        <v>2021</v>
      </c>
      <c r="Q277" s="720">
        <f t="shared" ca="1" si="15"/>
        <v>0</v>
      </c>
      <c r="R277" s="335">
        <f t="shared" ca="1" si="16"/>
        <v>0</v>
      </c>
      <c r="S277" s="335">
        <f t="shared" ca="1" si="17"/>
        <v>796</v>
      </c>
      <c r="T277" s="429" t="s">
        <v>502</v>
      </c>
      <c r="U277" s="22" t="s">
        <v>246</v>
      </c>
      <c r="V277" s="24"/>
      <c r="W277" s="21"/>
      <c r="Y277" s="490"/>
    </row>
    <row r="278" spans="1:25" ht="75">
      <c r="A278" s="31">
        <v>275</v>
      </c>
      <c r="B278" s="22" t="s">
        <v>39</v>
      </c>
      <c r="C278" s="22" t="s">
        <v>492</v>
      </c>
      <c r="D278" s="22" t="s">
        <v>498</v>
      </c>
      <c r="E278" s="23" t="s">
        <v>499</v>
      </c>
      <c r="F278" s="22" t="s">
        <v>142</v>
      </c>
      <c r="G278" s="22" t="s">
        <v>143</v>
      </c>
      <c r="H278" s="22" t="s">
        <v>30</v>
      </c>
      <c r="I278" s="22" t="s">
        <v>505</v>
      </c>
      <c r="J278" s="22" t="s">
        <v>506</v>
      </c>
      <c r="K278" s="519" t="s">
        <v>1340</v>
      </c>
      <c r="L278" s="521" t="s">
        <v>1371</v>
      </c>
      <c r="M278" s="521" t="s">
        <v>1372</v>
      </c>
      <c r="N278" s="521" t="s">
        <v>885</v>
      </c>
      <c r="O278" s="22" t="s">
        <v>495</v>
      </c>
      <c r="P278" s="426">
        <v>2021</v>
      </c>
      <c r="Q278" s="720">
        <f t="shared" ca="1" si="15"/>
        <v>0</v>
      </c>
      <c r="R278" s="335">
        <f t="shared" ca="1" si="16"/>
        <v>0</v>
      </c>
      <c r="S278" s="335">
        <f t="shared" ca="1" si="17"/>
        <v>2460</v>
      </c>
      <c r="T278" s="429" t="s">
        <v>502</v>
      </c>
      <c r="U278" s="22" t="s">
        <v>246</v>
      </c>
      <c r="V278" s="24"/>
      <c r="W278" s="21"/>
      <c r="Y278" s="490"/>
    </row>
    <row r="279" spans="1:25" ht="30">
      <c r="A279" s="31">
        <v>276</v>
      </c>
      <c r="B279" s="22" t="s">
        <v>39</v>
      </c>
      <c r="C279" s="22" t="s">
        <v>492</v>
      </c>
      <c r="D279" s="22" t="s">
        <v>507</v>
      </c>
      <c r="E279" s="23" t="s">
        <v>91</v>
      </c>
      <c r="F279" s="22" t="s">
        <v>92</v>
      </c>
      <c r="G279" s="22" t="s">
        <v>93</v>
      </c>
      <c r="H279" s="22" t="s">
        <v>30</v>
      </c>
      <c r="I279" s="22" t="s">
        <v>508</v>
      </c>
      <c r="J279" s="22" t="s">
        <v>92</v>
      </c>
      <c r="K279" s="519" t="s">
        <v>1340</v>
      </c>
      <c r="L279" s="521" t="s">
        <v>1373</v>
      </c>
      <c r="M279" s="521" t="s">
        <v>1374</v>
      </c>
      <c r="N279" s="521" t="s">
        <v>885</v>
      </c>
      <c r="O279" s="22" t="s">
        <v>495</v>
      </c>
      <c r="P279" s="426">
        <v>2021</v>
      </c>
      <c r="Q279" s="414">
        <f t="shared" ca="1" si="15"/>
        <v>14177.448866483524</v>
      </c>
      <c r="R279" s="335">
        <f t="shared" ca="1" si="16"/>
        <v>82108.695946830601</v>
      </c>
      <c r="S279" s="335">
        <f t="shared" ca="1" si="17"/>
        <v>5.7915000590085901</v>
      </c>
      <c r="T279" s="429"/>
      <c r="U279" s="22"/>
      <c r="V279" s="24"/>
      <c r="W279" s="21"/>
      <c r="Y279" s="490"/>
    </row>
    <row r="280" spans="1:25" ht="30">
      <c r="A280" s="31">
        <v>277</v>
      </c>
      <c r="B280" s="22" t="s">
        <v>39</v>
      </c>
      <c r="C280" s="22" t="s">
        <v>492</v>
      </c>
      <c r="D280" s="22" t="s">
        <v>507</v>
      </c>
      <c r="E280" s="23" t="s">
        <v>91</v>
      </c>
      <c r="F280" s="22" t="s">
        <v>95</v>
      </c>
      <c r="G280" s="22" t="s">
        <v>93</v>
      </c>
      <c r="H280" s="22" t="s">
        <v>30</v>
      </c>
      <c r="I280" s="22" t="s">
        <v>508</v>
      </c>
      <c r="J280" s="22" t="s">
        <v>95</v>
      </c>
      <c r="K280" s="519" t="s">
        <v>1340</v>
      </c>
      <c r="L280" s="521" t="s">
        <v>1375</v>
      </c>
      <c r="M280" s="521" t="s">
        <v>1376</v>
      </c>
      <c r="N280" s="521" t="s">
        <v>885</v>
      </c>
      <c r="O280" s="22" t="s">
        <v>495</v>
      </c>
      <c r="P280" s="426">
        <v>2021</v>
      </c>
      <c r="Q280" s="414">
        <f t="shared" ca="1" si="15"/>
        <v>3.3021309020415757</v>
      </c>
      <c r="R280" s="335">
        <f t="shared" ca="1" si="16"/>
        <v>82108.695946830601</v>
      </c>
      <c r="S280" s="335">
        <f t="shared" ca="1" si="17"/>
        <v>24865.366753348899</v>
      </c>
      <c r="T280" s="429"/>
      <c r="U280" s="22"/>
      <c r="V280" s="24"/>
      <c r="W280" s="21"/>
      <c r="Y280" s="490"/>
    </row>
    <row r="281" spans="1:25" ht="30">
      <c r="A281" s="31">
        <v>278</v>
      </c>
      <c r="B281" s="22" t="s">
        <v>39</v>
      </c>
      <c r="C281" s="22" t="s">
        <v>492</v>
      </c>
      <c r="D281" s="22" t="s">
        <v>507</v>
      </c>
      <c r="E281" s="23" t="s">
        <v>91</v>
      </c>
      <c r="F281" s="22" t="s">
        <v>96</v>
      </c>
      <c r="G281" s="22" t="s">
        <v>93</v>
      </c>
      <c r="H281" s="22" t="s">
        <v>30</v>
      </c>
      <c r="I281" s="22" t="s">
        <v>508</v>
      </c>
      <c r="J281" s="22" t="s">
        <v>96</v>
      </c>
      <c r="K281" s="519" t="s">
        <v>1340</v>
      </c>
      <c r="L281" s="521" t="s">
        <v>1377</v>
      </c>
      <c r="M281" s="521" t="s">
        <v>1378</v>
      </c>
      <c r="N281" s="521" t="s">
        <v>885</v>
      </c>
      <c r="O281" s="22" t="s">
        <v>495</v>
      </c>
      <c r="P281" s="426">
        <v>2021</v>
      </c>
      <c r="Q281" s="414">
        <f t="shared" ca="1" si="15"/>
        <v>0</v>
      </c>
      <c r="R281" s="335">
        <f t="shared" ca="1" si="16"/>
        <v>0</v>
      </c>
      <c r="S281" s="335">
        <f t="shared" ca="1" si="17"/>
        <v>0</v>
      </c>
      <c r="T281" s="429" t="s">
        <v>48</v>
      </c>
      <c r="U281" s="22" t="s">
        <v>49</v>
      </c>
      <c r="V281" s="24"/>
      <c r="W281" s="21"/>
      <c r="Y281" s="490"/>
    </row>
    <row r="282" spans="1:25" ht="30">
      <c r="A282" s="31">
        <v>279</v>
      </c>
      <c r="B282" s="22" t="s">
        <v>39</v>
      </c>
      <c r="C282" s="22" t="s">
        <v>492</v>
      </c>
      <c r="D282" s="22" t="s">
        <v>507</v>
      </c>
      <c r="E282" s="23" t="s">
        <v>91</v>
      </c>
      <c r="F282" s="22" t="s">
        <v>97</v>
      </c>
      <c r="G282" s="22" t="s">
        <v>93</v>
      </c>
      <c r="H282" s="22" t="s">
        <v>30</v>
      </c>
      <c r="I282" s="22" t="s">
        <v>508</v>
      </c>
      <c r="J282" s="22" t="s">
        <v>97</v>
      </c>
      <c r="K282" s="519" t="s">
        <v>1340</v>
      </c>
      <c r="L282" s="521" t="s">
        <v>1379</v>
      </c>
      <c r="M282" s="521" t="s">
        <v>1380</v>
      </c>
      <c r="N282" s="521" t="s">
        <v>885</v>
      </c>
      <c r="O282" s="22" t="s">
        <v>495</v>
      </c>
      <c r="P282" s="426">
        <v>2021</v>
      </c>
      <c r="Q282" s="414">
        <f t="shared" ca="1" si="15"/>
        <v>16419.62890544207</v>
      </c>
      <c r="R282" s="335">
        <f t="shared" ca="1" si="16"/>
        <v>95094.281774766903</v>
      </c>
      <c r="S282" s="335">
        <f t="shared" ca="1" si="17"/>
        <v>5.7915000590085901</v>
      </c>
      <c r="T282" s="429"/>
      <c r="U282" s="22"/>
      <c r="V282" s="24"/>
      <c r="W282" s="21"/>
      <c r="Y282" s="490"/>
    </row>
    <row r="283" spans="1:25" ht="30">
      <c r="A283" s="31">
        <v>280</v>
      </c>
      <c r="B283" s="22" t="s">
        <v>39</v>
      </c>
      <c r="C283" s="22" t="s">
        <v>492</v>
      </c>
      <c r="D283" s="22" t="s">
        <v>507</v>
      </c>
      <c r="E283" s="23" t="s">
        <v>91</v>
      </c>
      <c r="F283" s="22" t="s">
        <v>98</v>
      </c>
      <c r="G283" s="22" t="s">
        <v>93</v>
      </c>
      <c r="H283" s="22" t="s">
        <v>30</v>
      </c>
      <c r="I283" s="22" t="s">
        <v>508</v>
      </c>
      <c r="J283" s="22" t="s">
        <v>98</v>
      </c>
      <c r="K283" s="519" t="s">
        <v>1340</v>
      </c>
      <c r="L283" s="521" t="s">
        <v>1381</v>
      </c>
      <c r="M283" s="521" t="s">
        <v>1382</v>
      </c>
      <c r="N283" s="521" t="s">
        <v>885</v>
      </c>
      <c r="O283" s="22" t="s">
        <v>495</v>
      </c>
      <c r="P283" s="426">
        <v>2021</v>
      </c>
      <c r="Q283" s="414">
        <f t="shared" ca="1" si="15"/>
        <v>3.8243667474544485</v>
      </c>
      <c r="R283" s="335">
        <f t="shared" ca="1" si="16"/>
        <v>95094.281774766903</v>
      </c>
      <c r="S283" s="335">
        <f t="shared" ca="1" si="17"/>
        <v>24865.366753348899</v>
      </c>
      <c r="T283" s="429"/>
      <c r="U283" s="22"/>
      <c r="V283" s="24"/>
      <c r="W283" s="21"/>
      <c r="Y283" s="490"/>
    </row>
    <row r="284" spans="1:25" ht="30">
      <c r="A284" s="31">
        <v>281</v>
      </c>
      <c r="B284" s="22" t="s">
        <v>39</v>
      </c>
      <c r="C284" s="22" t="s">
        <v>492</v>
      </c>
      <c r="D284" s="22" t="s">
        <v>507</v>
      </c>
      <c r="E284" s="23" t="s">
        <v>91</v>
      </c>
      <c r="F284" s="22" t="s">
        <v>99</v>
      </c>
      <c r="G284" s="22" t="s">
        <v>93</v>
      </c>
      <c r="H284" s="22" t="s">
        <v>30</v>
      </c>
      <c r="I284" s="22" t="s">
        <v>508</v>
      </c>
      <c r="J284" s="22" t="s">
        <v>99</v>
      </c>
      <c r="K284" s="519" t="s">
        <v>1340</v>
      </c>
      <c r="L284" s="521" t="s">
        <v>1383</v>
      </c>
      <c r="M284" s="521" t="s">
        <v>1384</v>
      </c>
      <c r="N284" s="521" t="s">
        <v>885</v>
      </c>
      <c r="O284" s="22" t="s">
        <v>495</v>
      </c>
      <c r="P284" s="426">
        <v>2021</v>
      </c>
      <c r="Q284" s="414">
        <f t="shared" ca="1" si="15"/>
        <v>0</v>
      </c>
      <c r="R284" s="335">
        <f t="shared" ca="1" si="16"/>
        <v>0</v>
      </c>
      <c r="S284" s="335">
        <f t="shared" ca="1" si="17"/>
        <v>0</v>
      </c>
      <c r="T284" s="429" t="s">
        <v>48</v>
      </c>
      <c r="U284" s="22" t="s">
        <v>49</v>
      </c>
      <c r="V284" s="24"/>
      <c r="W284" s="21"/>
      <c r="Y284" s="490"/>
    </row>
    <row r="285" spans="1:25" s="13" customFormat="1" ht="60">
      <c r="A285" s="31">
        <v>282</v>
      </c>
      <c r="B285" s="22" t="s">
        <v>39</v>
      </c>
      <c r="C285" s="22" t="s">
        <v>509</v>
      </c>
      <c r="D285" s="22" t="s">
        <v>510</v>
      </c>
      <c r="E285" s="23" t="s">
        <v>51</v>
      </c>
      <c r="F285" s="22" t="s">
        <v>511</v>
      </c>
      <c r="G285" s="22" t="s">
        <v>53</v>
      </c>
      <c r="H285" s="22" t="s">
        <v>30</v>
      </c>
      <c r="I285" s="22" t="s">
        <v>512</v>
      </c>
      <c r="J285" s="22" t="s">
        <v>513</v>
      </c>
      <c r="K285" s="519" t="s">
        <v>1385</v>
      </c>
      <c r="L285" s="521" t="s">
        <v>1386</v>
      </c>
      <c r="M285" s="521" t="s">
        <v>1387</v>
      </c>
      <c r="N285" s="521" t="s">
        <v>815</v>
      </c>
      <c r="O285" s="22" t="s">
        <v>514</v>
      </c>
      <c r="P285" s="426">
        <v>2021</v>
      </c>
      <c r="Q285" s="720">
        <f t="shared" ca="1" si="15"/>
        <v>0</v>
      </c>
      <c r="R285" s="335" t="str">
        <f t="shared" ca="1" si="16"/>
        <v>N/A</v>
      </c>
      <c r="S285" s="335" t="str">
        <f t="shared" ca="1" si="17"/>
        <v>N/A</v>
      </c>
      <c r="T285" s="429" t="s">
        <v>515</v>
      </c>
      <c r="U285" s="22" t="s">
        <v>516</v>
      </c>
      <c r="V285" s="24"/>
      <c r="W285" s="21"/>
      <c r="X285" s="427"/>
      <c r="Y285" s="490"/>
    </row>
    <row r="286" spans="1:25" s="13" customFormat="1" ht="60">
      <c r="A286" s="31">
        <v>283</v>
      </c>
      <c r="B286" s="22" t="s">
        <v>39</v>
      </c>
      <c r="C286" s="22" t="s">
        <v>509</v>
      </c>
      <c r="D286" s="22" t="s">
        <v>510</v>
      </c>
      <c r="E286" s="23" t="s">
        <v>51</v>
      </c>
      <c r="F286" s="22" t="s">
        <v>517</v>
      </c>
      <c r="G286" s="22" t="s">
        <v>53</v>
      </c>
      <c r="H286" s="22" t="s">
        <v>30</v>
      </c>
      <c r="I286" s="22" t="s">
        <v>512</v>
      </c>
      <c r="J286" s="22" t="s">
        <v>518</v>
      </c>
      <c r="K286" s="519" t="s">
        <v>1385</v>
      </c>
      <c r="L286" s="521" t="s">
        <v>1388</v>
      </c>
      <c r="M286" s="521" t="s">
        <v>1389</v>
      </c>
      <c r="N286" s="521" t="s">
        <v>815</v>
      </c>
      <c r="O286" s="22" t="s">
        <v>514</v>
      </c>
      <c r="P286" s="426">
        <v>2021</v>
      </c>
      <c r="Q286" s="720">
        <f t="shared" ca="1" si="15"/>
        <v>0</v>
      </c>
      <c r="R286" s="335" t="str">
        <f t="shared" ca="1" si="16"/>
        <v>N/A</v>
      </c>
      <c r="S286" s="335" t="str">
        <f t="shared" ca="1" si="17"/>
        <v>N/A</v>
      </c>
      <c r="T286" s="429" t="s">
        <v>515</v>
      </c>
      <c r="U286" s="22" t="s">
        <v>519</v>
      </c>
      <c r="V286" s="24"/>
      <c r="W286" s="21"/>
      <c r="X286" s="427"/>
      <c r="Y286" s="490"/>
    </row>
    <row r="287" spans="1:25" s="13" customFormat="1" ht="60">
      <c r="A287" s="31">
        <v>284</v>
      </c>
      <c r="B287" s="22" t="s">
        <v>39</v>
      </c>
      <c r="C287" s="22" t="s">
        <v>509</v>
      </c>
      <c r="D287" s="22" t="s">
        <v>510</v>
      </c>
      <c r="E287" s="23" t="s">
        <v>51</v>
      </c>
      <c r="F287" s="22" t="s">
        <v>520</v>
      </c>
      <c r="G287" s="22" t="s">
        <v>53</v>
      </c>
      <c r="H287" s="22" t="s">
        <v>30</v>
      </c>
      <c r="I287" s="22" t="s">
        <v>512</v>
      </c>
      <c r="J287" s="22" t="s">
        <v>521</v>
      </c>
      <c r="K287" s="519" t="s">
        <v>1385</v>
      </c>
      <c r="L287" s="521" t="s">
        <v>1390</v>
      </c>
      <c r="M287" s="521" t="s">
        <v>1391</v>
      </c>
      <c r="N287" s="521" t="s">
        <v>815</v>
      </c>
      <c r="O287" s="22" t="s">
        <v>514</v>
      </c>
      <c r="P287" s="426">
        <v>2021</v>
      </c>
      <c r="Q287" s="720">
        <f t="shared" ca="1" si="15"/>
        <v>0</v>
      </c>
      <c r="R287" s="335" t="str">
        <f t="shared" ca="1" si="16"/>
        <v>N/A</v>
      </c>
      <c r="S287" s="335" t="str">
        <f t="shared" ca="1" si="17"/>
        <v>N/A</v>
      </c>
      <c r="T287" s="429" t="s">
        <v>515</v>
      </c>
      <c r="U287" s="22" t="s">
        <v>516</v>
      </c>
      <c r="V287" s="24"/>
      <c r="W287" s="21"/>
      <c r="X287" s="427"/>
      <c r="Y287" s="490"/>
    </row>
    <row r="288" spans="1:25" s="13" customFormat="1" ht="45">
      <c r="A288" s="31">
        <v>285</v>
      </c>
      <c r="B288" s="22" t="s">
        <v>39</v>
      </c>
      <c r="C288" s="22" t="s">
        <v>509</v>
      </c>
      <c r="D288" s="22" t="s">
        <v>522</v>
      </c>
      <c r="E288" s="23">
        <v>1</v>
      </c>
      <c r="F288" s="22" t="s">
        <v>523</v>
      </c>
      <c r="G288" s="22" t="s">
        <v>524</v>
      </c>
      <c r="H288" s="22" t="s">
        <v>30</v>
      </c>
      <c r="I288" s="22" t="s">
        <v>525</v>
      </c>
      <c r="J288" s="22" t="s">
        <v>525</v>
      </c>
      <c r="K288" s="519" t="s">
        <v>1385</v>
      </c>
      <c r="L288" s="521" t="s">
        <v>1392</v>
      </c>
      <c r="M288" s="521" t="s">
        <v>1393</v>
      </c>
      <c r="N288" s="521" t="s">
        <v>815</v>
      </c>
      <c r="O288" s="22" t="s">
        <v>514</v>
      </c>
      <c r="P288" s="426">
        <v>2021</v>
      </c>
      <c r="Q288" s="720">
        <f t="shared" ca="1" si="15"/>
        <v>0</v>
      </c>
      <c r="R288" s="335" t="str">
        <f t="shared" ca="1" si="16"/>
        <v>N/A</v>
      </c>
      <c r="S288" s="335" t="str">
        <f t="shared" ca="1" si="17"/>
        <v>N/A</v>
      </c>
      <c r="T288" s="429" t="s">
        <v>526</v>
      </c>
      <c r="U288" s="22" t="s">
        <v>527</v>
      </c>
      <c r="V288" s="24"/>
      <c r="W288" s="21"/>
      <c r="X288" s="427"/>
      <c r="Y288" s="490"/>
    </row>
    <row r="289" spans="1:25" s="13" customFormat="1" ht="45">
      <c r="A289" s="31">
        <v>286</v>
      </c>
      <c r="B289" s="22" t="s">
        <v>39</v>
      </c>
      <c r="C289" s="22" t="s">
        <v>509</v>
      </c>
      <c r="D289" s="22" t="s">
        <v>522</v>
      </c>
      <c r="E289" s="23">
        <v>2</v>
      </c>
      <c r="F289" s="22" t="s">
        <v>523</v>
      </c>
      <c r="G289" s="22" t="s">
        <v>524</v>
      </c>
      <c r="H289" s="22" t="s">
        <v>30</v>
      </c>
      <c r="I289" s="22" t="s">
        <v>528</v>
      </c>
      <c r="J289" s="22" t="s">
        <v>528</v>
      </c>
      <c r="K289" s="519" t="s">
        <v>1385</v>
      </c>
      <c r="L289" s="521" t="s">
        <v>1394</v>
      </c>
      <c r="M289" s="521" t="s">
        <v>1395</v>
      </c>
      <c r="N289" s="521" t="s">
        <v>815</v>
      </c>
      <c r="O289" s="22" t="s">
        <v>514</v>
      </c>
      <c r="P289" s="426">
        <v>2021</v>
      </c>
      <c r="Q289" s="720">
        <f t="shared" ca="1" si="15"/>
        <v>0</v>
      </c>
      <c r="R289" s="335" t="str">
        <f t="shared" ca="1" si="16"/>
        <v>N/A</v>
      </c>
      <c r="S289" s="335" t="str">
        <f t="shared" ca="1" si="17"/>
        <v>N/A</v>
      </c>
      <c r="T289" s="429" t="s">
        <v>529</v>
      </c>
      <c r="U289" s="22" t="s">
        <v>527</v>
      </c>
      <c r="V289" s="24"/>
      <c r="W289" s="21"/>
      <c r="X289" s="427"/>
      <c r="Y289" s="490"/>
    </row>
    <row r="290" spans="1:25" s="13" customFormat="1" ht="45">
      <c r="A290" s="31">
        <v>287</v>
      </c>
      <c r="B290" s="22" t="s">
        <v>39</v>
      </c>
      <c r="C290" s="22" t="s">
        <v>509</v>
      </c>
      <c r="D290" s="22" t="s">
        <v>530</v>
      </c>
      <c r="E290" s="23">
        <v>1</v>
      </c>
      <c r="F290" s="22" t="s">
        <v>523</v>
      </c>
      <c r="G290" s="22" t="s">
        <v>531</v>
      </c>
      <c r="H290" s="22" t="s">
        <v>30</v>
      </c>
      <c r="I290" s="22" t="s">
        <v>532</v>
      </c>
      <c r="J290" s="22" t="s">
        <v>532</v>
      </c>
      <c r="K290" s="519" t="s">
        <v>1385</v>
      </c>
      <c r="L290" s="521" t="s">
        <v>1396</v>
      </c>
      <c r="M290" s="521" t="s">
        <v>1397</v>
      </c>
      <c r="N290" s="521" t="s">
        <v>815</v>
      </c>
      <c r="O290" s="22" t="s">
        <v>514</v>
      </c>
      <c r="P290" s="426">
        <v>2021</v>
      </c>
      <c r="Q290" s="720">
        <f t="shared" ca="1" si="15"/>
        <v>0</v>
      </c>
      <c r="R290" s="335" t="str">
        <f t="shared" ca="1" si="16"/>
        <v>N/A</v>
      </c>
      <c r="S290" s="335" t="str">
        <f t="shared" ca="1" si="17"/>
        <v>N/A</v>
      </c>
      <c r="T290" s="429" t="s">
        <v>533</v>
      </c>
      <c r="U290" s="22" t="s">
        <v>534</v>
      </c>
      <c r="V290" s="24"/>
      <c r="W290" s="21"/>
      <c r="X290" s="427"/>
      <c r="Y290" s="490"/>
    </row>
    <row r="291" spans="1:25" ht="30">
      <c r="A291" s="31">
        <v>288</v>
      </c>
      <c r="B291" s="22" t="s">
        <v>39</v>
      </c>
      <c r="C291" s="22" t="s">
        <v>509</v>
      </c>
      <c r="D291" s="22" t="s">
        <v>530</v>
      </c>
      <c r="E291" s="23">
        <v>2</v>
      </c>
      <c r="F291" s="22" t="s">
        <v>523</v>
      </c>
      <c r="G291" s="22" t="s">
        <v>531</v>
      </c>
      <c r="H291" s="22" t="s">
        <v>30</v>
      </c>
      <c r="I291" s="22" t="s">
        <v>535</v>
      </c>
      <c r="J291" s="22" t="s">
        <v>535</v>
      </c>
      <c r="K291" s="519" t="s">
        <v>1385</v>
      </c>
      <c r="L291" s="521" t="s">
        <v>1398</v>
      </c>
      <c r="M291" s="521" t="s">
        <v>1399</v>
      </c>
      <c r="N291" s="521" t="s">
        <v>815</v>
      </c>
      <c r="O291" s="22" t="s">
        <v>514</v>
      </c>
      <c r="P291" s="426">
        <v>2021</v>
      </c>
      <c r="Q291" s="720">
        <f t="shared" ca="1" si="15"/>
        <v>0</v>
      </c>
      <c r="R291" s="335" t="str">
        <f t="shared" ca="1" si="16"/>
        <v>N/A</v>
      </c>
      <c r="S291" s="335" t="str">
        <f t="shared" ca="1" si="17"/>
        <v>N/A</v>
      </c>
      <c r="T291" s="429" t="s">
        <v>529</v>
      </c>
      <c r="U291" s="22" t="s">
        <v>536</v>
      </c>
      <c r="V291" s="24"/>
      <c r="W291" s="21"/>
      <c r="Y291" s="490"/>
    </row>
    <row r="292" spans="1:25" ht="45">
      <c r="A292" s="31">
        <v>289</v>
      </c>
      <c r="B292" s="22" t="s">
        <v>39</v>
      </c>
      <c r="C292" s="22" t="s">
        <v>509</v>
      </c>
      <c r="D292" s="22" t="s">
        <v>537</v>
      </c>
      <c r="E292" s="23">
        <v>1</v>
      </c>
      <c r="F292" s="22" t="s">
        <v>523</v>
      </c>
      <c r="G292" s="22" t="s">
        <v>538</v>
      </c>
      <c r="H292" s="22" t="s">
        <v>30</v>
      </c>
      <c r="I292" s="22" t="s">
        <v>539</v>
      </c>
      <c r="J292" s="22" t="s">
        <v>539</v>
      </c>
      <c r="K292" s="519" t="s">
        <v>1385</v>
      </c>
      <c r="L292" s="521" t="s">
        <v>1400</v>
      </c>
      <c r="M292" s="521" t="s">
        <v>1401</v>
      </c>
      <c r="N292" s="521" t="s">
        <v>815</v>
      </c>
      <c r="O292" s="22" t="s">
        <v>514</v>
      </c>
      <c r="P292" s="426">
        <v>2021</v>
      </c>
      <c r="Q292" s="720">
        <f t="shared" ca="1" si="15"/>
        <v>0</v>
      </c>
      <c r="R292" s="335" t="str">
        <f t="shared" ca="1" si="16"/>
        <v>N/A</v>
      </c>
      <c r="S292" s="335" t="str">
        <f t="shared" ca="1" si="17"/>
        <v>N/A</v>
      </c>
      <c r="T292" s="429" t="s">
        <v>540</v>
      </c>
      <c r="U292" s="22" t="s">
        <v>541</v>
      </c>
      <c r="V292" s="24"/>
      <c r="W292" s="21"/>
      <c r="Y292" s="490"/>
    </row>
    <row r="293" spans="1:25" ht="45">
      <c r="A293" s="31">
        <v>290</v>
      </c>
      <c r="B293" s="22" t="s">
        <v>39</v>
      </c>
      <c r="C293" s="22" t="s">
        <v>509</v>
      </c>
      <c r="D293" s="22" t="s">
        <v>537</v>
      </c>
      <c r="E293" s="23">
        <v>2</v>
      </c>
      <c r="F293" s="22" t="s">
        <v>523</v>
      </c>
      <c r="G293" s="22" t="s">
        <v>538</v>
      </c>
      <c r="H293" s="22" t="s">
        <v>30</v>
      </c>
      <c r="I293" s="22" t="s">
        <v>542</v>
      </c>
      <c r="J293" s="22" t="s">
        <v>542</v>
      </c>
      <c r="K293" s="519" t="s">
        <v>1385</v>
      </c>
      <c r="L293" s="521" t="s">
        <v>1402</v>
      </c>
      <c r="M293" s="521" t="s">
        <v>1403</v>
      </c>
      <c r="N293" s="521" t="s">
        <v>815</v>
      </c>
      <c r="O293" s="22" t="s">
        <v>514</v>
      </c>
      <c r="P293" s="426">
        <v>2021</v>
      </c>
      <c r="Q293" s="720">
        <f t="shared" ca="1" si="15"/>
        <v>0</v>
      </c>
      <c r="R293" s="335" t="str">
        <f t="shared" ca="1" si="16"/>
        <v>N/A</v>
      </c>
      <c r="S293" s="335" t="str">
        <f t="shared" ca="1" si="17"/>
        <v>N/A</v>
      </c>
      <c r="T293" s="429" t="s">
        <v>543</v>
      </c>
      <c r="U293" s="22" t="s">
        <v>544</v>
      </c>
      <c r="V293" s="24"/>
      <c r="W293" s="21"/>
      <c r="Y293" s="490"/>
    </row>
    <row r="294" spans="1:25" ht="75">
      <c r="A294" s="31">
        <v>291</v>
      </c>
      <c r="B294" s="22" t="s">
        <v>39</v>
      </c>
      <c r="C294" s="22" t="s">
        <v>509</v>
      </c>
      <c r="D294" s="22" t="s">
        <v>545</v>
      </c>
      <c r="E294" s="23">
        <v>1</v>
      </c>
      <c r="F294" s="22" t="s">
        <v>523</v>
      </c>
      <c r="G294" s="22" t="s">
        <v>546</v>
      </c>
      <c r="H294" s="22" t="s">
        <v>30</v>
      </c>
      <c r="I294" s="22" t="s">
        <v>547</v>
      </c>
      <c r="J294" s="22" t="s">
        <v>547</v>
      </c>
      <c r="K294" s="519" t="s">
        <v>1385</v>
      </c>
      <c r="L294" s="521" t="s">
        <v>1404</v>
      </c>
      <c r="M294" s="521" t="s">
        <v>1405</v>
      </c>
      <c r="N294" s="521" t="s">
        <v>815</v>
      </c>
      <c r="O294" s="22" t="s">
        <v>514</v>
      </c>
      <c r="P294" s="426">
        <v>2021</v>
      </c>
      <c r="Q294" s="720">
        <f t="shared" ca="1" si="15"/>
        <v>0</v>
      </c>
      <c r="R294" s="335" t="str">
        <f t="shared" ca="1" si="16"/>
        <v>N/A</v>
      </c>
      <c r="S294" s="335" t="str">
        <f t="shared" ca="1" si="17"/>
        <v>N/A</v>
      </c>
      <c r="T294" s="429" t="s">
        <v>548</v>
      </c>
      <c r="U294" s="22" t="s">
        <v>549</v>
      </c>
      <c r="V294" s="24"/>
      <c r="W294" s="21"/>
      <c r="Y294" s="490"/>
    </row>
    <row r="295" spans="1:25" ht="105">
      <c r="A295" s="31">
        <v>292</v>
      </c>
      <c r="B295" s="22" t="s">
        <v>39</v>
      </c>
      <c r="C295" s="22" t="s">
        <v>550</v>
      </c>
      <c r="D295" s="22" t="s">
        <v>551</v>
      </c>
      <c r="E295" s="23">
        <v>1</v>
      </c>
      <c r="F295" s="22" t="s">
        <v>523</v>
      </c>
      <c r="G295" s="22" t="s">
        <v>552</v>
      </c>
      <c r="H295" s="22" t="s">
        <v>30</v>
      </c>
      <c r="I295" s="22" t="s">
        <v>553</v>
      </c>
      <c r="J295" s="22" t="s">
        <v>553</v>
      </c>
      <c r="K295" s="519" t="s">
        <v>1385</v>
      </c>
      <c r="L295" s="521" t="s">
        <v>1406</v>
      </c>
      <c r="M295" s="521" t="s">
        <v>1407</v>
      </c>
      <c r="N295" s="521" t="s">
        <v>815</v>
      </c>
      <c r="O295" s="22" t="s">
        <v>514</v>
      </c>
      <c r="P295" s="426">
        <v>2021</v>
      </c>
      <c r="Q295" s="720">
        <f t="shared" ca="1" si="15"/>
        <v>0</v>
      </c>
      <c r="R295" s="335" t="str">
        <f t="shared" ca="1" si="16"/>
        <v>N/A</v>
      </c>
      <c r="S295" s="335" t="str">
        <f t="shared" ca="1" si="17"/>
        <v>N/A</v>
      </c>
      <c r="T295" s="429" t="s">
        <v>554</v>
      </c>
      <c r="U295" s="22" t="s">
        <v>555</v>
      </c>
      <c r="V295" s="24"/>
      <c r="W295" s="21"/>
      <c r="Y295" s="490"/>
    </row>
    <row r="296" spans="1:25" ht="105">
      <c r="A296" s="31">
        <v>293</v>
      </c>
      <c r="B296" s="22" t="s">
        <v>39</v>
      </c>
      <c r="C296" s="22" t="s">
        <v>550</v>
      </c>
      <c r="D296" s="22" t="s">
        <v>551</v>
      </c>
      <c r="E296" s="23">
        <v>2</v>
      </c>
      <c r="F296" s="22" t="s">
        <v>523</v>
      </c>
      <c r="G296" s="22" t="s">
        <v>552</v>
      </c>
      <c r="H296" s="22" t="s">
        <v>30</v>
      </c>
      <c r="I296" s="22" t="s">
        <v>556</v>
      </c>
      <c r="J296" s="22" t="s">
        <v>556</v>
      </c>
      <c r="K296" s="519" t="s">
        <v>1385</v>
      </c>
      <c r="L296" s="521" t="s">
        <v>1408</v>
      </c>
      <c r="M296" s="521" t="s">
        <v>1409</v>
      </c>
      <c r="N296" s="521" t="s">
        <v>815</v>
      </c>
      <c r="O296" s="22" t="s">
        <v>514</v>
      </c>
      <c r="P296" s="426">
        <v>2021</v>
      </c>
      <c r="Q296" s="720">
        <f t="shared" ca="1" si="15"/>
        <v>0</v>
      </c>
      <c r="R296" s="335" t="str">
        <f t="shared" ca="1" si="16"/>
        <v>N/A</v>
      </c>
      <c r="S296" s="335" t="str">
        <f t="shared" ca="1" si="17"/>
        <v>N/A</v>
      </c>
      <c r="T296" s="429" t="s">
        <v>557</v>
      </c>
      <c r="U296" s="22" t="s">
        <v>558</v>
      </c>
      <c r="V296" s="24"/>
      <c r="W296" s="21"/>
      <c r="Y296" s="490"/>
    </row>
    <row r="297" spans="1:25" ht="75">
      <c r="A297" s="31">
        <v>294</v>
      </c>
      <c r="B297" s="22" t="s">
        <v>39</v>
      </c>
      <c r="C297" s="22" t="s">
        <v>550</v>
      </c>
      <c r="D297" s="22" t="s">
        <v>551</v>
      </c>
      <c r="E297" s="23">
        <v>3</v>
      </c>
      <c r="F297" s="22" t="s">
        <v>559</v>
      </c>
      <c r="G297" s="22" t="s">
        <v>552</v>
      </c>
      <c r="H297" s="22" t="s">
        <v>30</v>
      </c>
      <c r="I297" s="22" t="s">
        <v>560</v>
      </c>
      <c r="J297" s="22" t="s">
        <v>560</v>
      </c>
      <c r="K297" s="519" t="s">
        <v>1385</v>
      </c>
      <c r="L297" s="521" t="s">
        <v>1410</v>
      </c>
      <c r="M297" s="521" t="s">
        <v>1411</v>
      </c>
      <c r="N297" s="521" t="s">
        <v>815</v>
      </c>
      <c r="O297" s="22" t="s">
        <v>514</v>
      </c>
      <c r="P297" s="426">
        <v>2021</v>
      </c>
      <c r="Q297" s="720">
        <f t="shared" ca="1" si="15"/>
        <v>0</v>
      </c>
      <c r="R297" s="335" t="str">
        <f t="shared" ca="1" si="16"/>
        <v>N/A</v>
      </c>
      <c r="S297" s="335" t="str">
        <f t="shared" ca="1" si="17"/>
        <v>N/A</v>
      </c>
      <c r="T297" s="429" t="s">
        <v>561</v>
      </c>
      <c r="U297" s="22" t="s">
        <v>562</v>
      </c>
      <c r="V297" s="24"/>
      <c r="W297" s="21"/>
      <c r="Y297" s="490"/>
    </row>
    <row r="298" spans="1:25" ht="60">
      <c r="A298" s="31">
        <v>295</v>
      </c>
      <c r="B298" s="22" t="s">
        <v>563</v>
      </c>
      <c r="C298" s="22" t="s">
        <v>550</v>
      </c>
      <c r="D298" s="22" t="s">
        <v>564</v>
      </c>
      <c r="E298" s="23">
        <v>1</v>
      </c>
      <c r="F298" s="22" t="s">
        <v>142</v>
      </c>
      <c r="G298" s="22" t="s">
        <v>552</v>
      </c>
      <c r="H298" s="22" t="s">
        <v>30</v>
      </c>
      <c r="I298" s="22" t="s">
        <v>565</v>
      </c>
      <c r="J298" s="22" t="s">
        <v>565</v>
      </c>
      <c r="K298" s="519" t="s">
        <v>1385</v>
      </c>
      <c r="L298" s="521" t="s">
        <v>1412</v>
      </c>
      <c r="M298" s="521" t="s">
        <v>1413</v>
      </c>
      <c r="N298" s="521" t="s">
        <v>815</v>
      </c>
      <c r="O298" s="22" t="s">
        <v>514</v>
      </c>
      <c r="P298" s="426">
        <v>2021</v>
      </c>
      <c r="Q298" s="720">
        <f t="shared" ca="1" si="15"/>
        <v>0</v>
      </c>
      <c r="R298" s="335" t="str">
        <f t="shared" ca="1" si="16"/>
        <v>N/A</v>
      </c>
      <c r="S298" s="335" t="str">
        <f t="shared" ca="1" si="17"/>
        <v>N/A</v>
      </c>
      <c r="T298" s="429" t="s">
        <v>566</v>
      </c>
      <c r="U298" s="22" t="s">
        <v>566</v>
      </c>
      <c r="V298" s="24"/>
      <c r="W298" s="21"/>
      <c r="Y298" s="490"/>
    </row>
    <row r="299" spans="1:25" ht="45">
      <c r="A299" s="31">
        <v>296</v>
      </c>
      <c r="B299" s="22" t="s">
        <v>563</v>
      </c>
      <c r="C299" s="22" t="s">
        <v>550</v>
      </c>
      <c r="D299" s="22" t="s">
        <v>567</v>
      </c>
      <c r="E299" s="23">
        <v>1</v>
      </c>
      <c r="F299" s="22" t="s">
        <v>523</v>
      </c>
      <c r="G299" s="22" t="s">
        <v>552</v>
      </c>
      <c r="H299" s="22" t="s">
        <v>164</v>
      </c>
      <c r="I299" s="22" t="s">
        <v>568</v>
      </c>
      <c r="J299" s="22" t="s">
        <v>568</v>
      </c>
      <c r="K299" s="519" t="s">
        <v>1385</v>
      </c>
      <c r="L299" s="521" t="s">
        <v>1415</v>
      </c>
      <c r="M299" s="521" t="s">
        <v>1416</v>
      </c>
      <c r="N299" s="521" t="s">
        <v>815</v>
      </c>
      <c r="O299" s="22" t="s">
        <v>514</v>
      </c>
      <c r="P299" s="426">
        <v>2021</v>
      </c>
      <c r="Q299" s="720">
        <f t="shared" ca="1" si="15"/>
        <v>0</v>
      </c>
      <c r="R299" s="335" t="str">
        <f t="shared" ca="1" si="16"/>
        <v>N/A</v>
      </c>
      <c r="S299" s="335" t="str">
        <f t="shared" ca="1" si="17"/>
        <v>N/A</v>
      </c>
      <c r="T299" s="429" t="s">
        <v>569</v>
      </c>
      <c r="U299" s="22" t="s">
        <v>569</v>
      </c>
      <c r="V299" s="24"/>
      <c r="W299" s="21"/>
      <c r="Y299" s="490"/>
    </row>
    <row r="300" spans="1:25" ht="45">
      <c r="A300" s="31">
        <v>297</v>
      </c>
      <c r="B300" s="22" t="s">
        <v>563</v>
      </c>
      <c r="C300" s="22" t="s">
        <v>550</v>
      </c>
      <c r="D300" s="22" t="s">
        <v>567</v>
      </c>
      <c r="E300" s="23">
        <v>1</v>
      </c>
      <c r="F300" s="22" t="s">
        <v>142</v>
      </c>
      <c r="G300" s="22" t="s">
        <v>552</v>
      </c>
      <c r="H300" s="22" t="s">
        <v>164</v>
      </c>
      <c r="I300" s="22" t="s">
        <v>568</v>
      </c>
      <c r="J300" s="22" t="s">
        <v>568</v>
      </c>
      <c r="K300" s="519" t="s">
        <v>1385</v>
      </c>
      <c r="L300" s="521" t="s">
        <v>1417</v>
      </c>
      <c r="M300" s="521" t="s">
        <v>1418</v>
      </c>
      <c r="N300" s="521" t="s">
        <v>815</v>
      </c>
      <c r="O300" s="22" t="s">
        <v>514</v>
      </c>
      <c r="P300" s="426">
        <v>2021</v>
      </c>
      <c r="Q300" s="720">
        <f t="shared" ca="1" si="15"/>
        <v>0</v>
      </c>
      <c r="R300" s="335" t="str">
        <f t="shared" ca="1" si="16"/>
        <v>N/A</v>
      </c>
      <c r="S300" s="335" t="str">
        <f t="shared" ca="1" si="17"/>
        <v>N/A</v>
      </c>
      <c r="T300" s="429" t="s">
        <v>569</v>
      </c>
      <c r="U300" s="22" t="s">
        <v>569</v>
      </c>
      <c r="V300" s="24"/>
      <c r="W300" s="21"/>
      <c r="Y300" s="490"/>
    </row>
    <row r="301" spans="1:25" ht="45">
      <c r="A301" s="31">
        <v>298</v>
      </c>
      <c r="B301" s="22" t="s">
        <v>563</v>
      </c>
      <c r="C301" s="22" t="s">
        <v>550</v>
      </c>
      <c r="D301" s="22" t="s">
        <v>567</v>
      </c>
      <c r="E301" s="23">
        <v>2</v>
      </c>
      <c r="F301" s="22" t="s">
        <v>523</v>
      </c>
      <c r="G301" s="22" t="s">
        <v>552</v>
      </c>
      <c r="H301" s="22" t="s">
        <v>164</v>
      </c>
      <c r="I301" s="22" t="s">
        <v>570</v>
      </c>
      <c r="J301" s="22" t="s">
        <v>570</v>
      </c>
      <c r="K301" s="519" t="s">
        <v>1385</v>
      </c>
      <c r="L301" s="521" t="s">
        <v>1419</v>
      </c>
      <c r="M301" s="521" t="s">
        <v>1420</v>
      </c>
      <c r="N301" s="521" t="s">
        <v>815</v>
      </c>
      <c r="O301" s="22" t="s">
        <v>514</v>
      </c>
      <c r="P301" s="426">
        <v>2021</v>
      </c>
      <c r="Q301" s="720">
        <f t="shared" ca="1" si="15"/>
        <v>0</v>
      </c>
      <c r="R301" s="335" t="str">
        <f t="shared" ca="1" si="16"/>
        <v>N/A</v>
      </c>
      <c r="S301" s="335" t="str">
        <f t="shared" ca="1" si="17"/>
        <v>N/A</v>
      </c>
      <c r="T301" s="429" t="s">
        <v>569</v>
      </c>
      <c r="U301" s="22" t="s">
        <v>569</v>
      </c>
      <c r="V301" s="24"/>
      <c r="W301" s="21"/>
      <c r="Y301" s="490"/>
    </row>
    <row r="302" spans="1:25" ht="45">
      <c r="A302" s="31">
        <v>299</v>
      </c>
      <c r="B302" s="22" t="s">
        <v>563</v>
      </c>
      <c r="C302" s="22" t="s">
        <v>550</v>
      </c>
      <c r="D302" s="22" t="s">
        <v>567</v>
      </c>
      <c r="E302" s="23">
        <v>2</v>
      </c>
      <c r="F302" s="22" t="s">
        <v>142</v>
      </c>
      <c r="G302" s="22" t="s">
        <v>552</v>
      </c>
      <c r="H302" s="22" t="s">
        <v>164</v>
      </c>
      <c r="I302" s="22" t="s">
        <v>570</v>
      </c>
      <c r="J302" s="22" t="s">
        <v>570</v>
      </c>
      <c r="K302" s="519" t="s">
        <v>1385</v>
      </c>
      <c r="L302" s="521" t="s">
        <v>1421</v>
      </c>
      <c r="M302" s="521" t="s">
        <v>1422</v>
      </c>
      <c r="N302" s="521" t="s">
        <v>815</v>
      </c>
      <c r="O302" s="22" t="s">
        <v>514</v>
      </c>
      <c r="P302" s="426">
        <v>2021</v>
      </c>
      <c r="Q302" s="720">
        <f t="shared" ca="1" si="15"/>
        <v>0</v>
      </c>
      <c r="R302" s="335" t="str">
        <f t="shared" ca="1" si="16"/>
        <v>N/A</v>
      </c>
      <c r="S302" s="335" t="str">
        <f t="shared" ca="1" si="17"/>
        <v>N/A</v>
      </c>
      <c r="T302" s="429" t="s">
        <v>569</v>
      </c>
      <c r="U302" s="22" t="s">
        <v>569</v>
      </c>
      <c r="V302" s="24"/>
      <c r="W302" s="21"/>
      <c r="Y302" s="490"/>
    </row>
    <row r="303" spans="1:25" ht="45">
      <c r="A303" s="31">
        <v>300</v>
      </c>
      <c r="B303" s="22" t="s">
        <v>563</v>
      </c>
      <c r="C303" s="22" t="s">
        <v>550</v>
      </c>
      <c r="D303" s="22" t="s">
        <v>567</v>
      </c>
      <c r="E303" s="23">
        <v>3</v>
      </c>
      <c r="F303" s="22" t="s">
        <v>523</v>
      </c>
      <c r="G303" s="22" t="s">
        <v>552</v>
      </c>
      <c r="H303" s="22" t="s">
        <v>164</v>
      </c>
      <c r="I303" s="22" t="s">
        <v>571</v>
      </c>
      <c r="J303" s="22" t="s">
        <v>571</v>
      </c>
      <c r="K303" s="519" t="s">
        <v>1385</v>
      </c>
      <c r="L303" s="521" t="s">
        <v>1423</v>
      </c>
      <c r="M303" s="521" t="s">
        <v>1424</v>
      </c>
      <c r="N303" s="521" t="s">
        <v>815</v>
      </c>
      <c r="O303" s="22" t="s">
        <v>514</v>
      </c>
      <c r="P303" s="426">
        <v>2021</v>
      </c>
      <c r="Q303" s="720">
        <f t="shared" ca="1" si="15"/>
        <v>0</v>
      </c>
      <c r="R303" s="335" t="str">
        <f t="shared" ca="1" si="16"/>
        <v>N/A</v>
      </c>
      <c r="S303" s="335" t="str">
        <f t="shared" ca="1" si="17"/>
        <v>N/A</v>
      </c>
      <c r="T303" s="429" t="s">
        <v>569</v>
      </c>
      <c r="U303" s="22" t="s">
        <v>569</v>
      </c>
      <c r="V303" s="24"/>
      <c r="W303" s="21"/>
      <c r="Y303" s="490"/>
    </row>
    <row r="304" spans="1:25" ht="60">
      <c r="A304" s="31">
        <v>301</v>
      </c>
      <c r="B304" s="22" t="s">
        <v>39</v>
      </c>
      <c r="C304" s="22" t="s">
        <v>572</v>
      </c>
      <c r="D304" s="22" t="s">
        <v>573</v>
      </c>
      <c r="E304" s="23">
        <v>1</v>
      </c>
      <c r="F304" s="22" t="s">
        <v>523</v>
      </c>
      <c r="G304" s="22" t="s">
        <v>574</v>
      </c>
      <c r="H304" s="22" t="s">
        <v>30</v>
      </c>
      <c r="I304" s="22" t="s">
        <v>575</v>
      </c>
      <c r="J304" s="22" t="s">
        <v>575</v>
      </c>
      <c r="K304" s="519" t="s">
        <v>1487</v>
      </c>
      <c r="L304" s="521" t="s">
        <v>1426</v>
      </c>
      <c r="M304" s="521" t="s">
        <v>1427</v>
      </c>
      <c r="N304" s="521" t="s">
        <v>815</v>
      </c>
      <c r="O304" s="22" t="s">
        <v>576</v>
      </c>
      <c r="P304" s="426">
        <v>2021</v>
      </c>
      <c r="Q304" s="720">
        <f t="shared" ca="1" si="15"/>
        <v>0</v>
      </c>
      <c r="R304" s="335" t="str">
        <f t="shared" ca="1" si="16"/>
        <v>N/A</v>
      </c>
      <c r="S304" s="335" t="str">
        <f t="shared" ca="1" si="17"/>
        <v>N/A</v>
      </c>
      <c r="T304" s="429" t="s">
        <v>577</v>
      </c>
      <c r="U304" s="22" t="s">
        <v>578</v>
      </c>
      <c r="V304" s="24"/>
      <c r="W304" s="21"/>
      <c r="Y304" s="490"/>
    </row>
    <row r="305" spans="1:25" ht="409.5" customHeight="1">
      <c r="A305" s="100">
        <v>302</v>
      </c>
      <c r="B305" s="101" t="s">
        <v>39</v>
      </c>
      <c r="C305" s="101" t="s">
        <v>572</v>
      </c>
      <c r="D305" s="101" t="s">
        <v>579</v>
      </c>
      <c r="E305" s="411">
        <v>1</v>
      </c>
      <c r="F305" s="101" t="s">
        <v>523</v>
      </c>
      <c r="G305" s="101" t="s">
        <v>580</v>
      </c>
      <c r="H305" s="101" t="s">
        <v>30</v>
      </c>
      <c r="I305" s="101" t="s">
        <v>581</v>
      </c>
      <c r="J305" s="101" t="s">
        <v>581</v>
      </c>
      <c r="K305" s="519" t="s">
        <v>1487</v>
      </c>
      <c r="L305" s="521" t="s">
        <v>1428</v>
      </c>
      <c r="M305" s="521" t="s">
        <v>1429</v>
      </c>
      <c r="N305" s="521" t="s">
        <v>815</v>
      </c>
      <c r="O305" s="101" t="s">
        <v>576</v>
      </c>
      <c r="P305" s="426">
        <v>2021</v>
      </c>
      <c r="Q305" s="414" t="str">
        <f ca="1">VLOOKUP($A305, INDIRECT("'"&amp;K305&amp;"'!A4:I9"), 9, 0)</f>
        <v xml:space="preserve"> Sector:
 Residential = 605  
Non-res= 8244
Segment: 
Agriculture - 59               
Building Design &amp; Construction - 1065
Building Performance - 191 
Commercial &amp; Industrial Energy Process &amp; Technology (CIEPT) - 244
Energy Codes &amp; Standards - 36
Food Service - 35
Home Performance - 719
HVAC - 4699
Lighting - 246
Market, Finance &amp; Sales - 654
Rates, Rebate &amp; Incentive Programs - 43
Real Estate - 295
Renewable Energy &amp; Sustainability - 232
Zero-Net Energy - 331
*Data was not tracked in line with other segments                            </v>
      </c>
      <c r="R305" s="335" t="str">
        <f t="shared" ca="1" si="16"/>
        <v>N/A</v>
      </c>
      <c r="S305" s="335" t="str">
        <f t="shared" ca="1" si="17"/>
        <v>N/A</v>
      </c>
      <c r="T305" s="429" t="s">
        <v>582</v>
      </c>
      <c r="U305" s="101" t="s">
        <v>583</v>
      </c>
      <c r="V305" s="24"/>
      <c r="W305" s="21"/>
      <c r="Y305" s="490"/>
    </row>
    <row r="306" spans="1:25" ht="180">
      <c r="A306" s="31">
        <v>303</v>
      </c>
      <c r="B306" s="22" t="s">
        <v>39</v>
      </c>
      <c r="C306" s="22" t="s">
        <v>572</v>
      </c>
      <c r="D306" s="22" t="s">
        <v>579</v>
      </c>
      <c r="E306" s="23">
        <v>1</v>
      </c>
      <c r="F306" s="22" t="s">
        <v>584</v>
      </c>
      <c r="G306" s="22" t="s">
        <v>580</v>
      </c>
      <c r="H306" s="22" t="s">
        <v>30</v>
      </c>
      <c r="I306" s="22" t="s">
        <v>585</v>
      </c>
      <c r="J306" s="22" t="s">
        <v>585</v>
      </c>
      <c r="K306" s="519" t="s">
        <v>1487</v>
      </c>
      <c r="L306" s="521" t="s">
        <v>1430</v>
      </c>
      <c r="M306" s="521" t="s">
        <v>1431</v>
      </c>
      <c r="N306" s="521" t="s">
        <v>815</v>
      </c>
      <c r="O306" s="22" t="s">
        <v>576</v>
      </c>
      <c r="P306" s="426">
        <v>2021</v>
      </c>
      <c r="Q306" s="414">
        <f t="shared" ca="1" si="15"/>
        <v>0</v>
      </c>
      <c r="R306" s="335" t="str">
        <f t="shared" ca="1" si="16"/>
        <v>N/A</v>
      </c>
      <c r="S306" s="335" t="str">
        <f t="shared" ca="1" si="17"/>
        <v>N/A</v>
      </c>
      <c r="T306" s="429" t="s">
        <v>586</v>
      </c>
      <c r="U306" s="22" t="s">
        <v>587</v>
      </c>
      <c r="V306" s="24"/>
      <c r="W306" s="21"/>
      <c r="Y306" s="490"/>
    </row>
    <row r="307" spans="1:25" ht="180">
      <c r="A307" s="31">
        <v>304</v>
      </c>
      <c r="B307" s="22" t="s">
        <v>39</v>
      </c>
      <c r="C307" s="22" t="s">
        <v>572</v>
      </c>
      <c r="D307" s="22" t="s">
        <v>588</v>
      </c>
      <c r="E307" s="23">
        <v>1</v>
      </c>
      <c r="F307" s="22" t="s">
        <v>584</v>
      </c>
      <c r="G307" s="22" t="s">
        <v>589</v>
      </c>
      <c r="H307" s="22" t="s">
        <v>30</v>
      </c>
      <c r="I307" s="22" t="s">
        <v>590</v>
      </c>
      <c r="J307" s="22" t="s">
        <v>590</v>
      </c>
      <c r="K307" s="519" t="s">
        <v>1487</v>
      </c>
      <c r="L307" s="521" t="s">
        <v>1432</v>
      </c>
      <c r="M307" s="521" t="s">
        <v>1433</v>
      </c>
      <c r="N307" s="521" t="s">
        <v>815</v>
      </c>
      <c r="O307" s="22" t="s">
        <v>576</v>
      </c>
      <c r="P307" s="426">
        <v>2021</v>
      </c>
      <c r="Q307" s="414">
        <f t="shared" ca="1" si="15"/>
        <v>0</v>
      </c>
      <c r="R307" s="335" t="str">
        <f t="shared" ca="1" si="16"/>
        <v>N/A</v>
      </c>
      <c r="S307" s="335" t="str">
        <f t="shared" ca="1" si="17"/>
        <v>N/A</v>
      </c>
      <c r="T307" s="429" t="s">
        <v>591</v>
      </c>
      <c r="U307" s="22" t="s">
        <v>592</v>
      </c>
      <c r="V307" s="24"/>
      <c r="W307" s="21"/>
      <c r="Y307" s="490"/>
    </row>
    <row r="308" spans="1:25" ht="60.95" customHeight="1">
      <c r="A308" s="31">
        <v>305</v>
      </c>
      <c r="B308" s="22" t="s">
        <v>39</v>
      </c>
      <c r="C308" s="22" t="s">
        <v>572</v>
      </c>
      <c r="D308" s="22" t="s">
        <v>588</v>
      </c>
      <c r="E308" s="23">
        <v>1</v>
      </c>
      <c r="F308" s="22" t="s">
        <v>584</v>
      </c>
      <c r="G308" s="22" t="s">
        <v>589</v>
      </c>
      <c r="H308" s="22" t="s">
        <v>30</v>
      </c>
      <c r="I308" s="22" t="s">
        <v>593</v>
      </c>
      <c r="J308" s="22" t="s">
        <v>593</v>
      </c>
      <c r="K308" s="519" t="s">
        <v>1487</v>
      </c>
      <c r="L308" s="521" t="s">
        <v>1434</v>
      </c>
      <c r="M308" s="521" t="s">
        <v>1435</v>
      </c>
      <c r="N308" s="521" t="s">
        <v>815</v>
      </c>
      <c r="O308" s="22" t="s">
        <v>576</v>
      </c>
      <c r="P308" s="69" t="s">
        <v>59</v>
      </c>
      <c r="Q308" s="414">
        <f t="shared" ca="1" si="15"/>
        <v>0</v>
      </c>
      <c r="R308" s="335" t="str">
        <f t="shared" ca="1" si="16"/>
        <v>N/A</v>
      </c>
      <c r="S308" s="335" t="str">
        <f t="shared" ca="1" si="17"/>
        <v>N/A</v>
      </c>
      <c r="T308" s="429" t="s">
        <v>594</v>
      </c>
      <c r="U308" s="22" t="s">
        <v>595</v>
      </c>
      <c r="V308" s="24"/>
      <c r="W308" s="21"/>
      <c r="Y308" s="490"/>
    </row>
    <row r="309" spans="1:25" ht="60">
      <c r="A309" s="31">
        <v>306</v>
      </c>
      <c r="B309" s="22" t="s">
        <v>39</v>
      </c>
      <c r="C309" s="22" t="s">
        <v>572</v>
      </c>
      <c r="D309" s="22" t="s">
        <v>596</v>
      </c>
      <c r="E309" s="23">
        <v>1</v>
      </c>
      <c r="F309" s="22" t="s">
        <v>523</v>
      </c>
      <c r="G309" s="22" t="s">
        <v>589</v>
      </c>
      <c r="H309" s="22" t="s">
        <v>164</v>
      </c>
      <c r="I309" s="22" t="s">
        <v>597</v>
      </c>
      <c r="J309" s="22" t="s">
        <v>597</v>
      </c>
      <c r="K309" s="519" t="s">
        <v>1487</v>
      </c>
      <c r="L309" s="521" t="s">
        <v>1436</v>
      </c>
      <c r="M309" s="521" t="s">
        <v>1437</v>
      </c>
      <c r="N309" s="521" t="s">
        <v>815</v>
      </c>
      <c r="O309" s="22" t="s">
        <v>576</v>
      </c>
      <c r="P309" s="69" t="s">
        <v>167</v>
      </c>
      <c r="Q309" s="414">
        <f t="shared" ca="1" si="15"/>
        <v>0</v>
      </c>
      <c r="R309" s="335" t="str">
        <f t="shared" ca="1" si="16"/>
        <v>N/A</v>
      </c>
      <c r="S309" s="335" t="str">
        <f t="shared" ca="1" si="17"/>
        <v>N/A</v>
      </c>
      <c r="T309" s="429" t="s">
        <v>598</v>
      </c>
      <c r="U309" s="22" t="s">
        <v>59</v>
      </c>
      <c r="V309" s="24"/>
      <c r="W309" s="21"/>
      <c r="Y309" s="490"/>
    </row>
    <row r="310" spans="1:25" ht="60">
      <c r="A310" s="31">
        <v>307</v>
      </c>
      <c r="B310" s="22" t="s">
        <v>39</v>
      </c>
      <c r="C310" s="22" t="s">
        <v>599</v>
      </c>
      <c r="D310" s="22" t="s">
        <v>600</v>
      </c>
      <c r="E310" s="23">
        <v>1</v>
      </c>
      <c r="F310" s="22" t="s">
        <v>523</v>
      </c>
      <c r="G310" s="22" t="s">
        <v>601</v>
      </c>
      <c r="H310" s="22" t="s">
        <v>30</v>
      </c>
      <c r="I310" s="22" t="s">
        <v>602</v>
      </c>
      <c r="J310" s="22" t="s">
        <v>603</v>
      </c>
      <c r="K310" s="519" t="s">
        <v>1438</v>
      </c>
      <c r="L310" s="521" t="s">
        <v>1439</v>
      </c>
      <c r="M310" s="521" t="s">
        <v>1440</v>
      </c>
      <c r="N310" s="521" t="s">
        <v>815</v>
      </c>
      <c r="O310" s="22" t="s">
        <v>604</v>
      </c>
      <c r="P310" s="69" t="s">
        <v>59</v>
      </c>
      <c r="Q310" s="830">
        <f ca="1">VLOOKUP($J310,INDIRECT("'"&amp;K310&amp;"'!F2:I24"), 4, 0)</f>
        <v>0</v>
      </c>
      <c r="R310" s="335" t="str">
        <f t="shared" ca="1" si="16"/>
        <v>N/A</v>
      </c>
      <c r="S310" s="335" t="str">
        <f t="shared" ca="1" si="17"/>
        <v>N/A</v>
      </c>
      <c r="T310" s="429" t="s">
        <v>608</v>
      </c>
      <c r="U310" s="22" t="s">
        <v>609</v>
      </c>
      <c r="V310" s="24"/>
      <c r="W310" s="21"/>
      <c r="Y310" s="490"/>
    </row>
    <row r="311" spans="1:25" ht="30">
      <c r="A311" s="31">
        <v>308</v>
      </c>
      <c r="B311" s="22" t="s">
        <v>39</v>
      </c>
      <c r="C311" s="22" t="s">
        <v>599</v>
      </c>
      <c r="D311" s="22" t="s">
        <v>610</v>
      </c>
      <c r="E311" s="23">
        <v>1</v>
      </c>
      <c r="F311" s="22" t="s">
        <v>611</v>
      </c>
      <c r="G311" s="22" t="s">
        <v>601</v>
      </c>
      <c r="H311" s="22" t="s">
        <v>30</v>
      </c>
      <c r="I311" s="22" t="s">
        <v>612</v>
      </c>
      <c r="J311" s="22" t="s">
        <v>613</v>
      </c>
      <c r="K311" s="519" t="s">
        <v>1438</v>
      </c>
      <c r="L311" s="521" t="s">
        <v>1441</v>
      </c>
      <c r="M311" s="521" t="s">
        <v>1442</v>
      </c>
      <c r="N311" s="521" t="s">
        <v>815</v>
      </c>
      <c r="O311" s="22" t="s">
        <v>604</v>
      </c>
      <c r="P311" s="69" t="s">
        <v>59</v>
      </c>
      <c r="Q311" s="830">
        <f t="shared" ref="Q311:Q332" ca="1" si="18">VLOOKUP($J311,INDIRECT("'"&amp;K311&amp;"'!F2:I24"), 4, 0)</f>
        <v>0</v>
      </c>
      <c r="R311" s="335" t="str">
        <f t="shared" ca="1" si="16"/>
        <v>N/A</v>
      </c>
      <c r="S311" s="335" t="str">
        <f t="shared" ca="1" si="17"/>
        <v>N/A</v>
      </c>
      <c r="T311" s="429" t="s">
        <v>608</v>
      </c>
      <c r="U311" s="22" t="s">
        <v>614</v>
      </c>
      <c r="V311" s="24"/>
      <c r="W311" s="21"/>
      <c r="Y311" s="490"/>
    </row>
    <row r="312" spans="1:25" ht="45">
      <c r="A312" s="31">
        <v>309</v>
      </c>
      <c r="B312" s="22" t="s">
        <v>39</v>
      </c>
      <c r="C312" s="22" t="s">
        <v>599</v>
      </c>
      <c r="D312" s="22" t="s">
        <v>615</v>
      </c>
      <c r="E312" s="23">
        <v>1</v>
      </c>
      <c r="F312" s="22" t="s">
        <v>616</v>
      </c>
      <c r="G312" s="22" t="s">
        <v>617</v>
      </c>
      <c r="H312" s="22" t="s">
        <v>30</v>
      </c>
      <c r="I312" s="22" t="s">
        <v>618</v>
      </c>
      <c r="J312" s="22" t="s">
        <v>619</v>
      </c>
      <c r="K312" s="519" t="s">
        <v>1438</v>
      </c>
      <c r="L312" s="521" t="s">
        <v>1443</v>
      </c>
      <c r="M312" s="521" t="s">
        <v>1444</v>
      </c>
      <c r="N312" s="521" t="s">
        <v>815</v>
      </c>
      <c r="O312" s="22" t="s">
        <v>604</v>
      </c>
      <c r="P312" s="69">
        <v>2021</v>
      </c>
      <c r="Q312" s="830">
        <v>0</v>
      </c>
      <c r="R312" s="335" t="str">
        <f t="shared" ca="1" si="16"/>
        <v>N/A</v>
      </c>
      <c r="S312" s="335" t="str">
        <f t="shared" ca="1" si="17"/>
        <v>N/A</v>
      </c>
      <c r="T312" s="429" t="s">
        <v>608</v>
      </c>
      <c r="U312" s="22" t="s">
        <v>622</v>
      </c>
      <c r="V312" s="24"/>
      <c r="W312" s="21"/>
      <c r="Y312" s="490"/>
    </row>
    <row r="313" spans="1:25" ht="90">
      <c r="A313" s="31">
        <v>310</v>
      </c>
      <c r="B313" s="22" t="s">
        <v>39</v>
      </c>
      <c r="C313" s="22" t="s">
        <v>599</v>
      </c>
      <c r="D313" s="22" t="s">
        <v>623</v>
      </c>
      <c r="E313" s="23">
        <v>1</v>
      </c>
      <c r="F313" s="22" t="s">
        <v>624</v>
      </c>
      <c r="G313" s="22" t="s">
        <v>625</v>
      </c>
      <c r="H313" s="22" t="s">
        <v>30</v>
      </c>
      <c r="I313" s="22" t="s">
        <v>626</v>
      </c>
      <c r="J313" s="22" t="s">
        <v>627</v>
      </c>
      <c r="K313" s="519" t="s">
        <v>1438</v>
      </c>
      <c r="L313" s="521" t="s">
        <v>1445</v>
      </c>
      <c r="M313" s="521" t="s">
        <v>1446</v>
      </c>
      <c r="N313" s="521" t="s">
        <v>815</v>
      </c>
      <c r="O313" s="22" t="s">
        <v>604</v>
      </c>
      <c r="P313" s="69">
        <v>2021</v>
      </c>
      <c r="Q313" s="830">
        <v>0</v>
      </c>
      <c r="R313" s="335" t="str">
        <f t="shared" ca="1" si="16"/>
        <v>N/A</v>
      </c>
      <c r="S313" s="335" t="str">
        <f t="shared" ca="1" si="17"/>
        <v>N/A</v>
      </c>
      <c r="T313" s="429" t="s">
        <v>1447</v>
      </c>
      <c r="U313" s="22" t="s">
        <v>630</v>
      </c>
      <c r="V313" s="24"/>
      <c r="W313" s="21"/>
      <c r="Y313" s="490"/>
    </row>
    <row r="314" spans="1:25" ht="90">
      <c r="A314" s="31">
        <v>311</v>
      </c>
      <c r="B314" s="22" t="s">
        <v>39</v>
      </c>
      <c r="C314" s="22" t="s">
        <v>599</v>
      </c>
      <c r="D314" s="22" t="s">
        <v>631</v>
      </c>
      <c r="E314" s="23">
        <v>1</v>
      </c>
      <c r="F314" s="22" t="s">
        <v>624</v>
      </c>
      <c r="G314" s="22" t="s">
        <v>625</v>
      </c>
      <c r="H314" s="22" t="s">
        <v>30</v>
      </c>
      <c r="I314" s="22" t="s">
        <v>632</v>
      </c>
      <c r="J314" s="22" t="s">
        <v>633</v>
      </c>
      <c r="K314" s="519" t="s">
        <v>1438</v>
      </c>
      <c r="L314" s="521" t="s">
        <v>1448</v>
      </c>
      <c r="M314" s="521" t="s">
        <v>1449</v>
      </c>
      <c r="N314" s="521" t="s">
        <v>815</v>
      </c>
      <c r="O314" s="22" t="s">
        <v>604</v>
      </c>
      <c r="P314" s="69">
        <v>2021</v>
      </c>
      <c r="Q314" s="830" t="str">
        <f t="shared" ca="1" si="18"/>
        <v>See ETP-M4</v>
      </c>
      <c r="R314" s="335" t="str">
        <f t="shared" ca="1" si="16"/>
        <v>N/A</v>
      </c>
      <c r="S314" s="335" t="str">
        <f t="shared" ca="1" si="17"/>
        <v>N/A</v>
      </c>
      <c r="T314" s="429" t="s">
        <v>1450</v>
      </c>
      <c r="U314" s="22" t="s">
        <v>636</v>
      </c>
      <c r="V314" s="24"/>
      <c r="W314" s="21"/>
      <c r="Y314" s="490"/>
    </row>
    <row r="315" spans="1:25" ht="60">
      <c r="A315" s="31">
        <v>312</v>
      </c>
      <c r="B315" s="22" t="s">
        <v>39</v>
      </c>
      <c r="C315" s="22" t="s">
        <v>637</v>
      </c>
      <c r="D315" s="22" t="s">
        <v>638</v>
      </c>
      <c r="E315" s="23">
        <v>1</v>
      </c>
      <c r="F315" s="22" t="s">
        <v>639</v>
      </c>
      <c r="G315" s="22" t="s">
        <v>640</v>
      </c>
      <c r="H315" s="22" t="s">
        <v>30</v>
      </c>
      <c r="I315" s="22" t="s">
        <v>641</v>
      </c>
      <c r="J315" s="22" t="s">
        <v>642</v>
      </c>
      <c r="K315" s="519" t="s">
        <v>1438</v>
      </c>
      <c r="L315" s="521" t="s">
        <v>1451</v>
      </c>
      <c r="M315" s="521" t="s">
        <v>1452</v>
      </c>
      <c r="N315" s="521" t="s">
        <v>815</v>
      </c>
      <c r="O315" s="22" t="s">
        <v>604</v>
      </c>
      <c r="P315" s="69" t="s">
        <v>59</v>
      </c>
      <c r="Q315" s="830" t="str">
        <f t="shared" ca="1" si="18"/>
        <v>N/A—TFPs will begin once 3P implentation contracts have been awarded.</v>
      </c>
      <c r="R315" s="335" t="str">
        <f t="shared" ca="1" si="16"/>
        <v>N/A</v>
      </c>
      <c r="S315" s="335" t="str">
        <f t="shared" ca="1" si="17"/>
        <v>N/A</v>
      </c>
      <c r="T315" s="429" t="s">
        <v>645</v>
      </c>
      <c r="U315" s="22" t="s">
        <v>646</v>
      </c>
      <c r="V315" s="24"/>
      <c r="W315" s="21"/>
      <c r="Y315" s="490"/>
    </row>
    <row r="316" spans="1:25" ht="105">
      <c r="A316" s="31">
        <v>313</v>
      </c>
      <c r="B316" s="22" t="s">
        <v>39</v>
      </c>
      <c r="C316" s="22" t="s">
        <v>637</v>
      </c>
      <c r="D316" s="22" t="s">
        <v>647</v>
      </c>
      <c r="E316" s="23">
        <v>1</v>
      </c>
      <c r="F316" s="22" t="s">
        <v>639</v>
      </c>
      <c r="G316" s="22" t="s">
        <v>640</v>
      </c>
      <c r="H316" s="22" t="s">
        <v>30</v>
      </c>
      <c r="I316" s="22" t="s">
        <v>648</v>
      </c>
      <c r="J316" s="22" t="s">
        <v>649</v>
      </c>
      <c r="K316" s="519" t="s">
        <v>1438</v>
      </c>
      <c r="L316" s="521" t="s">
        <v>1453</v>
      </c>
      <c r="M316" s="521" t="s">
        <v>1454</v>
      </c>
      <c r="N316" s="521" t="s">
        <v>815</v>
      </c>
      <c r="O316" s="22" t="s">
        <v>604</v>
      </c>
      <c r="P316" s="69" t="s">
        <v>59</v>
      </c>
      <c r="Q316" s="830" t="str">
        <f t="shared" ca="1" si="18"/>
        <v>N/A—TFPs will begin once 3P implentation contracts have been awarded.</v>
      </c>
      <c r="R316" s="335" t="str">
        <f t="shared" ca="1" si="16"/>
        <v>N/A</v>
      </c>
      <c r="S316" s="335" t="str">
        <f t="shared" ca="1" si="17"/>
        <v>N/A</v>
      </c>
      <c r="T316" s="429" t="s">
        <v>608</v>
      </c>
      <c r="U316" s="22" t="s">
        <v>650</v>
      </c>
      <c r="V316" s="24"/>
      <c r="W316" s="21"/>
      <c r="Y316" s="490"/>
    </row>
    <row r="317" spans="1:25" ht="135">
      <c r="A317" s="31">
        <v>314</v>
      </c>
      <c r="B317" s="22" t="s">
        <v>39</v>
      </c>
      <c r="C317" s="22" t="s">
        <v>651</v>
      </c>
      <c r="D317" s="22" t="s">
        <v>652</v>
      </c>
      <c r="E317" s="23">
        <v>1</v>
      </c>
      <c r="F317" s="22" t="s">
        <v>653</v>
      </c>
      <c r="G317" s="22" t="s">
        <v>654</v>
      </c>
      <c r="H317" s="22" t="s">
        <v>30</v>
      </c>
      <c r="I317" s="22" t="s">
        <v>655</v>
      </c>
      <c r="J317" s="22" t="s">
        <v>656</v>
      </c>
      <c r="K317" s="519" t="s">
        <v>1438</v>
      </c>
      <c r="L317" s="521" t="s">
        <v>1455</v>
      </c>
      <c r="M317" s="521" t="s">
        <v>1456</v>
      </c>
      <c r="N317" s="521" t="s">
        <v>815</v>
      </c>
      <c r="O317" s="22" t="s">
        <v>604</v>
      </c>
      <c r="P317" s="69" t="s">
        <v>59</v>
      </c>
      <c r="Q317" s="830" t="str">
        <f t="shared" ca="1" si="18"/>
        <v>Per ED, to be determined by an ED study*</v>
      </c>
      <c r="R317" s="335" t="str">
        <f t="shared" ca="1" si="16"/>
        <v>N/A</v>
      </c>
      <c r="S317" s="335" t="str">
        <f t="shared" ca="1" si="17"/>
        <v>N/A</v>
      </c>
      <c r="T317" s="429" t="s">
        <v>658</v>
      </c>
      <c r="U317" s="22" t="s">
        <v>659</v>
      </c>
      <c r="V317" s="24"/>
      <c r="W317" s="21"/>
      <c r="Y317" s="490"/>
    </row>
    <row r="318" spans="1:25" ht="105">
      <c r="A318" s="31">
        <v>315</v>
      </c>
      <c r="B318" s="22" t="s">
        <v>39</v>
      </c>
      <c r="C318" s="22" t="s">
        <v>651</v>
      </c>
      <c r="D318" s="22" t="s">
        <v>660</v>
      </c>
      <c r="E318" s="23">
        <v>1</v>
      </c>
      <c r="F318" s="22" t="s">
        <v>661</v>
      </c>
      <c r="G318" s="22" t="s">
        <v>654</v>
      </c>
      <c r="H318" s="22" t="s">
        <v>30</v>
      </c>
      <c r="I318" s="22" t="s">
        <v>662</v>
      </c>
      <c r="J318" s="22" t="s">
        <v>663</v>
      </c>
      <c r="K318" s="519" t="s">
        <v>1438</v>
      </c>
      <c r="L318" s="521" t="s">
        <v>1457</v>
      </c>
      <c r="M318" s="521" t="s">
        <v>1458</v>
      </c>
      <c r="N318" s="521" t="s">
        <v>815</v>
      </c>
      <c r="O318" s="22" t="s">
        <v>604</v>
      </c>
      <c r="P318" s="69" t="s">
        <v>59</v>
      </c>
      <c r="Q318" s="830" t="str">
        <f t="shared" ca="1" si="18"/>
        <v>Per ED, to be determined by an ED study*</v>
      </c>
      <c r="R318" s="335" t="str">
        <f t="shared" ca="1" si="16"/>
        <v>N/A</v>
      </c>
      <c r="S318" s="335" t="str">
        <f t="shared" ca="1" si="17"/>
        <v>N/A</v>
      </c>
      <c r="T318" s="429" t="s">
        <v>664</v>
      </c>
      <c r="U318" s="22" t="s">
        <v>659</v>
      </c>
      <c r="V318" s="24"/>
      <c r="W318" s="21"/>
      <c r="Y318" s="490"/>
    </row>
    <row r="319" spans="1:25" ht="90">
      <c r="A319" s="31">
        <v>316</v>
      </c>
      <c r="B319" s="22" t="s">
        <v>39</v>
      </c>
      <c r="C319" s="22" t="s">
        <v>651</v>
      </c>
      <c r="D319" s="22" t="s">
        <v>665</v>
      </c>
      <c r="E319" s="23">
        <v>1</v>
      </c>
      <c r="F319" s="22" t="s">
        <v>142</v>
      </c>
      <c r="G319" s="22" t="s">
        <v>654</v>
      </c>
      <c r="H319" s="22" t="s">
        <v>30</v>
      </c>
      <c r="I319" s="22" t="s">
        <v>666</v>
      </c>
      <c r="J319" s="22" t="s">
        <v>667</v>
      </c>
      <c r="K319" s="519" t="s">
        <v>1438</v>
      </c>
      <c r="L319" s="521" t="s">
        <v>1459</v>
      </c>
      <c r="M319" s="521" t="s">
        <v>1460</v>
      </c>
      <c r="N319" s="521" t="s">
        <v>815</v>
      </c>
      <c r="O319" s="22" t="s">
        <v>604</v>
      </c>
      <c r="P319" s="69" t="s">
        <v>59</v>
      </c>
      <c r="Q319" s="830" t="str">
        <f t="shared" ca="1" si="18"/>
        <v>Per ED, to be determined by an ED study*</v>
      </c>
      <c r="R319" s="335" t="str">
        <f t="shared" ca="1" si="16"/>
        <v>N/A</v>
      </c>
      <c r="S319" s="335" t="str">
        <f t="shared" ca="1" si="17"/>
        <v>N/A</v>
      </c>
      <c r="T319" s="429" t="s">
        <v>668</v>
      </c>
      <c r="U319" s="22" t="s">
        <v>659</v>
      </c>
      <c r="V319" s="24"/>
      <c r="W319" s="21"/>
      <c r="Y319" s="490"/>
    </row>
    <row r="320" spans="1:25" ht="135">
      <c r="A320" s="31">
        <v>317</v>
      </c>
      <c r="B320" s="22" t="s">
        <v>39</v>
      </c>
      <c r="C320" s="22" t="s">
        <v>651</v>
      </c>
      <c r="D320" s="22" t="s">
        <v>669</v>
      </c>
      <c r="E320" s="23">
        <v>1</v>
      </c>
      <c r="F320" s="22" t="s">
        <v>523</v>
      </c>
      <c r="G320" s="22" t="s">
        <v>654</v>
      </c>
      <c r="H320" s="22" t="s">
        <v>30</v>
      </c>
      <c r="I320" s="22" t="s">
        <v>670</v>
      </c>
      <c r="J320" s="22" t="s">
        <v>671</v>
      </c>
      <c r="K320" s="519" t="s">
        <v>1438</v>
      </c>
      <c r="L320" s="521" t="s">
        <v>1461</v>
      </c>
      <c r="M320" s="521" t="s">
        <v>1462</v>
      </c>
      <c r="N320" s="521" t="s">
        <v>815</v>
      </c>
      <c r="O320" s="22" t="s">
        <v>604</v>
      </c>
      <c r="P320" s="69" t="s">
        <v>59</v>
      </c>
      <c r="Q320" s="830" t="str">
        <f t="shared" ca="1" si="18"/>
        <v>Per ED, to be determined by an ED study*</v>
      </c>
      <c r="R320" s="335" t="str">
        <f t="shared" ca="1" si="16"/>
        <v>N/A</v>
      </c>
      <c r="S320" s="335" t="str">
        <f t="shared" ca="1" si="17"/>
        <v>N/A</v>
      </c>
      <c r="T320" s="429" t="s">
        <v>672</v>
      </c>
      <c r="U320" s="22" t="s">
        <v>673</v>
      </c>
      <c r="V320" s="24"/>
      <c r="W320" s="21"/>
      <c r="Y320" s="490"/>
    </row>
    <row r="321" spans="1:25" ht="105">
      <c r="A321" s="31">
        <v>318</v>
      </c>
      <c r="B321" s="22" t="s">
        <v>39</v>
      </c>
      <c r="C321" s="22" t="s">
        <v>651</v>
      </c>
      <c r="D321" s="22" t="s">
        <v>674</v>
      </c>
      <c r="E321" s="23">
        <v>1</v>
      </c>
      <c r="F321" s="22" t="s">
        <v>675</v>
      </c>
      <c r="G321" s="22" t="s">
        <v>676</v>
      </c>
      <c r="H321" s="22" t="s">
        <v>30</v>
      </c>
      <c r="I321" s="22" t="s">
        <v>677</v>
      </c>
      <c r="J321" s="22" t="s">
        <v>678</v>
      </c>
      <c r="K321" s="519" t="s">
        <v>1438</v>
      </c>
      <c r="L321" s="521" t="s">
        <v>1463</v>
      </c>
      <c r="M321" s="521" t="s">
        <v>1464</v>
      </c>
      <c r="N321" s="521" t="s">
        <v>815</v>
      </c>
      <c r="O321" s="22" t="s">
        <v>604</v>
      </c>
      <c r="P321" s="69" t="s">
        <v>59</v>
      </c>
      <c r="Q321" s="830" t="str">
        <f t="shared" ca="1" si="18"/>
        <v>Per ED, to be determined by an ED study*</v>
      </c>
      <c r="R321" s="335" t="str">
        <f t="shared" ca="1" si="16"/>
        <v>N/A</v>
      </c>
      <c r="S321" s="335" t="str">
        <f t="shared" ca="1" si="17"/>
        <v>N/A</v>
      </c>
      <c r="T321" s="429" t="s">
        <v>679</v>
      </c>
      <c r="U321" s="22" t="s">
        <v>680</v>
      </c>
      <c r="V321" s="24"/>
      <c r="W321" s="21"/>
      <c r="Y321" s="490"/>
    </row>
    <row r="322" spans="1:25" ht="105">
      <c r="A322" s="31">
        <v>319</v>
      </c>
      <c r="B322" s="22" t="s">
        <v>39</v>
      </c>
      <c r="C322" s="22" t="s">
        <v>651</v>
      </c>
      <c r="D322" s="22" t="s">
        <v>681</v>
      </c>
      <c r="E322" s="23">
        <v>1</v>
      </c>
      <c r="F322" s="22" t="s">
        <v>682</v>
      </c>
      <c r="G322" s="22" t="s">
        <v>676</v>
      </c>
      <c r="H322" s="22" t="s">
        <v>30</v>
      </c>
      <c r="I322" s="22" t="s">
        <v>683</v>
      </c>
      <c r="J322" s="22" t="s">
        <v>684</v>
      </c>
      <c r="K322" s="519" t="s">
        <v>1438</v>
      </c>
      <c r="L322" s="521" t="s">
        <v>1465</v>
      </c>
      <c r="M322" s="521" t="s">
        <v>1466</v>
      </c>
      <c r="N322" s="521" t="s">
        <v>815</v>
      </c>
      <c r="O322" s="22" t="s">
        <v>604</v>
      </c>
      <c r="P322" s="69" t="s">
        <v>59</v>
      </c>
      <c r="Q322" s="830" t="str">
        <f t="shared" ca="1" si="18"/>
        <v>Per ED, to be determined by an ED study*</v>
      </c>
      <c r="R322" s="335" t="str">
        <f t="shared" ca="1" si="16"/>
        <v>N/A</v>
      </c>
      <c r="S322" s="335" t="str">
        <f t="shared" ca="1" si="17"/>
        <v>N/A</v>
      </c>
      <c r="T322" s="429" t="s">
        <v>679</v>
      </c>
      <c r="U322" s="22" t="s">
        <v>680</v>
      </c>
      <c r="V322" s="24"/>
      <c r="W322" s="21"/>
      <c r="Y322" s="490"/>
    </row>
    <row r="323" spans="1:25" ht="105">
      <c r="A323" s="31">
        <v>320</v>
      </c>
      <c r="B323" s="22" t="s">
        <v>39</v>
      </c>
      <c r="C323" s="22" t="s">
        <v>651</v>
      </c>
      <c r="D323" s="22" t="s">
        <v>685</v>
      </c>
      <c r="E323" s="23">
        <v>1</v>
      </c>
      <c r="F323" s="22" t="s">
        <v>686</v>
      </c>
      <c r="G323" s="22" t="s">
        <v>676</v>
      </c>
      <c r="H323" s="22" t="s">
        <v>30</v>
      </c>
      <c r="I323" s="22" t="s">
        <v>687</v>
      </c>
      <c r="J323" s="22" t="s">
        <v>688</v>
      </c>
      <c r="K323" s="519" t="s">
        <v>1438</v>
      </c>
      <c r="L323" s="521" t="s">
        <v>1467</v>
      </c>
      <c r="M323" s="521" t="s">
        <v>1468</v>
      </c>
      <c r="N323" s="521" t="s">
        <v>815</v>
      </c>
      <c r="O323" s="22" t="s">
        <v>604</v>
      </c>
      <c r="P323" s="69" t="s">
        <v>59</v>
      </c>
      <c r="Q323" s="830" t="str">
        <f t="shared" ca="1" si="18"/>
        <v>Per ED, to be determined by an ED study*</v>
      </c>
      <c r="R323" s="335" t="str">
        <f t="shared" ca="1" si="16"/>
        <v>N/A</v>
      </c>
      <c r="S323" s="335" t="str">
        <f t="shared" ca="1" si="17"/>
        <v>N/A</v>
      </c>
      <c r="T323" s="429" t="s">
        <v>679</v>
      </c>
      <c r="U323" s="22" t="s">
        <v>680</v>
      </c>
      <c r="V323" s="24"/>
      <c r="W323" s="21"/>
      <c r="Y323" s="490"/>
    </row>
    <row r="324" spans="1:25" ht="165">
      <c r="A324" s="31">
        <v>321</v>
      </c>
      <c r="B324" s="22" t="s">
        <v>39</v>
      </c>
      <c r="C324" s="22" t="s">
        <v>651</v>
      </c>
      <c r="D324" s="22" t="s">
        <v>689</v>
      </c>
      <c r="E324" s="23">
        <v>1</v>
      </c>
      <c r="F324" s="22" t="s">
        <v>690</v>
      </c>
      <c r="G324" s="22" t="s">
        <v>691</v>
      </c>
      <c r="H324" s="22" t="s">
        <v>30</v>
      </c>
      <c r="I324" s="22" t="s">
        <v>692</v>
      </c>
      <c r="J324" s="22" t="s">
        <v>693</v>
      </c>
      <c r="K324" s="519" t="s">
        <v>1438</v>
      </c>
      <c r="L324" s="521" t="s">
        <v>1469</v>
      </c>
      <c r="M324" s="521" t="s">
        <v>1470</v>
      </c>
      <c r="N324" s="521" t="s">
        <v>815</v>
      </c>
      <c r="O324" s="22" t="s">
        <v>604</v>
      </c>
      <c r="P324" s="69" t="s">
        <v>59</v>
      </c>
      <c r="Q324" s="830" t="str">
        <f t="shared" ca="1" si="18"/>
        <v>N/A—  TPMs will be used once 3P implentation contracts have been awarded.</v>
      </c>
      <c r="R324" s="335" t="str">
        <f t="shared" ref="R324:R332" ca="1" si="19">IF($N324 = "N","N/A",SUMIF(INDIRECT("'"&amp;K324&amp;"'!j:j"),L324,INDIRECT("'"&amp;K324&amp;"'!q:q")))</f>
        <v>N/A</v>
      </c>
      <c r="S324" s="335" t="str">
        <f t="shared" ref="S324:S332" ca="1" si="20">IF($N324 = "N","N/A",SUMIF(INDIRECT("'"&amp;K324&amp;"'!j:j"),M324,INDIRECT("'"&amp;K324&amp;"'!q:q")))</f>
        <v>N/A</v>
      </c>
      <c r="T324" s="429" t="s">
        <v>694</v>
      </c>
      <c r="U324" s="22" t="s">
        <v>695</v>
      </c>
      <c r="V324" s="24"/>
      <c r="W324" s="21"/>
      <c r="Y324" s="490"/>
    </row>
    <row r="325" spans="1:25" ht="165">
      <c r="A325" s="31">
        <v>322</v>
      </c>
      <c r="B325" s="22" t="s">
        <v>39</v>
      </c>
      <c r="C325" s="22" t="s">
        <v>651</v>
      </c>
      <c r="D325" s="22" t="s">
        <v>696</v>
      </c>
      <c r="E325" s="23">
        <v>1</v>
      </c>
      <c r="F325" s="22" t="s">
        <v>697</v>
      </c>
      <c r="G325" s="22" t="s">
        <v>691</v>
      </c>
      <c r="H325" s="22" t="s">
        <v>30</v>
      </c>
      <c r="I325" s="22" t="s">
        <v>698</v>
      </c>
      <c r="J325" s="22" t="s">
        <v>699</v>
      </c>
      <c r="K325" s="519" t="s">
        <v>1438</v>
      </c>
      <c r="L325" s="521" t="s">
        <v>1471</v>
      </c>
      <c r="M325" s="521" t="s">
        <v>1472</v>
      </c>
      <c r="N325" s="521" t="s">
        <v>815</v>
      </c>
      <c r="O325" s="22" t="s">
        <v>604</v>
      </c>
      <c r="P325" s="69" t="s">
        <v>59</v>
      </c>
      <c r="Q325" s="830" t="str">
        <f t="shared" ca="1" si="18"/>
        <v>N/A—TPMs will initiated once 3P implentation contracts have been awarded.</v>
      </c>
      <c r="R325" s="335" t="str">
        <f t="shared" ca="1" si="19"/>
        <v>N/A</v>
      </c>
      <c r="S325" s="335" t="str">
        <f t="shared" ca="1" si="20"/>
        <v>N/A</v>
      </c>
      <c r="T325" s="429" t="s">
        <v>694</v>
      </c>
      <c r="U325" s="22" t="s">
        <v>695</v>
      </c>
      <c r="V325" s="24"/>
      <c r="W325" s="21"/>
      <c r="Y325" s="490"/>
    </row>
    <row r="326" spans="1:25" ht="165">
      <c r="A326" s="31">
        <v>323</v>
      </c>
      <c r="B326" s="22" t="s">
        <v>39</v>
      </c>
      <c r="C326" s="22" t="s">
        <v>651</v>
      </c>
      <c r="D326" s="22" t="s">
        <v>700</v>
      </c>
      <c r="E326" s="23">
        <v>1</v>
      </c>
      <c r="F326" s="22" t="s">
        <v>701</v>
      </c>
      <c r="G326" s="22" t="s">
        <v>691</v>
      </c>
      <c r="H326" s="22" t="s">
        <v>30</v>
      </c>
      <c r="I326" s="22" t="s">
        <v>702</v>
      </c>
      <c r="J326" s="22" t="s">
        <v>703</v>
      </c>
      <c r="K326" s="519" t="s">
        <v>1438</v>
      </c>
      <c r="L326" s="521" t="s">
        <v>1473</v>
      </c>
      <c r="M326" s="521" t="s">
        <v>1474</v>
      </c>
      <c r="N326" s="521" t="s">
        <v>815</v>
      </c>
      <c r="O326" s="22" t="s">
        <v>604</v>
      </c>
      <c r="P326" s="69" t="s">
        <v>59</v>
      </c>
      <c r="Q326" s="830" t="str">
        <f t="shared" ca="1" si="18"/>
        <v>N/A—  TPMs will be used once 3P implentation contracts have been awarded.</v>
      </c>
      <c r="R326" s="335" t="str">
        <f t="shared" ca="1" si="19"/>
        <v>N/A</v>
      </c>
      <c r="S326" s="335" t="str">
        <f t="shared" ca="1" si="20"/>
        <v>N/A</v>
      </c>
      <c r="T326" s="429" t="s">
        <v>694</v>
      </c>
      <c r="U326" s="22" t="s">
        <v>695</v>
      </c>
      <c r="V326" s="24"/>
      <c r="W326" s="21"/>
      <c r="Y326" s="490"/>
    </row>
    <row r="327" spans="1:25" ht="165">
      <c r="A327" s="31">
        <v>324</v>
      </c>
      <c r="B327" s="22" t="s">
        <v>39</v>
      </c>
      <c r="C327" s="22" t="s">
        <v>651</v>
      </c>
      <c r="D327" s="22" t="s">
        <v>704</v>
      </c>
      <c r="E327" s="23">
        <v>1</v>
      </c>
      <c r="F327" s="22" t="s">
        <v>705</v>
      </c>
      <c r="G327" s="22" t="s">
        <v>691</v>
      </c>
      <c r="H327" s="22" t="s">
        <v>30</v>
      </c>
      <c r="I327" s="22" t="s">
        <v>706</v>
      </c>
      <c r="J327" s="22" t="s">
        <v>707</v>
      </c>
      <c r="K327" s="519" t="s">
        <v>1438</v>
      </c>
      <c r="L327" s="521" t="s">
        <v>1475</v>
      </c>
      <c r="M327" s="521" t="s">
        <v>1476</v>
      </c>
      <c r="N327" s="521" t="s">
        <v>815</v>
      </c>
      <c r="O327" s="22" t="s">
        <v>604</v>
      </c>
      <c r="P327" s="69" t="s">
        <v>59</v>
      </c>
      <c r="Q327" s="830" t="str">
        <f t="shared" ca="1" si="18"/>
        <v>N/A—  TPMs will be used once 3P implentation contracts have been awarded.</v>
      </c>
      <c r="R327" s="335" t="str">
        <f t="shared" ca="1" si="19"/>
        <v>N/A</v>
      </c>
      <c r="S327" s="335" t="str">
        <f t="shared" ca="1" si="20"/>
        <v>N/A</v>
      </c>
      <c r="T327" s="429" t="s">
        <v>694</v>
      </c>
      <c r="U327" s="22" t="s">
        <v>708</v>
      </c>
      <c r="V327" s="24"/>
      <c r="W327" s="21"/>
      <c r="Y327" s="490"/>
    </row>
    <row r="328" spans="1:25" ht="165">
      <c r="A328" s="31">
        <v>325</v>
      </c>
      <c r="B328" s="22" t="s">
        <v>39</v>
      </c>
      <c r="C328" s="22" t="s">
        <v>651</v>
      </c>
      <c r="D328" s="22" t="s">
        <v>709</v>
      </c>
      <c r="E328" s="23">
        <v>1</v>
      </c>
      <c r="F328" s="22" t="s">
        <v>690</v>
      </c>
      <c r="G328" s="22" t="s">
        <v>691</v>
      </c>
      <c r="H328" s="22" t="s">
        <v>30</v>
      </c>
      <c r="I328" s="22" t="s">
        <v>710</v>
      </c>
      <c r="J328" s="22" t="s">
        <v>711</v>
      </c>
      <c r="K328" s="519" t="s">
        <v>1438</v>
      </c>
      <c r="L328" s="521" t="s">
        <v>1477</v>
      </c>
      <c r="M328" s="521" t="s">
        <v>1478</v>
      </c>
      <c r="N328" s="521" t="s">
        <v>815</v>
      </c>
      <c r="O328" s="22" t="s">
        <v>604</v>
      </c>
      <c r="P328" s="69" t="s">
        <v>59</v>
      </c>
      <c r="Q328" s="830" t="str">
        <f t="shared" ca="1" si="18"/>
        <v>N/A—  TPMs will be used once 3P implentation contracts have been awarded.</v>
      </c>
      <c r="R328" s="335" t="str">
        <f t="shared" ca="1" si="19"/>
        <v>N/A</v>
      </c>
      <c r="S328" s="335" t="str">
        <f t="shared" ca="1" si="20"/>
        <v>N/A</v>
      </c>
      <c r="T328" s="429" t="s">
        <v>712</v>
      </c>
      <c r="U328" s="22" t="s">
        <v>695</v>
      </c>
      <c r="V328" s="24"/>
      <c r="W328" s="21"/>
      <c r="Y328" s="490"/>
    </row>
    <row r="329" spans="1:25" ht="165">
      <c r="A329" s="31">
        <v>326</v>
      </c>
      <c r="B329" s="22" t="s">
        <v>39</v>
      </c>
      <c r="C329" s="22" t="s">
        <v>651</v>
      </c>
      <c r="D329" s="22" t="s">
        <v>713</v>
      </c>
      <c r="E329" s="23">
        <v>1</v>
      </c>
      <c r="F329" s="22" t="s">
        <v>697</v>
      </c>
      <c r="G329" s="22" t="s">
        <v>691</v>
      </c>
      <c r="H329" s="22" t="s">
        <v>30</v>
      </c>
      <c r="I329" s="22" t="s">
        <v>714</v>
      </c>
      <c r="J329" s="22" t="s">
        <v>715</v>
      </c>
      <c r="K329" s="519" t="s">
        <v>1438</v>
      </c>
      <c r="L329" s="521" t="s">
        <v>1479</v>
      </c>
      <c r="M329" s="521" t="s">
        <v>1480</v>
      </c>
      <c r="N329" s="521" t="s">
        <v>815</v>
      </c>
      <c r="O329" s="22" t="s">
        <v>604</v>
      </c>
      <c r="P329" s="69" t="s">
        <v>59</v>
      </c>
      <c r="Q329" s="830" t="str">
        <f t="shared" ca="1" si="18"/>
        <v>N/A—  TPMs will be used once 3P implentation contracts have been awarded.</v>
      </c>
      <c r="R329" s="335" t="str">
        <f t="shared" ca="1" si="19"/>
        <v>N/A</v>
      </c>
      <c r="S329" s="335" t="str">
        <f t="shared" ca="1" si="20"/>
        <v>N/A</v>
      </c>
      <c r="T329" s="429" t="s">
        <v>712</v>
      </c>
      <c r="U329" s="22" t="s">
        <v>695</v>
      </c>
      <c r="V329" s="24"/>
      <c r="W329" s="21"/>
      <c r="Y329" s="490"/>
    </row>
    <row r="330" spans="1:25" ht="165">
      <c r="A330" s="31">
        <v>327</v>
      </c>
      <c r="B330" s="22" t="s">
        <v>39</v>
      </c>
      <c r="C330" s="22" t="s">
        <v>651</v>
      </c>
      <c r="D330" s="22" t="s">
        <v>716</v>
      </c>
      <c r="E330" s="23">
        <v>1</v>
      </c>
      <c r="F330" s="22" t="s">
        <v>701</v>
      </c>
      <c r="G330" s="22" t="s">
        <v>691</v>
      </c>
      <c r="H330" s="22" t="s">
        <v>30</v>
      </c>
      <c r="I330" s="22" t="s">
        <v>717</v>
      </c>
      <c r="J330" s="22" t="s">
        <v>718</v>
      </c>
      <c r="K330" s="519" t="s">
        <v>1438</v>
      </c>
      <c r="L330" s="521" t="s">
        <v>1481</v>
      </c>
      <c r="M330" s="521" t="s">
        <v>1482</v>
      </c>
      <c r="N330" s="521" t="s">
        <v>815</v>
      </c>
      <c r="O330" s="22" t="s">
        <v>604</v>
      </c>
      <c r="P330" s="69" t="s">
        <v>59</v>
      </c>
      <c r="Q330" s="830" t="str">
        <f t="shared" ca="1" si="18"/>
        <v>N/A—  TPMs will be used once 3P implentation contracts have been awarded.</v>
      </c>
      <c r="R330" s="335" t="str">
        <f t="shared" ca="1" si="19"/>
        <v>N/A</v>
      </c>
      <c r="S330" s="335" t="str">
        <f t="shared" ca="1" si="20"/>
        <v>N/A</v>
      </c>
      <c r="T330" s="429" t="s">
        <v>712</v>
      </c>
      <c r="U330" s="22" t="s">
        <v>695</v>
      </c>
      <c r="V330" s="24"/>
      <c r="W330" s="21"/>
      <c r="Y330" s="490"/>
    </row>
    <row r="331" spans="1:25" ht="165">
      <c r="A331" s="31">
        <v>328</v>
      </c>
      <c r="B331" s="22" t="s">
        <v>39</v>
      </c>
      <c r="C331" s="22" t="s">
        <v>651</v>
      </c>
      <c r="D331" s="22" t="s">
        <v>719</v>
      </c>
      <c r="E331" s="23">
        <v>1</v>
      </c>
      <c r="F331" s="22" t="s">
        <v>705</v>
      </c>
      <c r="G331" s="22" t="s">
        <v>691</v>
      </c>
      <c r="H331" s="22" t="s">
        <v>30</v>
      </c>
      <c r="I331" s="22" t="s">
        <v>720</v>
      </c>
      <c r="J331" s="22" t="s">
        <v>721</v>
      </c>
      <c r="K331" s="519" t="s">
        <v>1438</v>
      </c>
      <c r="L331" s="521" t="s">
        <v>1483</v>
      </c>
      <c r="M331" s="521" t="s">
        <v>1484</v>
      </c>
      <c r="N331" s="521" t="s">
        <v>815</v>
      </c>
      <c r="O331" s="22" t="s">
        <v>604</v>
      </c>
      <c r="P331" s="69" t="s">
        <v>59</v>
      </c>
      <c r="Q331" s="830" t="str">
        <f t="shared" ca="1" si="18"/>
        <v>N/A—  TPMs will be used once 3P implentation contracts have been awarded.</v>
      </c>
      <c r="R331" s="335" t="str">
        <f t="shared" ca="1" si="19"/>
        <v>N/A</v>
      </c>
      <c r="S331" s="335" t="str">
        <f t="shared" ca="1" si="20"/>
        <v>N/A</v>
      </c>
      <c r="T331" s="429" t="s">
        <v>712</v>
      </c>
      <c r="U331" s="22" t="s">
        <v>695</v>
      </c>
      <c r="V331" s="24"/>
      <c r="W331" s="21"/>
      <c r="Y331" s="490"/>
    </row>
    <row r="332" spans="1:25" ht="150">
      <c r="A332" s="32">
        <v>329</v>
      </c>
      <c r="B332" s="25" t="s">
        <v>39</v>
      </c>
      <c r="C332" s="25" t="s">
        <v>722</v>
      </c>
      <c r="D332" s="25" t="s">
        <v>723</v>
      </c>
      <c r="E332" s="26">
        <v>1</v>
      </c>
      <c r="F332" s="25" t="s">
        <v>724</v>
      </c>
      <c r="G332" s="25" t="s">
        <v>725</v>
      </c>
      <c r="H332" s="25" t="s">
        <v>30</v>
      </c>
      <c r="I332" s="25" t="s">
        <v>726</v>
      </c>
      <c r="J332" s="25" t="s">
        <v>727</v>
      </c>
      <c r="K332" s="519" t="s">
        <v>1438</v>
      </c>
      <c r="L332" s="521" t="s">
        <v>1485</v>
      </c>
      <c r="M332" s="521" t="s">
        <v>1486</v>
      </c>
      <c r="N332" s="523" t="s">
        <v>815</v>
      </c>
      <c r="O332" s="25" t="s">
        <v>604</v>
      </c>
      <c r="P332" s="69" t="s">
        <v>59</v>
      </c>
      <c r="Q332" s="830" t="str">
        <f t="shared" ca="1" si="18"/>
        <v>N/A - The statewide goals to be tracked are still under collaborative discussion with ED and not yet available; hence, no data will be reported for 2020</v>
      </c>
      <c r="R332" s="335" t="str">
        <f t="shared" ca="1" si="19"/>
        <v>N/A</v>
      </c>
      <c r="S332" s="335" t="str">
        <f t="shared" ca="1" si="20"/>
        <v>N/A</v>
      </c>
      <c r="T332" s="27" t="s">
        <v>730</v>
      </c>
      <c r="U332" s="25" t="s">
        <v>731</v>
      </c>
      <c r="V332" s="28"/>
      <c r="W332" s="27"/>
      <c r="Y332" s="490"/>
    </row>
  </sheetData>
  <autoFilter ref="A2:W332" xr:uid="{DBF9CB31-CDA7-429E-AD0F-4469299D3D09}"/>
  <mergeCells count="2">
    <mergeCell ref="A1:A2"/>
    <mergeCell ref="P1:S1"/>
  </mergeCells>
  <printOptions horizontalCentered="1"/>
  <pageMargins left="0.2" right="0.2" top="0.75" bottom="0.75" header="0.3" footer="0.3"/>
  <pageSetup scale="28" fitToHeight="0" orientation="landscape" r:id="rId1"/>
  <headerFooter>
    <oddFooter>&amp;RMay 1, 2019</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F0"/>
    <pageSetUpPr fitToPage="1"/>
  </sheetPr>
  <dimension ref="A1:C39"/>
  <sheetViews>
    <sheetView showGridLines="0" zoomScale="80" zoomScaleNormal="80" zoomScaleSheetLayoutView="80" workbookViewId="0">
      <selection activeCell="H3" sqref="H3"/>
    </sheetView>
  </sheetViews>
  <sheetFormatPr defaultColWidth="9.140625" defaultRowHeight="15"/>
  <cols>
    <col min="1" max="1" width="4.7109375" style="1" customWidth="1"/>
    <col min="2" max="2" width="38.28515625" style="1" customWidth="1"/>
    <col min="3" max="3" width="157.85546875" style="1" customWidth="1"/>
    <col min="4" max="16384" width="9.140625" style="1"/>
  </cols>
  <sheetData>
    <row r="1" spans="1:3" ht="18.75">
      <c r="A1" s="3" t="s">
        <v>39</v>
      </c>
      <c r="C1" s="552"/>
    </row>
    <row r="2" spans="1:3" ht="18.75">
      <c r="A2" s="4" t="s">
        <v>1489</v>
      </c>
      <c r="C2" s="552"/>
    </row>
    <row r="3" spans="1:3" hidden="1">
      <c r="B3" s="2"/>
      <c r="C3" s="5"/>
    </row>
    <row r="4" spans="1:3" ht="17.25">
      <c r="B4" s="33" t="s">
        <v>1490</v>
      </c>
      <c r="C4" s="33" t="s">
        <v>1491</v>
      </c>
    </row>
    <row r="5" spans="1:3">
      <c r="A5" s="34">
        <v>1</v>
      </c>
      <c r="B5" s="12" t="s">
        <v>1492</v>
      </c>
      <c r="C5" s="12" t="s">
        <v>1493</v>
      </c>
    </row>
    <row r="6" spans="1:3">
      <c r="A6" s="34">
        <f>A5+1</f>
        <v>2</v>
      </c>
      <c r="B6" s="37" t="s">
        <v>1494</v>
      </c>
      <c r="C6" s="22" t="s">
        <v>1495</v>
      </c>
    </row>
    <row r="7" spans="1:3">
      <c r="A7" s="35">
        <f>A6+1</f>
        <v>3</v>
      </c>
      <c r="B7" s="37" t="s">
        <v>1496</v>
      </c>
      <c r="C7" s="22" t="s">
        <v>1497</v>
      </c>
    </row>
    <row r="8" spans="1:3" ht="30.4" customHeight="1">
      <c r="A8" s="35">
        <f t="shared" ref="A8:A38" si="0">A7+1</f>
        <v>4</v>
      </c>
      <c r="B8" s="37" t="s">
        <v>1498</v>
      </c>
      <c r="C8" s="22" t="s">
        <v>1499</v>
      </c>
    </row>
    <row r="9" spans="1:3">
      <c r="A9" s="35">
        <f t="shared" si="0"/>
        <v>5</v>
      </c>
      <c r="B9" s="37" t="s">
        <v>43</v>
      </c>
      <c r="C9" s="22" t="s">
        <v>1500</v>
      </c>
    </row>
    <row r="10" spans="1:3">
      <c r="A10" s="35">
        <f t="shared" si="0"/>
        <v>6</v>
      </c>
      <c r="B10" s="37" t="s">
        <v>1501</v>
      </c>
      <c r="C10" s="22" t="s">
        <v>1502</v>
      </c>
    </row>
    <row r="11" spans="1:3">
      <c r="A11" s="35">
        <f t="shared" si="0"/>
        <v>7</v>
      </c>
      <c r="B11" s="37" t="s">
        <v>1503</v>
      </c>
      <c r="C11" s="22" t="s">
        <v>1504</v>
      </c>
    </row>
    <row r="12" spans="1:3">
      <c r="A12" s="35">
        <f t="shared" si="0"/>
        <v>8</v>
      </c>
      <c r="B12" s="37" t="s">
        <v>1505</v>
      </c>
      <c r="C12" s="22" t="s">
        <v>1506</v>
      </c>
    </row>
    <row r="13" spans="1:3">
      <c r="A13" s="35">
        <f t="shared" si="0"/>
        <v>9</v>
      </c>
      <c r="B13" s="37" t="s">
        <v>1507</v>
      </c>
      <c r="C13" s="22" t="s">
        <v>1508</v>
      </c>
    </row>
    <row r="14" spans="1:3" ht="30">
      <c r="A14" s="35">
        <f t="shared" si="0"/>
        <v>10</v>
      </c>
      <c r="B14" s="37" t="s">
        <v>1509</v>
      </c>
      <c r="C14" s="22" t="s">
        <v>1510</v>
      </c>
    </row>
    <row r="15" spans="1:3">
      <c r="A15" s="35">
        <f t="shared" si="0"/>
        <v>11</v>
      </c>
      <c r="B15" s="37" t="s">
        <v>1511</v>
      </c>
      <c r="C15" s="22" t="s">
        <v>1512</v>
      </c>
    </row>
    <row r="16" spans="1:3" ht="30">
      <c r="A16" s="35">
        <f t="shared" si="0"/>
        <v>12</v>
      </c>
      <c r="B16" s="37" t="s">
        <v>1513</v>
      </c>
      <c r="C16" s="22" t="s">
        <v>1514</v>
      </c>
    </row>
    <row r="17" spans="1:3">
      <c r="A17" s="35">
        <f t="shared" si="0"/>
        <v>13</v>
      </c>
      <c r="B17" s="37" t="s">
        <v>1515</v>
      </c>
      <c r="C17" s="22" t="s">
        <v>1516</v>
      </c>
    </row>
    <row r="18" spans="1:3">
      <c r="A18" s="35">
        <f t="shared" si="0"/>
        <v>14</v>
      </c>
      <c r="B18" s="37" t="s">
        <v>1517</v>
      </c>
      <c r="C18" s="22" t="s">
        <v>1518</v>
      </c>
    </row>
    <row r="19" spans="1:3" ht="30">
      <c r="A19" s="35">
        <f t="shared" si="0"/>
        <v>15</v>
      </c>
      <c r="B19" s="22" t="s">
        <v>1519</v>
      </c>
      <c r="C19" s="22" t="s">
        <v>1520</v>
      </c>
    </row>
    <row r="20" spans="1:3">
      <c r="A20" s="35">
        <f t="shared" si="0"/>
        <v>16</v>
      </c>
      <c r="B20" s="37" t="s">
        <v>1521</v>
      </c>
      <c r="C20" s="22" t="s">
        <v>1522</v>
      </c>
    </row>
    <row r="21" spans="1:3">
      <c r="A21" s="35">
        <f t="shared" si="0"/>
        <v>17</v>
      </c>
      <c r="B21" s="37" t="s">
        <v>1523</v>
      </c>
      <c r="C21" s="22" t="s">
        <v>1524</v>
      </c>
    </row>
    <row r="22" spans="1:3" ht="30">
      <c r="A22" s="35">
        <f t="shared" si="0"/>
        <v>18</v>
      </c>
      <c r="B22" s="37" t="s">
        <v>1525</v>
      </c>
      <c r="C22" s="22" t="s">
        <v>1526</v>
      </c>
    </row>
    <row r="23" spans="1:3">
      <c r="A23" s="35">
        <f t="shared" si="0"/>
        <v>19</v>
      </c>
      <c r="B23" s="37" t="s">
        <v>1527</v>
      </c>
      <c r="C23" s="22" t="s">
        <v>1528</v>
      </c>
    </row>
    <row r="24" spans="1:3" ht="30" customHeight="1">
      <c r="A24" s="35">
        <f t="shared" si="0"/>
        <v>20</v>
      </c>
      <c r="B24" s="22" t="s">
        <v>1529</v>
      </c>
      <c r="C24" s="22" t="s">
        <v>1530</v>
      </c>
    </row>
    <row r="25" spans="1:3" ht="32.25" customHeight="1">
      <c r="A25" s="35">
        <f t="shared" si="0"/>
        <v>21</v>
      </c>
      <c r="B25" s="22" t="s">
        <v>1531</v>
      </c>
      <c r="C25" s="95" t="s">
        <v>1532</v>
      </c>
    </row>
    <row r="26" spans="1:3" ht="105">
      <c r="A26" s="35">
        <f t="shared" si="0"/>
        <v>22</v>
      </c>
      <c r="B26" s="37" t="s">
        <v>1533</v>
      </c>
      <c r="C26" s="22" t="s">
        <v>1534</v>
      </c>
    </row>
    <row r="27" spans="1:3">
      <c r="A27" s="35">
        <f t="shared" si="0"/>
        <v>23</v>
      </c>
      <c r="B27" s="37" t="s">
        <v>1535</v>
      </c>
      <c r="C27" s="22" t="s">
        <v>1536</v>
      </c>
    </row>
    <row r="28" spans="1:3">
      <c r="A28" s="35">
        <f t="shared" si="0"/>
        <v>24</v>
      </c>
      <c r="B28" s="37" t="s">
        <v>1537</v>
      </c>
      <c r="C28" s="22" t="s">
        <v>1520</v>
      </c>
    </row>
    <row r="29" spans="1:3">
      <c r="A29" s="35">
        <f t="shared" si="0"/>
        <v>25</v>
      </c>
      <c r="B29" s="37" t="s">
        <v>1538</v>
      </c>
      <c r="C29" s="22" t="s">
        <v>1539</v>
      </c>
    </row>
    <row r="30" spans="1:3" ht="30">
      <c r="A30" s="35">
        <f t="shared" si="0"/>
        <v>26</v>
      </c>
      <c r="B30" s="37" t="s">
        <v>1540</v>
      </c>
      <c r="C30" s="22" t="s">
        <v>1541</v>
      </c>
    </row>
    <row r="31" spans="1:3">
      <c r="A31" s="35">
        <f t="shared" si="0"/>
        <v>27</v>
      </c>
      <c r="B31" s="37" t="s">
        <v>1542</v>
      </c>
      <c r="C31" s="22" t="s">
        <v>1543</v>
      </c>
    </row>
    <row r="32" spans="1:3">
      <c r="A32" s="35">
        <f t="shared" si="0"/>
        <v>28</v>
      </c>
      <c r="B32" s="37" t="s">
        <v>1544</v>
      </c>
      <c r="C32" s="22" t="s">
        <v>1545</v>
      </c>
    </row>
    <row r="33" spans="1:3" ht="30">
      <c r="A33" s="35">
        <f t="shared" si="0"/>
        <v>29</v>
      </c>
      <c r="B33" s="22" t="s">
        <v>1546</v>
      </c>
      <c r="C33" s="22" t="s">
        <v>1547</v>
      </c>
    </row>
    <row r="34" spans="1:3">
      <c r="A34" s="35">
        <f t="shared" si="0"/>
        <v>30</v>
      </c>
      <c r="B34" s="37" t="s">
        <v>1548</v>
      </c>
      <c r="C34" s="22" t="s">
        <v>1549</v>
      </c>
    </row>
    <row r="35" spans="1:3">
      <c r="A35" s="35">
        <f t="shared" si="0"/>
        <v>31</v>
      </c>
      <c r="B35" s="37" t="s">
        <v>1550</v>
      </c>
      <c r="C35" s="22" t="s">
        <v>1549</v>
      </c>
    </row>
    <row r="36" spans="1:3">
      <c r="A36" s="35">
        <f t="shared" si="0"/>
        <v>32</v>
      </c>
      <c r="B36" s="36" t="s">
        <v>1551</v>
      </c>
      <c r="C36" s="36" t="s">
        <v>1552</v>
      </c>
    </row>
    <row r="37" spans="1:3">
      <c r="A37" s="35">
        <f t="shared" si="0"/>
        <v>33</v>
      </c>
      <c r="B37" s="36" t="s">
        <v>1553</v>
      </c>
      <c r="C37" s="36" t="s">
        <v>1554</v>
      </c>
    </row>
    <row r="38" spans="1:3">
      <c r="A38" s="35">
        <f t="shared" si="0"/>
        <v>34</v>
      </c>
      <c r="B38" s="36" t="s">
        <v>1555</v>
      </c>
      <c r="C38" s="36" t="s">
        <v>1556</v>
      </c>
    </row>
    <row r="39" spans="1:3" ht="30">
      <c r="A39" s="35">
        <v>35</v>
      </c>
      <c r="B39" s="309" t="s">
        <v>1557</v>
      </c>
      <c r="C39" s="95" t="s">
        <v>1558</v>
      </c>
    </row>
  </sheetData>
  <pageMargins left="0.7" right="0.7" top="0.75" bottom="0.75" header="0.3" footer="0.3"/>
  <pageSetup scale="60" orientation="landscape" r:id="rId1"/>
  <headerFooter>
    <oddFooter>&amp;RMay 1, 2018</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I1"/>
  <sheetViews>
    <sheetView showGridLines="0" zoomScaleNormal="100" zoomScaleSheetLayoutView="80" workbookViewId="0">
      <selection sqref="A1:I1"/>
    </sheetView>
  </sheetViews>
  <sheetFormatPr defaultRowHeight="15"/>
  <sheetData>
    <row r="1" spans="1:9" ht="50.25" customHeight="1">
      <c r="A1" s="831" t="s">
        <v>1559</v>
      </c>
      <c r="B1" s="833"/>
      <c r="C1" s="833"/>
      <c r="D1" s="833"/>
      <c r="E1" s="833"/>
      <c r="F1" s="833"/>
      <c r="G1" s="833"/>
      <c r="H1" s="833"/>
      <c r="I1" s="833"/>
    </row>
  </sheetData>
  <mergeCells count="1">
    <mergeCell ref="A1:I1"/>
  </mergeCells>
  <pageMargins left="0.7" right="0.7" top="0.75" bottom="0.75" header="0.3" footer="0.3"/>
  <pageSetup fitToWidth="0" orientation="portrait" r:id="rId1"/>
  <headerFooter>
    <oddFooter>&amp;RMay 1,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3"/>
  <sheetViews>
    <sheetView zoomScaleNormal="100" workbookViewId="0">
      <selection activeCell="D42" sqref="D42"/>
    </sheetView>
  </sheetViews>
  <sheetFormatPr defaultColWidth="9.140625" defaultRowHeight="15"/>
  <cols>
    <col min="1" max="1" width="90.7109375" style="1" customWidth="1"/>
    <col min="2" max="16384" width="9.140625" style="1"/>
  </cols>
  <sheetData>
    <row r="1" spans="1:1" ht="26.25">
      <c r="A1" s="553" t="s">
        <v>1599</v>
      </c>
    </row>
    <row r="2" spans="1:1" ht="18.75">
      <c r="A2" s="8" t="s">
        <v>2231</v>
      </c>
    </row>
    <row r="3" spans="1:1" ht="18.75">
      <c r="A3" s="7"/>
    </row>
  </sheetData>
  <pageMargins left="0.7" right="0.7" top="0.75" bottom="0.75" header="0.3" footer="0.3"/>
  <pageSetup fitToWidth="0" fitToHeight="0" orientation="portrait" r:id="rId1"/>
  <headerFooter>
    <oddFooter>&amp;RMay 1,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C107"/>
  <sheetViews>
    <sheetView tabSelected="1" zoomScale="80" zoomScaleNormal="80" zoomScaleSheetLayoutView="90" workbookViewId="0">
      <pane ySplit="2" topLeftCell="A3" activePane="bottomLeft" state="frozen"/>
      <selection sqref="A1:A2"/>
      <selection pane="bottomLeft" activeCell="I4" sqref="I4"/>
    </sheetView>
  </sheetViews>
  <sheetFormatPr defaultColWidth="9.140625" defaultRowHeight="15"/>
  <cols>
    <col min="1" max="1" width="10.7109375" style="38" customWidth="1"/>
    <col min="2" max="2" width="54.42578125" style="38" customWidth="1"/>
    <col min="3" max="3" width="7.85546875" style="38" customWidth="1"/>
    <col min="4" max="9" width="17.140625" style="38" customWidth="1"/>
    <col min="10" max="10" width="9.42578125" style="38" customWidth="1"/>
    <col min="11" max="11" width="36.85546875" style="38" customWidth="1"/>
    <col min="12" max="15" width="13.7109375" style="38" customWidth="1"/>
    <col min="16" max="16" width="14.85546875" style="38" customWidth="1"/>
    <col min="17" max="17" width="13.7109375" style="38" customWidth="1"/>
    <col min="18" max="18" width="58.5703125" style="172" customWidth="1"/>
    <col min="19" max="19" width="9.140625" style="38"/>
    <col min="20" max="20" width="17.5703125" style="38" bestFit="1" customWidth="1"/>
    <col min="21" max="16384" width="9.140625" style="38"/>
  </cols>
  <sheetData>
    <row r="1" spans="1:29" ht="24.95" customHeight="1">
      <c r="A1" s="219" t="s">
        <v>2228</v>
      </c>
      <c r="R1" s="76"/>
    </row>
    <row r="2" spans="1:29" ht="33.6" customHeight="1">
      <c r="A2" s="220" t="s">
        <v>27</v>
      </c>
      <c r="B2" s="221" t="s">
        <v>1560</v>
      </c>
      <c r="C2" s="220" t="s">
        <v>1561</v>
      </c>
      <c r="D2" s="332">
        <v>2016</v>
      </c>
      <c r="E2" s="332">
        <v>2017</v>
      </c>
      <c r="F2" s="332">
        <v>2018</v>
      </c>
      <c r="G2" s="332">
        <v>2019</v>
      </c>
      <c r="H2" s="332">
        <v>2020</v>
      </c>
      <c r="I2" s="332">
        <v>2021</v>
      </c>
      <c r="J2" s="222" t="s">
        <v>1562</v>
      </c>
      <c r="K2" s="223"/>
      <c r="L2" s="224">
        <v>2016</v>
      </c>
      <c r="M2" s="224">
        <v>2017</v>
      </c>
      <c r="N2" s="224">
        <v>2018</v>
      </c>
      <c r="O2" s="224">
        <v>2019</v>
      </c>
      <c r="P2" s="224">
        <v>2020</v>
      </c>
      <c r="Q2" s="224">
        <v>2021</v>
      </c>
      <c r="R2" s="225" t="s">
        <v>1563</v>
      </c>
    </row>
    <row r="3" spans="1:29" s="41" customFormat="1" ht="30" customHeight="1">
      <c r="A3" s="856" t="s">
        <v>53</v>
      </c>
      <c r="B3" s="578" t="s">
        <v>1564</v>
      </c>
      <c r="C3" s="578"/>
      <c r="D3" s="578"/>
      <c r="E3" s="578"/>
      <c r="F3" s="578"/>
      <c r="G3" s="578"/>
      <c r="H3" s="578"/>
      <c r="I3" s="578"/>
      <c r="J3" s="579"/>
      <c r="K3" s="579"/>
      <c r="L3" s="579"/>
      <c r="M3" s="579"/>
      <c r="N3" s="579"/>
      <c r="O3" s="579"/>
      <c r="P3" s="579"/>
      <c r="Q3" s="579"/>
      <c r="R3" s="229"/>
      <c r="S3" s="44"/>
      <c r="T3" s="44"/>
      <c r="U3" s="44"/>
      <c r="V3" s="44"/>
      <c r="W3" s="44"/>
      <c r="X3" s="44"/>
      <c r="Y3" s="44"/>
      <c r="Z3" s="44"/>
      <c r="AA3" s="44"/>
      <c r="AB3" s="44"/>
      <c r="AC3" s="44"/>
    </row>
    <row r="4" spans="1:29" s="41" customFormat="1">
      <c r="A4" s="857"/>
      <c r="B4" s="58" t="s">
        <v>52</v>
      </c>
      <c r="C4" s="106">
        <v>1</v>
      </c>
      <c r="D4" s="444">
        <v>98609.066312581621</v>
      </c>
      <c r="E4" s="482">
        <v>87297.336761534578</v>
      </c>
      <c r="F4" s="482">
        <v>132022.27971599301</v>
      </c>
      <c r="G4" s="482">
        <v>55212.734798799051</v>
      </c>
      <c r="H4" s="482">
        <v>96882.204262534593</v>
      </c>
      <c r="I4" s="482">
        <f>VLOOKUP(C4, '2021_Internal_ModelLink'!$A$3:$Z$1000, 14, 0)</f>
        <v>15503.688943589319</v>
      </c>
      <c r="J4" s="162"/>
      <c r="K4" s="162"/>
      <c r="L4" s="162"/>
      <c r="M4" s="162"/>
      <c r="N4" s="162"/>
      <c r="O4" s="162"/>
      <c r="P4" s="162"/>
      <c r="Q4" s="162"/>
      <c r="R4" s="858"/>
      <c r="S4" s="44"/>
      <c r="T4" s="44"/>
      <c r="U4" s="44"/>
      <c r="V4" s="44"/>
      <c r="W4" s="44"/>
      <c r="X4" s="44"/>
      <c r="Y4" s="44"/>
      <c r="Z4" s="44"/>
      <c r="AA4" s="44"/>
      <c r="AB4" s="44"/>
      <c r="AC4" s="44"/>
    </row>
    <row r="5" spans="1:29" s="405" customFormat="1">
      <c r="A5" s="857"/>
      <c r="B5" s="58" t="s">
        <v>55</v>
      </c>
      <c r="C5" s="106">
        <v>2</v>
      </c>
      <c r="D5" s="444">
        <v>89176.917538019159</v>
      </c>
      <c r="E5" s="482">
        <v>80492.313475682531</v>
      </c>
      <c r="F5" s="482">
        <v>129587.916603294</v>
      </c>
      <c r="G5" s="482">
        <v>53057.774834896096</v>
      </c>
      <c r="H5" s="482">
        <v>95334.242858835059</v>
      </c>
      <c r="I5" s="482">
        <f>VLOOKUP(C5, '2021_Internal_ModelLink'!$A$3:$Z$1000, 14, 0)</f>
        <v>13165.070359019179</v>
      </c>
      <c r="J5" s="162"/>
      <c r="K5" s="162"/>
      <c r="L5" s="162"/>
      <c r="M5" s="162"/>
      <c r="N5" s="162"/>
      <c r="O5" s="162"/>
      <c r="P5" s="162"/>
      <c r="Q5" s="162"/>
      <c r="R5" s="858"/>
      <c r="S5" s="44"/>
      <c r="T5" s="44"/>
      <c r="U5" s="44"/>
      <c r="V5" s="44"/>
      <c r="W5" s="44"/>
      <c r="X5" s="44"/>
      <c r="Y5" s="44"/>
      <c r="Z5" s="44"/>
      <c r="AA5" s="44"/>
      <c r="AB5" s="44"/>
      <c r="AC5" s="44"/>
    </row>
    <row r="6" spans="1:29" s="405" customFormat="1">
      <c r="A6" s="857"/>
      <c r="B6" s="58" t="s">
        <v>56</v>
      </c>
      <c r="C6" s="106">
        <v>3</v>
      </c>
      <c r="D6" s="444">
        <v>372063992.70350373</v>
      </c>
      <c r="E6" s="482">
        <v>481703716.36790425</v>
      </c>
      <c r="F6" s="482">
        <v>460021010.46108401</v>
      </c>
      <c r="G6" s="482">
        <v>251434561.78932336</v>
      </c>
      <c r="H6" s="482">
        <v>582129640.340325</v>
      </c>
      <c r="I6" s="482">
        <f>VLOOKUP(C6, '2021_Internal_ModelLink'!$A$3:$Z$1000, 14, 0)</f>
        <v>83775915.125015244</v>
      </c>
      <c r="J6" s="162"/>
      <c r="K6" s="162"/>
      <c r="L6" s="162"/>
      <c r="M6" s="162"/>
      <c r="N6" s="162"/>
      <c r="O6" s="162"/>
      <c r="P6" s="162"/>
      <c r="Q6" s="162"/>
      <c r="R6" s="858"/>
      <c r="S6" s="44"/>
      <c r="T6" s="44"/>
      <c r="U6" s="44"/>
      <c r="V6" s="44"/>
      <c r="W6" s="44"/>
      <c r="X6" s="44"/>
      <c r="Y6" s="44"/>
      <c r="Z6" s="44"/>
      <c r="AA6" s="44"/>
      <c r="AB6" s="44"/>
      <c r="AC6" s="44"/>
    </row>
    <row r="7" spans="1:29" s="405" customFormat="1">
      <c r="A7" s="857"/>
      <c r="B7" s="58" t="s">
        <v>57</v>
      </c>
      <c r="C7" s="106">
        <v>4</v>
      </c>
      <c r="D7" s="444">
        <v>316429661.90514046</v>
      </c>
      <c r="E7" s="482">
        <v>440258087.60130304</v>
      </c>
      <c r="F7" s="482">
        <v>436447653.89927298</v>
      </c>
      <c r="G7" s="482">
        <v>242605043.53007609</v>
      </c>
      <c r="H7" s="482">
        <v>572760268.00721192</v>
      </c>
      <c r="I7" s="482">
        <f>VLOOKUP(C7, '2021_Internal_ModelLink'!$A$3:$Z$1000, 14, 0)</f>
        <v>74953647.643607348</v>
      </c>
      <c r="J7" s="162"/>
      <c r="K7" s="162"/>
      <c r="L7" s="162"/>
      <c r="M7" s="162"/>
      <c r="N7" s="162"/>
      <c r="O7" s="162"/>
      <c r="P7" s="162"/>
      <c r="Q7" s="162"/>
      <c r="R7" s="858"/>
      <c r="S7" s="44"/>
      <c r="T7" s="44"/>
      <c r="U7" s="44"/>
      <c r="V7" s="44"/>
      <c r="W7" s="44"/>
      <c r="X7" s="44"/>
      <c r="Y7" s="44"/>
      <c r="Z7" s="44"/>
      <c r="AA7" s="44"/>
      <c r="AB7" s="44"/>
      <c r="AC7" s="44"/>
    </row>
    <row r="8" spans="1:29" s="405" customFormat="1">
      <c r="A8" s="857"/>
      <c r="B8" s="58" t="s">
        <v>58</v>
      </c>
      <c r="C8" s="106">
        <v>5</v>
      </c>
      <c r="D8" s="444">
        <v>3668704.3719318081</v>
      </c>
      <c r="E8" s="482">
        <v>2102400.4276243942</v>
      </c>
      <c r="F8" s="482">
        <v>1471491.05953998</v>
      </c>
      <c r="G8" s="482">
        <v>3446225.9504607292</v>
      </c>
      <c r="H8" s="482">
        <v>5012591.3578928038</v>
      </c>
      <c r="I8" s="482">
        <f>VLOOKUP(C8, '2021_Internal_ModelLink'!$A$3:$Z$1000, 14, 0)</f>
        <v>3628218.8727099746</v>
      </c>
      <c r="J8" s="162"/>
      <c r="K8" s="162"/>
      <c r="L8" s="162"/>
      <c r="M8" s="162"/>
      <c r="N8" s="162"/>
      <c r="O8" s="162"/>
      <c r="P8" s="162"/>
      <c r="Q8" s="162"/>
      <c r="R8" s="858"/>
      <c r="S8" s="44"/>
      <c r="T8" s="44"/>
      <c r="U8" s="44"/>
      <c r="V8" s="44"/>
      <c r="W8" s="44"/>
      <c r="X8" s="44"/>
      <c r="Y8" s="44"/>
      <c r="Z8" s="44"/>
      <c r="AA8" s="44"/>
      <c r="AB8" s="44"/>
      <c r="AC8" s="44"/>
    </row>
    <row r="9" spans="1:29" s="41" customFormat="1">
      <c r="A9" s="857"/>
      <c r="B9" s="58" t="s">
        <v>60</v>
      </c>
      <c r="C9" s="106">
        <v>6</v>
      </c>
      <c r="D9" s="444">
        <v>2983256.2565512066</v>
      </c>
      <c r="E9" s="482">
        <v>1635555.3609204872</v>
      </c>
      <c r="F9" s="482">
        <v>1164207.7058348099</v>
      </c>
      <c r="G9" s="482">
        <v>3265339.9873080361</v>
      </c>
      <c r="H9" s="482">
        <v>4890194.6937966952</v>
      </c>
      <c r="I9" s="482">
        <f>VLOOKUP(C9, '2021_Internal_ModelLink'!$A$3:$Z$1000, 14, 0)</f>
        <v>2801901.2312931735</v>
      </c>
      <c r="J9" s="162"/>
      <c r="K9" s="397"/>
      <c r="L9" s="162"/>
      <c r="M9" s="162"/>
      <c r="N9" s="162"/>
      <c r="O9" s="162"/>
      <c r="P9" s="162"/>
      <c r="Q9" s="162"/>
      <c r="R9" s="858"/>
      <c r="S9" s="44"/>
      <c r="T9" s="44"/>
      <c r="U9" s="44"/>
      <c r="V9" s="44"/>
      <c r="W9" s="44"/>
      <c r="X9" s="44"/>
      <c r="Y9" s="44"/>
      <c r="Z9" s="44"/>
      <c r="AA9" s="44"/>
      <c r="AB9" s="44"/>
      <c r="AC9" s="44"/>
    </row>
    <row r="10" spans="1:29" s="41" customFormat="1">
      <c r="A10" s="857"/>
      <c r="B10" s="58" t="s">
        <v>61</v>
      </c>
      <c r="C10" s="106">
        <v>7</v>
      </c>
      <c r="D10" s="444">
        <v>862575.51838928915</v>
      </c>
      <c r="E10" s="482">
        <v>918866.07778339786</v>
      </c>
      <c r="F10" s="482">
        <v>1093888.81717404</v>
      </c>
      <c r="G10" s="482">
        <v>609080.21073442069</v>
      </c>
      <c r="H10" s="482">
        <v>1285037.666994367</v>
      </c>
      <c r="I10" s="482">
        <f>VLOOKUP(C10, '2021_Internal_ModelLink'!$A$3:$Z$1000, 14, 0)</f>
        <v>113656.46164690032</v>
      </c>
      <c r="J10" s="58"/>
      <c r="K10" s="58"/>
      <c r="L10" s="58"/>
      <c r="M10" s="58"/>
      <c r="N10" s="58"/>
      <c r="O10" s="58"/>
      <c r="P10" s="58"/>
      <c r="Q10" s="58"/>
      <c r="R10" s="227"/>
      <c r="S10" s="44"/>
      <c r="T10" s="44"/>
      <c r="U10" s="44"/>
      <c r="V10" s="44"/>
      <c r="W10" s="44"/>
      <c r="X10" s="44"/>
      <c r="Y10" s="44"/>
      <c r="Z10" s="44"/>
      <c r="AA10" s="44"/>
      <c r="AB10" s="44"/>
      <c r="AC10" s="44"/>
    </row>
    <row r="11" spans="1:29" s="405" customFormat="1">
      <c r="A11" s="857"/>
      <c r="B11" s="58" t="s">
        <v>62</v>
      </c>
      <c r="C11" s="106">
        <v>8</v>
      </c>
      <c r="D11" s="444">
        <v>736773.64597397426</v>
      </c>
      <c r="E11" s="482">
        <v>848279.64243081352</v>
      </c>
      <c r="F11" s="482">
        <v>1054949.8861460399</v>
      </c>
      <c r="G11" s="482">
        <v>593121.48082744842</v>
      </c>
      <c r="H11" s="482">
        <v>1269912.0767742959</v>
      </c>
      <c r="I11" s="482">
        <f>VLOOKUP(C11, '2021_Internal_ModelLink'!$A$3:$Z$1000, 14, 0)</f>
        <v>82591.919571197563</v>
      </c>
      <c r="J11" s="58"/>
      <c r="K11" s="58"/>
      <c r="L11" s="58"/>
      <c r="M11" s="58"/>
      <c r="N11" s="58"/>
      <c r="O11" s="58"/>
      <c r="P11" s="58"/>
      <c r="Q11" s="58"/>
      <c r="R11" s="227"/>
      <c r="S11" s="44"/>
      <c r="T11" s="44"/>
      <c r="U11" s="44"/>
      <c r="V11" s="44"/>
      <c r="W11" s="44"/>
      <c r="X11" s="44"/>
      <c r="Y11" s="44"/>
      <c r="Z11" s="44"/>
      <c r="AA11" s="44"/>
      <c r="AB11" s="44"/>
      <c r="AC11" s="44"/>
    </row>
    <row r="12" spans="1:29" s="405" customFormat="1">
      <c r="A12" s="857"/>
      <c r="B12" s="58" t="s">
        <v>63</v>
      </c>
      <c r="C12" s="106">
        <v>9</v>
      </c>
      <c r="D12" s="444">
        <v>4071541355.6978703</v>
      </c>
      <c r="E12" s="482">
        <v>5453328495.2566442</v>
      </c>
      <c r="F12" s="482">
        <v>5629792057.8726797</v>
      </c>
      <c r="G12" s="482">
        <v>2641285318.7758112</v>
      </c>
      <c r="H12" s="482">
        <v>7753377253.7211695</v>
      </c>
      <c r="I12" s="482">
        <f>VLOOKUP(C12, '2021_Internal_ModelLink'!$A$3:$Z$1000, 14, 0)</f>
        <v>417357893.1534391</v>
      </c>
      <c r="J12" s="58"/>
      <c r="K12" s="58"/>
      <c r="L12" s="58"/>
      <c r="M12" s="58"/>
      <c r="N12" s="58"/>
      <c r="O12" s="58"/>
      <c r="P12" s="58"/>
      <c r="Q12" s="58"/>
      <c r="R12" s="227"/>
      <c r="S12" s="44"/>
      <c r="T12" s="44"/>
      <c r="U12" s="44"/>
      <c r="V12" s="44"/>
      <c r="W12" s="44"/>
      <c r="X12" s="44"/>
      <c r="Y12" s="44"/>
      <c r="Z12" s="44"/>
      <c r="AA12" s="44"/>
      <c r="AB12" s="44"/>
      <c r="AC12" s="44"/>
    </row>
    <row r="13" spans="1:29" s="405" customFormat="1">
      <c r="A13" s="857"/>
      <c r="B13" s="58" t="s">
        <v>64</v>
      </c>
      <c r="C13" s="106">
        <v>10</v>
      </c>
      <c r="D13" s="444">
        <v>3399176958.1089969</v>
      </c>
      <c r="E13" s="482">
        <v>4992750889.2698755</v>
      </c>
      <c r="F13" s="482">
        <v>5376922452.5547895</v>
      </c>
      <c r="G13" s="482">
        <v>2561567227.2157989</v>
      </c>
      <c r="H13" s="482">
        <v>7656685480.0510092</v>
      </c>
      <c r="I13" s="482">
        <f>VLOOKUP(C13, '2021_Internal_ModelLink'!$A$3:$Z$1000, 14, 0)</f>
        <v>317861282.74625093</v>
      </c>
      <c r="J13" s="58"/>
      <c r="K13" s="58"/>
      <c r="L13" s="58"/>
      <c r="M13" s="58"/>
      <c r="N13" s="58"/>
      <c r="O13" s="58"/>
      <c r="P13" s="58"/>
      <c r="Q13" s="58"/>
      <c r="R13" s="227"/>
      <c r="S13" s="44"/>
      <c r="T13" s="44"/>
      <c r="U13" s="44"/>
      <c r="V13" s="44"/>
      <c r="W13" s="44"/>
      <c r="X13" s="44"/>
      <c r="Y13" s="44"/>
      <c r="Z13" s="44"/>
      <c r="AA13" s="44"/>
      <c r="AB13" s="44"/>
      <c r="AC13" s="44"/>
    </row>
    <row r="14" spans="1:29" s="405" customFormat="1">
      <c r="A14" s="857"/>
      <c r="B14" s="58" t="s">
        <v>65</v>
      </c>
      <c r="C14" s="106">
        <v>11</v>
      </c>
      <c r="D14" s="444">
        <v>38143321.689990081</v>
      </c>
      <c r="E14" s="482">
        <v>12096191.348439906</v>
      </c>
      <c r="F14" s="482">
        <v>4011449.3759458102</v>
      </c>
      <c r="G14" s="482">
        <v>33617961.590264052</v>
      </c>
      <c r="H14" s="482">
        <v>54439559.990600072</v>
      </c>
      <c r="I14" s="482">
        <f>VLOOKUP(C14, '2021_Internal_ModelLink'!$A$3:$Z$1000, 14, 0)</f>
        <v>26799047.356759451</v>
      </c>
      <c r="J14" s="58"/>
      <c r="K14" s="58"/>
      <c r="L14" s="58"/>
      <c r="M14" s="58"/>
      <c r="N14" s="58"/>
      <c r="O14" s="58"/>
      <c r="P14" s="58"/>
      <c r="Q14" s="58"/>
      <c r="R14" s="227"/>
      <c r="S14" s="44"/>
      <c r="T14" s="44"/>
      <c r="U14" s="44"/>
      <c r="V14" s="44"/>
      <c r="W14" s="44"/>
      <c r="X14" s="44"/>
      <c r="Y14" s="44"/>
      <c r="Z14" s="44"/>
      <c r="AA14" s="44"/>
      <c r="AB14" s="44"/>
      <c r="AC14" s="44"/>
    </row>
    <row r="15" spans="1:29" s="405" customFormat="1">
      <c r="A15" s="857"/>
      <c r="B15" s="58" t="s">
        <v>66</v>
      </c>
      <c r="C15" s="106">
        <v>12</v>
      </c>
      <c r="D15" s="444">
        <v>31043917.99073258</v>
      </c>
      <c r="E15" s="482">
        <v>7509075.2939949445</v>
      </c>
      <c r="F15" s="482">
        <v>34955.128006145897</v>
      </c>
      <c r="G15" s="482">
        <v>30776343.717361189</v>
      </c>
      <c r="H15" s="482">
        <v>52760707.285274453</v>
      </c>
      <c r="I15" s="482">
        <f>VLOOKUP(C15, '2021_Internal_ModelLink'!$A$3:$Z$1000, 14, 0)</f>
        <v>18119908.611436103</v>
      </c>
      <c r="J15" s="58"/>
      <c r="K15" s="58"/>
      <c r="L15" s="58"/>
      <c r="M15" s="58"/>
      <c r="N15" s="58"/>
      <c r="O15" s="58"/>
      <c r="P15" s="58"/>
      <c r="Q15" s="58"/>
      <c r="R15" s="227"/>
      <c r="S15" s="44"/>
      <c r="T15" s="44"/>
      <c r="U15" s="44"/>
      <c r="V15" s="44"/>
      <c r="W15" s="44"/>
      <c r="X15" s="44"/>
      <c r="Y15" s="44"/>
      <c r="Z15" s="44"/>
      <c r="AA15" s="44"/>
      <c r="AB15" s="44"/>
      <c r="AC15" s="44"/>
    </row>
    <row r="16" spans="1:29" s="405" customFormat="1">
      <c r="A16" s="857"/>
      <c r="B16" s="58"/>
      <c r="C16" s="106"/>
      <c r="D16" s="57"/>
      <c r="E16" s="448"/>
      <c r="F16" s="448"/>
      <c r="G16" s="448"/>
      <c r="H16" s="448"/>
      <c r="I16" s="448"/>
      <c r="J16" s="58"/>
      <c r="K16" s="58"/>
      <c r="L16" s="58"/>
      <c r="M16" s="58"/>
      <c r="N16" s="58"/>
      <c r="O16" s="58"/>
      <c r="P16" s="58"/>
      <c r="Q16" s="58"/>
      <c r="R16" s="227"/>
      <c r="S16" s="44"/>
      <c r="T16" s="44"/>
      <c r="U16" s="44"/>
      <c r="V16" s="44"/>
      <c r="W16" s="44"/>
      <c r="X16" s="44"/>
      <c r="Y16" s="44"/>
      <c r="Z16" s="44"/>
      <c r="AA16" s="44"/>
      <c r="AB16" s="44"/>
      <c r="AC16" s="44"/>
    </row>
    <row r="17" spans="1:29" s="41" customFormat="1" ht="15.75">
      <c r="A17" s="49"/>
      <c r="B17" s="405"/>
      <c r="C17" s="405"/>
      <c r="D17" s="53"/>
      <c r="E17" s="405"/>
      <c r="F17" s="405"/>
      <c r="G17" s="405"/>
      <c r="H17" s="405"/>
      <c r="I17" s="405"/>
      <c r="J17" s="405"/>
      <c r="K17" s="405"/>
      <c r="L17" s="405"/>
      <c r="M17" s="405"/>
      <c r="N17" s="405"/>
      <c r="O17" s="405"/>
      <c r="P17" s="405"/>
      <c r="Q17" s="405"/>
      <c r="R17" s="46"/>
      <c r="S17" s="44"/>
      <c r="T17" s="44"/>
      <c r="U17" s="44"/>
      <c r="V17" s="44"/>
      <c r="W17" s="44"/>
      <c r="X17" s="44"/>
      <c r="Y17" s="44"/>
      <c r="Z17" s="44"/>
      <c r="AA17" s="44"/>
      <c r="AB17" s="44"/>
      <c r="AC17" s="44"/>
    </row>
    <row r="18" spans="1:29" s="41" customFormat="1" ht="45" customHeight="1">
      <c r="A18" s="856" t="s">
        <v>1565</v>
      </c>
      <c r="B18" s="578" t="s">
        <v>1566</v>
      </c>
      <c r="C18" s="578"/>
      <c r="D18" s="580"/>
      <c r="E18" s="578"/>
      <c r="F18" s="578"/>
      <c r="G18" s="578"/>
      <c r="H18" s="578"/>
      <c r="I18" s="578"/>
      <c r="J18" s="579"/>
      <c r="K18" s="579"/>
      <c r="L18" s="579"/>
      <c r="M18" s="579"/>
      <c r="N18" s="579"/>
      <c r="O18" s="579"/>
      <c r="P18" s="579"/>
      <c r="Q18" s="579"/>
      <c r="R18" s="229"/>
      <c r="S18" s="44"/>
      <c r="T18" s="44"/>
      <c r="U18" s="44"/>
      <c r="V18" s="44"/>
      <c r="W18" s="44"/>
      <c r="X18" s="44"/>
      <c r="Y18" s="44"/>
      <c r="Z18" s="44"/>
      <c r="AA18" s="44"/>
      <c r="AB18" s="44"/>
      <c r="AC18" s="44"/>
    </row>
    <row r="19" spans="1:29" s="41" customFormat="1">
      <c r="A19" s="857"/>
      <c r="B19" s="58" t="s">
        <v>71</v>
      </c>
      <c r="C19" s="106">
        <v>13</v>
      </c>
      <c r="D19" s="491">
        <v>711.64776805342569</v>
      </c>
      <c r="E19" s="163">
        <v>4285.691113087415</v>
      </c>
      <c r="F19" s="163">
        <v>4655.59873506039</v>
      </c>
      <c r="G19" s="163">
        <v>713.57076212154868</v>
      </c>
      <c r="H19" s="163">
        <v>57.253057897312331</v>
      </c>
      <c r="I19" s="163">
        <f>VLOOKUP(C19, '2021_Internal_ModelLink'!$A$3:$Z$1000, 14, 0)</f>
        <v>119.86782892385489</v>
      </c>
      <c r="J19" s="163"/>
      <c r="K19" s="163"/>
      <c r="L19" s="163"/>
      <c r="M19" s="163"/>
      <c r="N19" s="163"/>
      <c r="O19" s="163"/>
      <c r="P19" s="163"/>
      <c r="Q19" s="163"/>
      <c r="R19" s="858"/>
      <c r="S19" s="44"/>
      <c r="T19" s="44"/>
      <c r="U19" s="44"/>
      <c r="V19" s="44"/>
      <c r="W19" s="44"/>
      <c r="X19" s="44"/>
      <c r="Y19" s="44"/>
      <c r="Z19" s="44"/>
      <c r="AA19" s="44"/>
      <c r="AB19" s="44"/>
      <c r="AC19" s="44"/>
    </row>
    <row r="20" spans="1:29" s="405" customFormat="1">
      <c r="A20" s="857"/>
      <c r="B20" s="58" t="s">
        <v>72</v>
      </c>
      <c r="C20" s="106">
        <v>14</v>
      </c>
      <c r="D20" s="491">
        <v>493.13585898078156</v>
      </c>
      <c r="E20" s="163">
        <v>3682.9592725007815</v>
      </c>
      <c r="F20" s="163">
        <v>4344.5602905471906</v>
      </c>
      <c r="G20" s="163">
        <v>608.16359659272121</v>
      </c>
      <c r="H20" s="163">
        <v>45.854936276289742</v>
      </c>
      <c r="I20" s="163">
        <f>VLOOKUP(C20, '2021_Internal_ModelLink'!$A$3:$Z$1000, 14, 0)</f>
        <v>98.268089910008712</v>
      </c>
      <c r="J20" s="163"/>
      <c r="K20" s="163"/>
      <c r="L20" s="163"/>
      <c r="M20" s="163"/>
      <c r="N20" s="163"/>
      <c r="O20" s="163"/>
      <c r="P20" s="163"/>
      <c r="Q20" s="163"/>
      <c r="R20" s="858"/>
      <c r="S20" s="44"/>
      <c r="T20" s="44"/>
      <c r="U20" s="44"/>
      <c r="V20" s="44"/>
      <c r="W20" s="44"/>
      <c r="X20" s="44"/>
      <c r="Y20" s="44"/>
      <c r="Z20" s="44"/>
      <c r="AA20" s="44"/>
      <c r="AB20" s="44"/>
      <c r="AC20" s="44"/>
    </row>
    <row r="21" spans="1:29" s="405" customFormat="1">
      <c r="A21" s="857"/>
      <c r="B21" s="58" t="s">
        <v>73</v>
      </c>
      <c r="C21" s="106">
        <v>15</v>
      </c>
      <c r="D21" s="491">
        <v>3541580.2167316726</v>
      </c>
      <c r="E21" s="163">
        <v>30399380.744004786</v>
      </c>
      <c r="F21" s="163">
        <v>30697436.501324888</v>
      </c>
      <c r="G21" s="163">
        <v>5751271.3977047149</v>
      </c>
      <c r="H21" s="163">
        <v>413493.28720832663</v>
      </c>
      <c r="I21" s="163">
        <f>VLOOKUP(C21, '2021_Internal_ModelLink'!$A$3:$Z$1000, 14, 0)</f>
        <v>952500.30260660627</v>
      </c>
      <c r="J21" s="163"/>
      <c r="K21" s="163"/>
      <c r="L21" s="163"/>
      <c r="M21" s="163"/>
      <c r="N21" s="163"/>
      <c r="O21" s="163"/>
      <c r="P21" s="163"/>
      <c r="Q21" s="163"/>
      <c r="R21" s="858"/>
      <c r="S21" s="44"/>
      <c r="T21" s="44"/>
      <c r="U21" s="44"/>
      <c r="V21" s="44"/>
      <c r="W21" s="44"/>
      <c r="X21" s="44"/>
      <c r="Y21" s="44"/>
      <c r="Z21" s="44"/>
      <c r="AA21" s="44"/>
      <c r="AB21" s="44"/>
      <c r="AC21" s="44"/>
    </row>
    <row r="22" spans="1:29" s="405" customFormat="1">
      <c r="A22" s="857"/>
      <c r="B22" s="58" t="s">
        <v>74</v>
      </c>
      <c r="C22" s="106">
        <v>16</v>
      </c>
      <c r="D22" s="491">
        <v>2512664.7202694882</v>
      </c>
      <c r="E22" s="163">
        <v>25846856.266083285</v>
      </c>
      <c r="F22" s="163">
        <v>28907099.594247304</v>
      </c>
      <c r="G22" s="163">
        <v>5396092.1874105139</v>
      </c>
      <c r="H22" s="163">
        <v>328777.54607202363</v>
      </c>
      <c r="I22" s="163">
        <f>VLOOKUP(C22, '2021_Internal_ModelLink'!$A$3:$Z$1000, 14, 0)</f>
        <v>798826.68871966167</v>
      </c>
      <c r="J22" s="163"/>
      <c r="K22" s="163"/>
      <c r="L22" s="163"/>
      <c r="M22" s="163"/>
      <c r="N22" s="163"/>
      <c r="O22" s="163"/>
      <c r="P22" s="163"/>
      <c r="Q22" s="163"/>
      <c r="R22" s="858"/>
      <c r="S22" s="44"/>
      <c r="T22" s="44"/>
      <c r="U22" s="44"/>
      <c r="V22" s="44"/>
      <c r="W22" s="44"/>
      <c r="X22" s="44"/>
      <c r="Y22" s="44"/>
      <c r="Z22" s="44"/>
      <c r="AA22" s="44"/>
      <c r="AB22" s="44"/>
      <c r="AC22" s="44"/>
    </row>
    <row r="23" spans="1:29" s="405" customFormat="1">
      <c r="A23" s="857"/>
      <c r="B23" s="58" t="s">
        <v>75</v>
      </c>
      <c r="C23" s="106">
        <v>17</v>
      </c>
      <c r="D23" s="491">
        <v>-12861.305429689366</v>
      </c>
      <c r="E23" s="163">
        <v>-150539.52781050606</v>
      </c>
      <c r="F23" s="163">
        <v>-326056.87371524813</v>
      </c>
      <c r="G23" s="163">
        <v>-8589.6833227240641</v>
      </c>
      <c r="H23" s="163">
        <v>2444.8150845085443</v>
      </c>
      <c r="I23" s="163">
        <f>VLOOKUP(C23, '2021_Internal_ModelLink'!$A$3:$Z$1000, 14, 0)</f>
        <v>44926.468624972251</v>
      </c>
      <c r="J23" s="163"/>
      <c r="K23" s="163"/>
      <c r="L23" s="163"/>
      <c r="M23" s="163"/>
      <c r="N23" s="163"/>
      <c r="O23" s="163"/>
      <c r="P23" s="163"/>
      <c r="Q23" s="163"/>
      <c r="R23" s="858"/>
      <c r="S23" s="44"/>
      <c r="T23" s="44"/>
      <c r="U23" s="44"/>
      <c r="V23" s="44"/>
      <c r="W23" s="44"/>
      <c r="X23" s="44"/>
      <c r="Y23" s="44"/>
      <c r="Z23" s="44"/>
      <c r="AA23" s="44"/>
      <c r="AB23" s="44"/>
      <c r="AC23" s="44"/>
    </row>
    <row r="24" spans="1:29" s="41" customFormat="1" ht="15.75" customHeight="1">
      <c r="A24" s="857"/>
      <c r="B24" s="58" t="s">
        <v>76</v>
      </c>
      <c r="C24" s="106">
        <v>18</v>
      </c>
      <c r="D24" s="491">
        <v>-12501.249471554491</v>
      </c>
      <c r="E24" s="163">
        <v>-190556.01303688195</v>
      </c>
      <c r="F24" s="163">
        <v>-318889.49424054869</v>
      </c>
      <c r="G24" s="163">
        <v>-6611.3009034252136</v>
      </c>
      <c r="H24" s="163">
        <v>1643.2286886658653</v>
      </c>
      <c r="I24" s="163">
        <f>VLOOKUP(C24, '2021_Internal_ModelLink'!$A$3:$Z$1000, 14, 0)</f>
        <v>40823.678343138941</v>
      </c>
      <c r="J24" s="58"/>
      <c r="K24" s="58"/>
      <c r="L24" s="58"/>
      <c r="M24" s="58"/>
      <c r="N24" s="58"/>
      <c r="O24" s="58"/>
      <c r="P24" s="58"/>
      <c r="Q24" s="58"/>
      <c r="R24" s="858"/>
      <c r="S24" s="44"/>
      <c r="T24" s="44"/>
      <c r="U24" s="44"/>
      <c r="V24" s="44"/>
      <c r="W24" s="44"/>
      <c r="X24" s="44"/>
      <c r="Y24" s="44"/>
      <c r="Z24" s="44"/>
      <c r="AA24" s="44"/>
      <c r="AB24" s="44"/>
      <c r="AC24" s="44"/>
    </row>
    <row r="25" spans="1:29" s="405" customFormat="1" ht="15.75" customHeight="1">
      <c r="A25" s="857"/>
      <c r="B25" s="58" t="s">
        <v>77</v>
      </c>
      <c r="C25" s="106">
        <v>19</v>
      </c>
      <c r="D25" s="491">
        <v>7658.2336349462294</v>
      </c>
      <c r="E25" s="163">
        <v>49935.854901536833</v>
      </c>
      <c r="F25" s="163">
        <v>57204.262518091404</v>
      </c>
      <c r="G25" s="163">
        <v>4101.7857173698412</v>
      </c>
      <c r="H25" s="163">
        <v>289.1129345407785</v>
      </c>
      <c r="I25" s="163">
        <f>VLOOKUP(C25, '2021_Internal_ModelLink'!$A$3:$Z$1000, 14, 0)</f>
        <v>715.69793776193637</v>
      </c>
      <c r="J25" s="58"/>
      <c r="K25" s="58"/>
      <c r="L25" s="58"/>
      <c r="M25" s="58"/>
      <c r="N25" s="58"/>
      <c r="O25" s="58"/>
      <c r="P25" s="58"/>
      <c r="Q25" s="58"/>
      <c r="R25" s="858"/>
      <c r="S25" s="44"/>
      <c r="T25" s="44"/>
      <c r="U25" s="44"/>
      <c r="V25" s="44"/>
      <c r="W25" s="44"/>
      <c r="X25" s="44"/>
      <c r="Y25" s="44"/>
      <c r="Z25" s="44"/>
      <c r="AA25" s="44"/>
      <c r="AB25" s="44"/>
      <c r="AC25" s="44"/>
    </row>
    <row r="26" spans="1:29" s="405" customFormat="1" ht="15.75" customHeight="1">
      <c r="A26" s="857"/>
      <c r="B26" s="58" t="s">
        <v>78</v>
      </c>
      <c r="C26" s="106">
        <v>20</v>
      </c>
      <c r="D26" s="491">
        <v>5255.0309510069064</v>
      </c>
      <c r="E26" s="163">
        <v>43831.899768361509</v>
      </c>
      <c r="F26" s="163">
        <v>54188.848009123576</v>
      </c>
      <c r="G26" s="163">
        <v>3454.0071397847041</v>
      </c>
      <c r="H26" s="163">
        <v>232.20193826509961</v>
      </c>
      <c r="I26" s="163">
        <f>VLOOKUP(C26, '2021_Internal_ModelLink'!$A$3:$Z$1000, 14, 0)</f>
        <v>589.1050072071248</v>
      </c>
      <c r="J26" s="58"/>
      <c r="K26" s="58"/>
      <c r="L26" s="58"/>
      <c r="M26" s="58"/>
      <c r="N26" s="58"/>
      <c r="O26" s="58"/>
      <c r="P26" s="58"/>
      <c r="Q26" s="58"/>
      <c r="R26" s="858"/>
      <c r="S26" s="44"/>
      <c r="T26" s="44"/>
      <c r="U26" s="44"/>
      <c r="V26" s="44"/>
      <c r="W26" s="44"/>
      <c r="X26" s="44"/>
      <c r="Y26" s="44"/>
      <c r="Z26" s="44"/>
      <c r="AA26" s="44"/>
      <c r="AB26" s="44"/>
      <c r="AC26" s="44"/>
    </row>
    <row r="27" spans="1:29" s="405" customFormat="1" ht="15.75" customHeight="1">
      <c r="A27" s="857"/>
      <c r="B27" s="58" t="s">
        <v>79</v>
      </c>
      <c r="C27" s="106">
        <v>21</v>
      </c>
      <c r="D27" s="491">
        <v>38821531.701111235</v>
      </c>
      <c r="E27" s="163">
        <v>379473611.89551783</v>
      </c>
      <c r="F27" s="163">
        <v>421316669.03513592</v>
      </c>
      <c r="G27" s="163">
        <v>20787082.358309519</v>
      </c>
      <c r="H27" s="163">
        <v>2099626.6388987461</v>
      </c>
      <c r="I27" s="163">
        <f>VLOOKUP(C27, '2021_Internal_ModelLink'!$A$3:$Z$1000, 14, 0)</f>
        <v>5055362.0642964551</v>
      </c>
      <c r="J27" s="58"/>
      <c r="K27" s="58"/>
      <c r="L27" s="58"/>
      <c r="M27" s="58"/>
      <c r="N27" s="58"/>
      <c r="O27" s="58"/>
      <c r="P27" s="58"/>
      <c r="Q27" s="58"/>
      <c r="R27" s="858"/>
      <c r="S27" s="44"/>
      <c r="T27" s="44"/>
      <c r="U27" s="44"/>
      <c r="V27" s="44"/>
      <c r="W27" s="44"/>
      <c r="X27" s="44"/>
      <c r="Y27" s="44"/>
      <c r="Z27" s="44"/>
      <c r="AA27" s="44"/>
      <c r="AB27" s="44"/>
      <c r="AC27" s="44"/>
    </row>
    <row r="28" spans="1:29" s="405" customFormat="1" ht="15.75" customHeight="1">
      <c r="A28" s="857"/>
      <c r="B28" s="58" t="s">
        <v>80</v>
      </c>
      <c r="C28" s="106">
        <v>22</v>
      </c>
      <c r="D28" s="491">
        <v>27125921.26079388</v>
      </c>
      <c r="E28" s="163">
        <v>331820857.0606364</v>
      </c>
      <c r="F28" s="163">
        <v>400887693.57401937</v>
      </c>
      <c r="G28" s="163">
        <v>18073823.016866051</v>
      </c>
      <c r="H28" s="163">
        <v>1675038.6580146365</v>
      </c>
      <c r="I28" s="163">
        <f>VLOOKUP(C28, '2021_Internal_ModelLink'!$A$3:$Z$1000, 14, 0)</f>
        <v>4245994.4595415313</v>
      </c>
      <c r="J28" s="58"/>
      <c r="K28" s="58"/>
      <c r="L28" s="58"/>
      <c r="M28" s="58"/>
      <c r="N28" s="58"/>
      <c r="O28" s="58"/>
      <c r="P28" s="58"/>
      <c r="Q28" s="58"/>
      <c r="R28" s="858"/>
      <c r="S28" s="44"/>
      <c r="T28" s="44"/>
      <c r="U28" s="44"/>
      <c r="V28" s="44"/>
      <c r="W28" s="44"/>
      <c r="X28" s="44"/>
      <c r="Y28" s="44"/>
      <c r="Z28" s="44"/>
      <c r="AA28" s="44"/>
      <c r="AB28" s="44"/>
      <c r="AC28" s="44"/>
    </row>
    <row r="29" spans="1:29" s="405" customFormat="1" ht="15.75" customHeight="1">
      <c r="A29" s="857"/>
      <c r="B29" s="58" t="s">
        <v>81</v>
      </c>
      <c r="C29" s="106">
        <v>23</v>
      </c>
      <c r="D29" s="491">
        <v>-182463.67101869613</v>
      </c>
      <c r="E29" s="163">
        <v>-2209074.9557754756</v>
      </c>
      <c r="F29" s="163">
        <v>-5059196.4952959334</v>
      </c>
      <c r="G29" s="163">
        <v>-21496.601848040758</v>
      </c>
      <c r="H29" s="163">
        <v>12571.194248503609</v>
      </c>
      <c r="I29" s="163">
        <f>VLOOKUP(C29, '2021_Internal_ModelLink'!$A$3:$Z$1000, 14, 0)</f>
        <v>241039.21882535325</v>
      </c>
      <c r="J29" s="58"/>
      <c r="K29" s="58"/>
      <c r="L29" s="58"/>
      <c r="M29" s="58"/>
      <c r="N29" s="58"/>
      <c r="O29" s="58"/>
      <c r="P29" s="58"/>
      <c r="Q29" s="58"/>
      <c r="R29" s="858"/>
      <c r="S29" s="44"/>
      <c r="T29" s="44"/>
      <c r="U29" s="44"/>
      <c r="V29" s="44"/>
      <c r="W29" s="44"/>
      <c r="X29" s="44"/>
      <c r="Y29" s="44"/>
      <c r="Z29" s="44"/>
      <c r="AA29" s="44"/>
      <c r="AB29" s="44"/>
      <c r="AC29" s="44"/>
    </row>
    <row r="30" spans="1:29" s="405" customFormat="1" ht="15.75" customHeight="1">
      <c r="A30" s="857"/>
      <c r="B30" s="58" t="s">
        <v>82</v>
      </c>
      <c r="C30" s="106">
        <v>24</v>
      </c>
      <c r="D30" s="491">
        <v>-155482.52311888602</v>
      </c>
      <c r="E30" s="163">
        <v>-2829173.7813169812</v>
      </c>
      <c r="F30" s="163">
        <v>-4936595.3158479817</v>
      </c>
      <c r="G30" s="163">
        <v>-22659.07743245137</v>
      </c>
      <c r="H30" s="163">
        <v>8115.8526963889335</v>
      </c>
      <c r="I30" s="163">
        <f>VLOOKUP(C30, '2021_Internal_ModelLink'!$A$3:$Z$1000, 14, 0)</f>
        <v>218479.78036953663</v>
      </c>
      <c r="J30" s="58"/>
      <c r="K30" s="58"/>
      <c r="L30" s="58"/>
      <c r="M30" s="58"/>
      <c r="N30" s="58"/>
      <c r="O30" s="58"/>
      <c r="P30" s="58"/>
      <c r="Q30" s="58"/>
      <c r="R30" s="858"/>
      <c r="S30" s="44"/>
      <c r="T30" s="44"/>
      <c r="U30" s="44"/>
      <c r="V30" s="44"/>
      <c r="W30" s="44"/>
      <c r="X30" s="44"/>
      <c r="Y30" s="44"/>
      <c r="Z30" s="44"/>
      <c r="AA30" s="44"/>
      <c r="AB30" s="44"/>
      <c r="AC30" s="44"/>
    </row>
    <row r="31" spans="1:29" s="41" customFormat="1" ht="15.75" customHeight="1">
      <c r="A31" s="857"/>
      <c r="B31" s="58"/>
      <c r="C31" s="106"/>
      <c r="D31" s="445"/>
      <c r="E31" s="163"/>
      <c r="F31" s="163"/>
      <c r="G31" s="163"/>
      <c r="H31" s="163"/>
      <c r="I31" s="163"/>
      <c r="J31" s="58"/>
      <c r="K31" s="58"/>
      <c r="L31" s="58"/>
      <c r="M31" s="58"/>
      <c r="N31" s="58"/>
      <c r="O31" s="58"/>
      <c r="P31" s="58"/>
      <c r="Q31" s="58"/>
      <c r="R31" s="858"/>
      <c r="S31" s="44"/>
      <c r="T31" s="44"/>
      <c r="U31" s="44"/>
      <c r="V31" s="44"/>
      <c r="W31" s="44"/>
      <c r="X31" s="44"/>
      <c r="Y31" s="44"/>
      <c r="Z31" s="44"/>
      <c r="AA31" s="44"/>
      <c r="AB31" s="44"/>
      <c r="AC31" s="44"/>
    </row>
    <row r="32" spans="1:29" s="41" customFormat="1" ht="15.75" customHeight="1">
      <c r="A32" s="859"/>
      <c r="B32" s="47"/>
      <c r="C32" s="48"/>
      <c r="D32" s="446"/>
      <c r="E32" s="50"/>
      <c r="F32" s="50"/>
      <c r="G32" s="50"/>
      <c r="H32" s="50"/>
      <c r="I32" s="50"/>
      <c r="J32" s="47"/>
      <c r="K32" s="47"/>
      <c r="L32" s="47"/>
      <c r="M32" s="47"/>
      <c r="N32" s="47"/>
      <c r="O32" s="47"/>
      <c r="P32" s="47"/>
      <c r="Q32" s="47"/>
      <c r="R32" s="228"/>
      <c r="S32" s="44"/>
      <c r="T32" s="44"/>
      <c r="U32" s="44"/>
      <c r="V32" s="44"/>
      <c r="W32" s="44"/>
      <c r="X32" s="44"/>
      <c r="Y32" s="44"/>
      <c r="Z32" s="44"/>
      <c r="AA32" s="44"/>
      <c r="AB32" s="44"/>
      <c r="AC32" s="44"/>
    </row>
    <row r="33" spans="1:29" s="41" customFormat="1" ht="15.75">
      <c r="A33" s="49"/>
      <c r="B33" s="405"/>
      <c r="C33" s="45"/>
      <c r="D33" s="53"/>
      <c r="E33" s="405"/>
      <c r="F33" s="405"/>
      <c r="G33" s="405"/>
      <c r="H33" s="405"/>
      <c r="I33" s="405"/>
      <c r="J33" s="405"/>
      <c r="K33" s="405"/>
      <c r="L33" s="405"/>
      <c r="M33" s="405"/>
      <c r="N33" s="405"/>
      <c r="O33" s="405"/>
      <c r="P33" s="405"/>
      <c r="Q33" s="405"/>
      <c r="R33" s="46"/>
      <c r="S33" s="44"/>
      <c r="T33" s="44"/>
      <c r="U33" s="44"/>
      <c r="V33" s="44"/>
      <c r="W33" s="44"/>
      <c r="X33" s="44"/>
      <c r="Y33" s="44"/>
      <c r="Z33" s="44"/>
      <c r="AA33" s="44"/>
      <c r="AB33" s="44"/>
      <c r="AC33" s="44"/>
    </row>
    <row r="34" spans="1:29" s="41" customFormat="1" ht="45" customHeight="1">
      <c r="A34" s="856" t="s">
        <v>85</v>
      </c>
      <c r="B34" s="578" t="s">
        <v>1567</v>
      </c>
      <c r="C34" s="578"/>
      <c r="D34" s="580"/>
      <c r="E34" s="578"/>
      <c r="F34" s="578"/>
      <c r="G34" s="578"/>
      <c r="H34" s="578"/>
      <c r="I34" s="578"/>
      <c r="J34" s="579"/>
      <c r="K34" s="579"/>
      <c r="L34" s="579"/>
      <c r="M34" s="579"/>
      <c r="N34" s="579"/>
      <c r="O34" s="579"/>
      <c r="P34" s="579"/>
      <c r="Q34" s="579"/>
      <c r="R34" s="229"/>
      <c r="S34" s="44"/>
      <c r="T34" s="44"/>
      <c r="U34" s="44"/>
      <c r="V34" s="44"/>
      <c r="W34" s="44"/>
      <c r="X34" s="44"/>
      <c r="Y34" s="44"/>
      <c r="Z34" s="44"/>
      <c r="AA34" s="44"/>
      <c r="AB34" s="44"/>
      <c r="AC34" s="44"/>
    </row>
    <row r="35" spans="1:29" s="41" customFormat="1" ht="15.6" customHeight="1">
      <c r="A35" s="857"/>
      <c r="B35" s="58" t="s">
        <v>87</v>
      </c>
      <c r="C35" s="106">
        <v>25</v>
      </c>
      <c r="D35" s="492">
        <v>787.5783519236569</v>
      </c>
      <c r="E35" s="163">
        <v>1588.4303456033253</v>
      </c>
      <c r="F35" s="163">
        <v>203.68568231666202</v>
      </c>
      <c r="G35" s="163">
        <v>214.51003992111239</v>
      </c>
      <c r="H35" s="163">
        <v>274.32763831806716</v>
      </c>
      <c r="I35" s="163">
        <f>VLOOKUP(C35, '2021_Internal_ModelLink'!$A$3:$Z$1000, 14, 0)</f>
        <v>504.12470657915094</v>
      </c>
      <c r="J35" s="163"/>
      <c r="K35" s="163"/>
      <c r="L35" s="163"/>
      <c r="M35" s="163"/>
      <c r="N35" s="163"/>
      <c r="O35" s="163"/>
      <c r="P35" s="163"/>
      <c r="Q35" s="163"/>
      <c r="R35" s="858"/>
      <c r="S35" s="44"/>
      <c r="T35" s="44"/>
      <c r="U35" s="44"/>
      <c r="V35" s="44"/>
      <c r="W35" s="44"/>
      <c r="X35" s="44"/>
      <c r="Y35" s="44"/>
      <c r="Z35" s="44"/>
      <c r="AA35" s="44"/>
      <c r="AB35" s="44"/>
      <c r="AC35" s="44"/>
    </row>
    <row r="36" spans="1:29" s="405" customFormat="1" ht="15.6" customHeight="1">
      <c r="A36" s="857"/>
      <c r="B36" s="58" t="s">
        <v>88</v>
      </c>
      <c r="C36" s="106">
        <v>26</v>
      </c>
      <c r="D36" s="492">
        <v>542.6586265746264</v>
      </c>
      <c r="E36" s="163">
        <v>1405.8268413474159</v>
      </c>
      <c r="F36" s="163">
        <v>183.31711894124086</v>
      </c>
      <c r="G36" s="163">
        <v>193.05904104331938</v>
      </c>
      <c r="H36" s="163">
        <v>246.89488102674073</v>
      </c>
      <c r="I36" s="163">
        <f>VLOOKUP(C36, '2021_Internal_ModelLink'!$A$3:$Z$1000, 14, 0)</f>
        <v>453.71224794050477</v>
      </c>
      <c r="J36" s="163"/>
      <c r="K36" s="163"/>
      <c r="L36" s="163"/>
      <c r="M36" s="163"/>
      <c r="N36" s="163"/>
      <c r="O36" s="163"/>
      <c r="P36" s="163"/>
      <c r="Q36" s="163"/>
      <c r="R36" s="858"/>
      <c r="S36" s="44"/>
      <c r="T36" s="44"/>
      <c r="U36" s="44"/>
      <c r="V36" s="44"/>
      <c r="W36" s="44"/>
      <c r="X36" s="44"/>
      <c r="Y36" s="44"/>
      <c r="Z36" s="44"/>
      <c r="AA36" s="44"/>
      <c r="AB36" s="44"/>
      <c r="AC36" s="44"/>
    </row>
    <row r="37" spans="1:29" s="405" customFormat="1" ht="15.6" customHeight="1">
      <c r="A37" s="857"/>
      <c r="B37" s="58" t="s">
        <v>89</v>
      </c>
      <c r="C37" s="106">
        <v>27</v>
      </c>
      <c r="D37" s="492">
        <v>4154146.5130920759</v>
      </c>
      <c r="E37" s="163">
        <v>10289594.148304887</v>
      </c>
      <c r="F37" s="163">
        <v>869801.07254393562</v>
      </c>
      <c r="G37" s="163">
        <v>768861.38582170778</v>
      </c>
      <c r="H37" s="163">
        <v>803198.7375796258</v>
      </c>
      <c r="I37" s="163">
        <f>VLOOKUP(C37, '2021_Internal_ModelLink'!$A$3:$Z$1000, 14, 0)</f>
        <v>1894081.8274459834</v>
      </c>
      <c r="J37" s="163"/>
      <c r="K37" s="163"/>
      <c r="L37" s="163"/>
      <c r="M37" s="163"/>
      <c r="N37" s="163"/>
      <c r="O37" s="163"/>
      <c r="P37" s="163"/>
      <c r="Q37" s="163"/>
      <c r="R37" s="858"/>
      <c r="S37" s="44"/>
      <c r="T37" s="44"/>
      <c r="U37" s="44"/>
      <c r="V37" s="44"/>
      <c r="W37" s="44"/>
      <c r="X37" s="44"/>
      <c r="Y37" s="44"/>
      <c r="Z37" s="44"/>
      <c r="AA37" s="44"/>
      <c r="AB37" s="44"/>
      <c r="AC37" s="44"/>
    </row>
    <row r="38" spans="1:29" s="405" customFormat="1" ht="15.6" customHeight="1">
      <c r="A38" s="857"/>
      <c r="B38" s="58" t="s">
        <v>57</v>
      </c>
      <c r="C38" s="106">
        <v>28</v>
      </c>
      <c r="D38" s="492">
        <v>2906226.2701966031</v>
      </c>
      <c r="E38" s="163">
        <v>9220973.1133457366</v>
      </c>
      <c r="F38" s="163">
        <v>782820.98602721537</v>
      </c>
      <c r="G38" s="163">
        <v>691975.26557062077</v>
      </c>
      <c r="H38" s="163">
        <v>722878.88297141332</v>
      </c>
      <c r="I38" s="163">
        <f>VLOOKUP(C38, '2021_Internal_ModelLink'!$A$3:$Z$1000, 14, 0)</f>
        <v>1706087.5671114337</v>
      </c>
      <c r="J38" s="163"/>
      <c r="K38" s="163"/>
      <c r="L38" s="163"/>
      <c r="M38" s="163"/>
      <c r="N38" s="163"/>
      <c r="O38" s="163"/>
      <c r="P38" s="163"/>
      <c r="Q38" s="163"/>
      <c r="R38" s="858"/>
      <c r="S38" s="44"/>
      <c r="T38" s="44"/>
      <c r="U38" s="44"/>
      <c r="V38" s="44"/>
      <c r="W38" s="44"/>
      <c r="X38" s="44"/>
      <c r="Y38" s="44"/>
      <c r="Z38" s="44"/>
      <c r="AA38" s="44"/>
      <c r="AB38" s="44"/>
      <c r="AC38" s="44"/>
    </row>
    <row r="39" spans="1:29" s="405" customFormat="1" ht="15.6" customHeight="1">
      <c r="A39" s="857"/>
      <c r="B39" s="58" t="s">
        <v>58</v>
      </c>
      <c r="C39" s="106">
        <v>29</v>
      </c>
      <c r="D39" s="492">
        <v>-16744.569711076456</v>
      </c>
      <c r="E39" s="163">
        <v>-110984.98251064183</v>
      </c>
      <c r="F39" s="163">
        <v>-524.44432420719932</v>
      </c>
      <c r="G39" s="163">
        <v>-1506.3048092467031</v>
      </c>
      <c r="H39" s="163">
        <v>6013.9287557817761</v>
      </c>
      <c r="I39" s="163">
        <f>VLOOKUP(C39, '2021_Internal_ModelLink'!$A$3:$Z$1000, 14, 0)</f>
        <v>316804.82786543982</v>
      </c>
      <c r="J39" s="163"/>
      <c r="K39" s="163"/>
      <c r="L39" s="163"/>
      <c r="M39" s="163"/>
      <c r="N39" s="163"/>
      <c r="O39" s="163"/>
      <c r="P39" s="163"/>
      <c r="Q39" s="163"/>
      <c r="R39" s="858"/>
      <c r="S39" s="44"/>
      <c r="T39" s="44"/>
      <c r="U39" s="44"/>
      <c r="V39" s="44"/>
      <c r="W39" s="44"/>
      <c r="X39" s="44"/>
      <c r="Y39" s="44"/>
      <c r="Z39" s="44"/>
      <c r="AA39" s="44"/>
      <c r="AB39" s="44"/>
      <c r="AC39" s="44"/>
    </row>
    <row r="40" spans="1:29" s="405" customFormat="1" ht="15.6" customHeight="1">
      <c r="A40" s="857"/>
      <c r="B40" s="58" t="s">
        <v>60</v>
      </c>
      <c r="C40" s="106">
        <v>30</v>
      </c>
      <c r="D40" s="492">
        <v>-15105.782309444616</v>
      </c>
      <c r="E40" s="163">
        <v>-104644.40102857532</v>
      </c>
      <c r="F40" s="163">
        <v>-471.99990429023001</v>
      </c>
      <c r="G40" s="163">
        <v>-1355.6743642351378</v>
      </c>
      <c r="H40" s="163">
        <v>5412.5360235868357</v>
      </c>
      <c r="I40" s="163">
        <f>VLOOKUP(C40, '2021_Internal_ModelLink'!$A$3:$Z$1000, 14, 0)</f>
        <v>285159.16539891221</v>
      </c>
      <c r="J40" s="163"/>
      <c r="K40" s="163"/>
      <c r="L40" s="163"/>
      <c r="M40" s="163"/>
      <c r="N40" s="163"/>
      <c r="O40" s="163"/>
      <c r="P40" s="163"/>
      <c r="Q40" s="163"/>
      <c r="R40" s="858"/>
      <c r="S40" s="44"/>
      <c r="T40" s="44"/>
      <c r="U40" s="44"/>
      <c r="V40" s="44"/>
      <c r="W40" s="44"/>
      <c r="X40" s="44"/>
      <c r="Y40" s="44"/>
      <c r="Z40" s="44"/>
      <c r="AA40" s="44"/>
      <c r="AB40" s="44"/>
      <c r="AC40" s="44"/>
    </row>
    <row r="41" spans="1:29" s="405" customFormat="1" ht="15.6" customHeight="1">
      <c r="A41" s="857"/>
      <c r="B41" s="58" t="s">
        <v>61</v>
      </c>
      <c r="C41" s="106">
        <v>31</v>
      </c>
      <c r="D41" s="492">
        <v>8400.9467557914049</v>
      </c>
      <c r="E41" s="163">
        <v>18147.892622313058</v>
      </c>
      <c r="F41" s="163">
        <v>1123.4651062340597</v>
      </c>
      <c r="G41" s="163">
        <v>1142.0903837244618</v>
      </c>
      <c r="H41" s="163">
        <v>1110.0082738198946</v>
      </c>
      <c r="I41" s="163">
        <f>VLOOKUP(C41, '2021_Internal_ModelLink'!$A$3:$Z$1000, 14, 0)</f>
        <v>3358.5738937092729</v>
      </c>
      <c r="J41" s="163"/>
      <c r="K41" s="163"/>
      <c r="L41" s="163"/>
      <c r="M41" s="163"/>
      <c r="N41" s="163"/>
      <c r="O41" s="163"/>
      <c r="P41" s="163"/>
      <c r="Q41" s="163"/>
      <c r="R41" s="858"/>
      <c r="S41" s="44"/>
      <c r="T41" s="44"/>
      <c r="U41" s="44"/>
      <c r="V41" s="44"/>
      <c r="W41" s="44"/>
      <c r="X41" s="44"/>
      <c r="Y41" s="44"/>
      <c r="Z41" s="44"/>
      <c r="AA41" s="44"/>
      <c r="AB41" s="44"/>
      <c r="AC41" s="44"/>
    </row>
    <row r="42" spans="1:29" s="405" customFormat="1" ht="15.6" customHeight="1">
      <c r="A42" s="857"/>
      <c r="B42" s="58" t="s">
        <v>62</v>
      </c>
      <c r="C42" s="106">
        <v>32</v>
      </c>
      <c r="D42" s="492">
        <v>5711.3254016515839</v>
      </c>
      <c r="E42" s="163">
        <v>16486.053892001019</v>
      </c>
      <c r="F42" s="163">
        <v>1011.1186223961486</v>
      </c>
      <c r="G42" s="163">
        <v>1027.8813725815721</v>
      </c>
      <c r="H42" s="163">
        <v>999.00747290256629</v>
      </c>
      <c r="I42" s="163">
        <f>VLOOKUP(C42, '2021_Internal_ModelLink'!$A$3:$Z$1000, 14, 0)</f>
        <v>3022.716584412984</v>
      </c>
      <c r="J42" s="163"/>
      <c r="K42" s="163"/>
      <c r="L42" s="163"/>
      <c r="M42" s="163"/>
      <c r="N42" s="163"/>
      <c r="O42" s="163"/>
      <c r="P42" s="163"/>
      <c r="Q42" s="163"/>
      <c r="R42" s="858"/>
      <c r="S42" s="44"/>
      <c r="T42" s="44"/>
      <c r="U42" s="44"/>
      <c r="V42" s="44"/>
      <c r="W42" s="44"/>
      <c r="X42" s="44"/>
      <c r="Y42" s="44"/>
      <c r="Z42" s="44"/>
      <c r="AA42" s="44"/>
      <c r="AB42" s="44"/>
      <c r="AC42" s="44"/>
    </row>
    <row r="43" spans="1:29" s="405" customFormat="1" ht="15.6" customHeight="1">
      <c r="A43" s="857"/>
      <c r="B43" s="58" t="s">
        <v>63</v>
      </c>
      <c r="C43" s="106">
        <v>33</v>
      </c>
      <c r="D43" s="492">
        <v>45824586.977097183</v>
      </c>
      <c r="E43" s="163">
        <v>133922082.97886318</v>
      </c>
      <c r="F43" s="163">
        <v>4982089.2948363777</v>
      </c>
      <c r="G43" s="163">
        <v>4241739.1991328923</v>
      </c>
      <c r="H43" s="163">
        <v>4092674.0239007822</v>
      </c>
      <c r="I43" s="163">
        <f>VLOOKUP(C43, '2021_Internal_ModelLink'!$A$3:$Z$1000, 14, 0)</f>
        <v>11163490.502552707</v>
      </c>
      <c r="J43" s="163"/>
      <c r="K43" s="163"/>
      <c r="L43" s="163"/>
      <c r="M43" s="163"/>
      <c r="N43" s="163"/>
      <c r="O43" s="163"/>
      <c r="P43" s="163"/>
      <c r="Q43" s="163"/>
      <c r="R43" s="858"/>
      <c r="S43" s="44"/>
      <c r="T43" s="44"/>
      <c r="U43" s="44"/>
      <c r="V43" s="44"/>
      <c r="W43" s="44"/>
      <c r="X43" s="44"/>
      <c r="Y43" s="44"/>
      <c r="Z43" s="44"/>
      <c r="AA43" s="44"/>
      <c r="AB43" s="44"/>
      <c r="AC43" s="44"/>
    </row>
    <row r="44" spans="1:29" s="405" customFormat="1" ht="15.6" customHeight="1">
      <c r="A44" s="857"/>
      <c r="B44" s="58" t="s">
        <v>64</v>
      </c>
      <c r="C44" s="106">
        <v>34</v>
      </c>
      <c r="D44" s="492">
        <v>31600403.454184487</v>
      </c>
      <c r="E44" s="163">
        <v>122257999.19741485</v>
      </c>
      <c r="F44" s="163">
        <v>4483880.4841350066</v>
      </c>
      <c r="G44" s="163">
        <v>3817565.380350546</v>
      </c>
      <c r="H44" s="163">
        <v>3683406.7190876557</v>
      </c>
      <c r="I44" s="163">
        <f>VLOOKUP(C44, '2021_Internal_ModelLink'!$A$3:$Z$1000, 14, 0)</f>
        <v>10060008.001984902</v>
      </c>
      <c r="J44" s="163"/>
      <c r="K44" s="163"/>
      <c r="L44" s="163"/>
      <c r="M44" s="163"/>
      <c r="N44" s="163"/>
      <c r="O44" s="163"/>
      <c r="P44" s="163"/>
      <c r="Q44" s="163"/>
      <c r="R44" s="858"/>
      <c r="S44" s="44"/>
      <c r="T44" s="44"/>
      <c r="U44" s="44"/>
      <c r="V44" s="44"/>
      <c r="W44" s="44"/>
      <c r="X44" s="44"/>
      <c r="Y44" s="44"/>
      <c r="Z44" s="44"/>
      <c r="AA44" s="44"/>
      <c r="AB44" s="44"/>
      <c r="AC44" s="44"/>
    </row>
    <row r="45" spans="1:29" s="405" customFormat="1" ht="15.6" customHeight="1">
      <c r="A45" s="857"/>
      <c r="B45" s="58" t="s">
        <v>65</v>
      </c>
      <c r="C45" s="106">
        <v>35</v>
      </c>
      <c r="D45" s="492">
        <v>-156970.38357559391</v>
      </c>
      <c r="E45" s="163">
        <v>-1677049.759178228</v>
      </c>
      <c r="F45" s="163">
        <v>-13188.591060963503</v>
      </c>
      <c r="G45" s="163">
        <v>9607.369357042222</v>
      </c>
      <c r="H45" s="163">
        <v>37061.967562241553</v>
      </c>
      <c r="I45" s="163">
        <f>VLOOKUP(C45, '2021_Internal_ModelLink'!$A$3:$Z$1000, 14, 0)</f>
        <v>1668284.4438924666</v>
      </c>
      <c r="J45" s="163"/>
      <c r="K45" s="163"/>
      <c r="L45" s="163"/>
      <c r="M45" s="163"/>
      <c r="N45" s="163"/>
      <c r="O45" s="163"/>
      <c r="P45" s="163"/>
      <c r="Q45" s="163"/>
      <c r="R45" s="858"/>
      <c r="S45" s="44"/>
      <c r="T45" s="44"/>
      <c r="U45" s="44"/>
      <c r="V45" s="44"/>
      <c r="W45" s="44"/>
      <c r="X45" s="44"/>
      <c r="Y45" s="44"/>
      <c r="Z45" s="44"/>
      <c r="AA45" s="44"/>
      <c r="AB45" s="44"/>
      <c r="AC45" s="44"/>
    </row>
    <row r="46" spans="1:29" s="405" customFormat="1" ht="15.6" customHeight="1">
      <c r="A46" s="857"/>
      <c r="B46" s="58" t="s">
        <v>66</v>
      </c>
      <c r="C46" s="106">
        <v>36</v>
      </c>
      <c r="D46" s="492">
        <v>-140163.27495328779</v>
      </c>
      <c r="E46" s="163">
        <v>-1581163.2365073944</v>
      </c>
      <c r="F46" s="163">
        <v>-11869.732269307806</v>
      </c>
      <c r="G46" s="163">
        <v>8646.6326503955333</v>
      </c>
      <c r="H46" s="163">
        <v>33355.771689643567</v>
      </c>
      <c r="I46" s="163">
        <f>VLOOKUP(C46, '2021_Internal_ModelLink'!$A$3:$Z$1000, 14, 0)</f>
        <v>1501772.8354693796</v>
      </c>
      <c r="J46" s="163"/>
      <c r="K46" s="163"/>
      <c r="L46" s="163"/>
      <c r="M46" s="163"/>
      <c r="N46" s="163"/>
      <c r="O46" s="163"/>
      <c r="P46" s="163"/>
      <c r="Q46" s="163"/>
      <c r="R46" s="858"/>
      <c r="S46" s="44"/>
      <c r="T46" s="44"/>
      <c r="U46" s="44"/>
      <c r="V46" s="44"/>
      <c r="W46" s="44"/>
      <c r="X46" s="44"/>
      <c r="Y46" s="44"/>
      <c r="Z46" s="44"/>
      <c r="AA46" s="44"/>
      <c r="AB46" s="44"/>
      <c r="AC46" s="44"/>
    </row>
    <row r="47" spans="1:29" s="41" customFormat="1" ht="15.6" customHeight="1">
      <c r="A47" s="859"/>
      <c r="B47" s="47"/>
      <c r="C47" s="48"/>
      <c r="D47" s="50"/>
      <c r="E47" s="50"/>
      <c r="F47" s="50"/>
      <c r="G47" s="50"/>
      <c r="H47" s="50"/>
      <c r="I47" s="50"/>
      <c r="J47" s="47"/>
      <c r="K47" s="47"/>
      <c r="L47" s="47"/>
      <c r="M47" s="47"/>
      <c r="N47" s="47"/>
      <c r="O47" s="47"/>
      <c r="P47" s="47"/>
      <c r="Q47" s="47"/>
      <c r="R47" s="228"/>
      <c r="S47" s="44"/>
      <c r="T47" s="44"/>
      <c r="U47" s="44"/>
      <c r="V47" s="44"/>
      <c r="W47" s="44"/>
      <c r="X47" s="44"/>
      <c r="Y47" s="44"/>
      <c r="Z47" s="44"/>
      <c r="AA47" s="44"/>
      <c r="AB47" s="44"/>
      <c r="AC47" s="44"/>
    </row>
    <row r="48" spans="1:29" s="41" customFormat="1" ht="15.75">
      <c r="A48" s="49"/>
      <c r="B48" s="42"/>
      <c r="C48" s="45"/>
      <c r="D48" s="405"/>
      <c r="E48" s="405"/>
      <c r="F48" s="405"/>
      <c r="G48" s="405"/>
      <c r="H48" s="405"/>
      <c r="I48" s="405"/>
      <c r="J48" s="405"/>
      <c r="K48" s="405"/>
      <c r="L48" s="405"/>
      <c r="M48" s="405"/>
      <c r="N48" s="405"/>
      <c r="O48" s="405"/>
      <c r="P48" s="405"/>
      <c r="Q48" s="405"/>
      <c r="R48" s="46"/>
      <c r="S48" s="44"/>
      <c r="T48" s="44"/>
      <c r="U48" s="44"/>
      <c r="V48" s="44"/>
      <c r="W48" s="44"/>
      <c r="X48" s="44"/>
      <c r="Y48" s="44"/>
      <c r="Z48" s="44"/>
      <c r="AA48" s="44"/>
      <c r="AB48" s="44"/>
      <c r="AC48" s="44"/>
    </row>
    <row r="49" spans="1:29" s="405" customFormat="1" ht="30" customHeight="1">
      <c r="A49" s="856" t="s">
        <v>1568</v>
      </c>
      <c r="B49" s="170" t="s">
        <v>1569</v>
      </c>
      <c r="C49" s="170"/>
      <c r="D49" s="170"/>
      <c r="E49" s="170"/>
      <c r="F49" s="381"/>
      <c r="G49" s="594"/>
      <c r="H49" s="594"/>
      <c r="I49" s="594"/>
      <c r="J49" s="114"/>
      <c r="K49" s="114"/>
      <c r="L49" s="122"/>
      <c r="M49" s="378" t="s">
        <v>1570</v>
      </c>
      <c r="N49" s="378"/>
      <c r="O49" s="596"/>
      <c r="P49" s="596"/>
      <c r="Q49" s="596"/>
      <c r="R49" s="229"/>
      <c r="S49" s="44"/>
      <c r="T49" s="44"/>
      <c r="U49" s="44"/>
      <c r="V49" s="44"/>
      <c r="W49" s="44"/>
      <c r="X49" s="44"/>
      <c r="Y49" s="44"/>
      <c r="Z49" s="44"/>
      <c r="AA49" s="44"/>
      <c r="AB49" s="44"/>
      <c r="AC49" s="44"/>
    </row>
    <row r="50" spans="1:29" s="405" customFormat="1" ht="18.75" customHeight="1">
      <c r="A50" s="857"/>
      <c r="B50" s="850" t="s">
        <v>1571</v>
      </c>
      <c r="C50" s="852">
        <v>37</v>
      </c>
      <c r="D50" s="849">
        <f t="shared" ref="D50:I50" si="0">L50/L51</f>
        <v>299.22560289557811</v>
      </c>
      <c r="E50" s="849">
        <f t="shared" si="0"/>
        <v>185.867699815739</v>
      </c>
      <c r="F50" s="849">
        <f t="shared" si="0"/>
        <v>95.02296044661847</v>
      </c>
      <c r="G50" s="849">
        <f t="shared" si="0"/>
        <v>442.41093104497247</v>
      </c>
      <c r="H50" s="849">
        <f t="shared" si="0"/>
        <v>38.187030879415758</v>
      </c>
      <c r="I50" s="849">
        <f t="shared" si="0"/>
        <v>155.4677341965868</v>
      </c>
      <c r="J50" s="242" t="s">
        <v>883</v>
      </c>
      <c r="K50" s="235" t="s">
        <v>1572</v>
      </c>
      <c r="L50" s="212">
        <f>(96623454*(150498549.88/(150498549.88+9230130.96)))</f>
        <v>91039941.198558286</v>
      </c>
      <c r="M50" s="212">
        <v>70490915.711275607</v>
      </c>
      <c r="N50" s="212">
        <v>41881743.243899219</v>
      </c>
      <c r="O50" s="212">
        <v>27846774.295807786</v>
      </c>
      <c r="P50" s="212">
        <v>24433043.440647863</v>
      </c>
      <c r="Q50" s="212">
        <f>VLOOKUP(C50, '2021_Internal_ModelLink'!$A$3:$Z$1000, 15, 0)</f>
        <v>12471327.800627246</v>
      </c>
      <c r="R50" s="853"/>
      <c r="S50" s="44"/>
      <c r="T50" s="44"/>
      <c r="U50" s="44"/>
      <c r="V50" s="44"/>
      <c r="W50" s="44"/>
      <c r="X50" s="44"/>
      <c r="Y50" s="44"/>
      <c r="Z50" s="44"/>
      <c r="AA50" s="44"/>
      <c r="AB50" s="44"/>
      <c r="AC50" s="44"/>
    </row>
    <row r="51" spans="1:29" s="405" customFormat="1" ht="18.75" customHeight="1">
      <c r="A51" s="857"/>
      <c r="B51" s="851"/>
      <c r="C51" s="852"/>
      <c r="D51" s="849"/>
      <c r="E51" s="849"/>
      <c r="F51" s="849"/>
      <c r="G51" s="849"/>
      <c r="H51" s="849"/>
      <c r="I51" s="849"/>
      <c r="J51" s="242" t="s">
        <v>884</v>
      </c>
      <c r="K51" s="295" t="s">
        <v>1573</v>
      </c>
      <c r="L51" s="206">
        <v>304251.84314969479</v>
      </c>
      <c r="M51" s="206">
        <v>379253.17729308089</v>
      </c>
      <c r="N51" s="206">
        <v>440753.92986127117</v>
      </c>
      <c r="O51" s="206">
        <v>62943.232957725166</v>
      </c>
      <c r="P51" s="206">
        <v>639825.69154959335</v>
      </c>
      <c r="Q51" s="206">
        <f>VLOOKUP(C50, '2021_Internal_ModelLink'!$A$3:$Z$1000, 16, 0)</f>
        <v>80218.109983242088</v>
      </c>
      <c r="R51" s="853"/>
      <c r="S51" s="44"/>
      <c r="T51" s="44"/>
      <c r="U51" s="44"/>
      <c r="V51" s="44"/>
      <c r="W51" s="44"/>
      <c r="X51" s="44"/>
      <c r="Y51" s="44"/>
      <c r="Z51" s="44"/>
      <c r="AA51" s="44"/>
      <c r="AB51" s="44"/>
      <c r="AC51" s="44"/>
    </row>
    <row r="52" spans="1:29" s="405" customFormat="1" ht="18.75" customHeight="1">
      <c r="A52" s="857"/>
      <c r="B52" s="58"/>
      <c r="C52" s="573"/>
      <c r="D52" s="207"/>
      <c r="E52" s="207"/>
      <c r="F52" s="380"/>
      <c r="G52" s="380"/>
      <c r="H52" s="380"/>
      <c r="I52" s="380"/>
      <c r="J52" s="263"/>
      <c r="K52" s="58"/>
      <c r="L52" s="125"/>
      <c r="M52" s="125"/>
      <c r="N52" s="125"/>
      <c r="O52" s="125"/>
      <c r="P52" s="125"/>
      <c r="Q52" s="125"/>
      <c r="R52" s="568"/>
      <c r="S52" s="44"/>
      <c r="T52" s="44"/>
      <c r="U52" s="44"/>
      <c r="V52" s="44"/>
      <c r="W52" s="44"/>
      <c r="X52" s="44"/>
      <c r="Y52" s="44"/>
      <c r="Z52" s="44"/>
      <c r="AA52" s="44"/>
      <c r="AB52" s="44"/>
      <c r="AC52" s="44"/>
    </row>
    <row r="53" spans="1:29" s="405" customFormat="1" ht="18.75" customHeight="1">
      <c r="A53" s="857"/>
      <c r="B53" s="850" t="s">
        <v>1574</v>
      </c>
      <c r="C53" s="852">
        <v>38</v>
      </c>
      <c r="D53" s="849">
        <f t="shared" ref="D53:I53" si="1">L53/L54</f>
        <v>6.5983874556443195E-2</v>
      </c>
      <c r="E53" s="849">
        <f t="shared" si="1"/>
        <v>2.6670905663994444E-2</v>
      </c>
      <c r="F53" s="849">
        <f t="shared" si="1"/>
        <v>1.5040071603837258E-2</v>
      </c>
      <c r="G53" s="849">
        <f t="shared" si="1"/>
        <v>0.12039327439739812</v>
      </c>
      <c r="H53" s="849">
        <f t="shared" si="1"/>
        <v>7.742125191806469E-3</v>
      </c>
      <c r="I53" s="849">
        <f t="shared" si="1"/>
        <v>4.1299315466679955E-2</v>
      </c>
      <c r="J53" s="242" t="s">
        <v>886</v>
      </c>
      <c r="K53" s="235" t="s">
        <v>1572</v>
      </c>
      <c r="L53" s="212">
        <v>91039941.265597492</v>
      </c>
      <c r="M53" s="212">
        <v>70490915.711275607</v>
      </c>
      <c r="N53" s="212">
        <v>41881743.243899219</v>
      </c>
      <c r="O53" s="212">
        <v>27846774.295807786</v>
      </c>
      <c r="P53" s="212">
        <v>24433043.440647874</v>
      </c>
      <c r="Q53" s="212">
        <f>VLOOKUP(C53, '2021_Internal_ModelLink'!$A$3:$Z$1000, 15, 0)</f>
        <v>12471327.800627246</v>
      </c>
      <c r="R53" s="853"/>
      <c r="S53" s="44"/>
      <c r="T53" s="44"/>
      <c r="U53" s="44"/>
      <c r="V53" s="44"/>
      <c r="W53" s="44"/>
      <c r="X53" s="44"/>
      <c r="Y53" s="44"/>
      <c r="Z53" s="44"/>
      <c r="AA53" s="44"/>
      <c r="AB53" s="44"/>
      <c r="AC53" s="44"/>
    </row>
    <row r="54" spans="1:29" s="405" customFormat="1" ht="15" customHeight="1">
      <c r="A54" s="857"/>
      <c r="B54" s="851"/>
      <c r="C54" s="852"/>
      <c r="D54" s="849"/>
      <c r="E54" s="849"/>
      <c r="F54" s="849"/>
      <c r="G54" s="849"/>
      <c r="H54" s="849"/>
      <c r="I54" s="849"/>
      <c r="J54" s="242" t="s">
        <v>887</v>
      </c>
      <c r="K54" s="295" t="s">
        <v>1575</v>
      </c>
      <c r="L54" s="206">
        <v>1379730151.9134212</v>
      </c>
      <c r="M54" s="206">
        <v>2642989203.2664604</v>
      </c>
      <c r="N54" s="206">
        <v>2784677117.7082491</v>
      </c>
      <c r="O54" s="206">
        <v>231298421.23813519</v>
      </c>
      <c r="P54" s="206">
        <v>3155857446.8035583</v>
      </c>
      <c r="Q54" s="206">
        <f>VLOOKUP(C53, '2021_Internal_ModelLink'!$A$3:$Z$1000, 16, 0)</f>
        <v>301974201.25980151</v>
      </c>
      <c r="R54" s="853"/>
      <c r="S54" s="44"/>
      <c r="T54" s="44"/>
      <c r="U54" s="44"/>
      <c r="V54" s="44"/>
      <c r="W54" s="44"/>
      <c r="X54" s="44"/>
      <c r="Y54" s="44"/>
      <c r="Z54" s="44"/>
      <c r="AA54" s="44"/>
      <c r="AB54" s="44"/>
      <c r="AC54" s="44"/>
    </row>
    <row r="55" spans="1:29" s="44" customFormat="1" ht="15" customHeight="1">
      <c r="A55" s="417"/>
      <c r="B55" s="418"/>
      <c r="C55" s="573"/>
      <c r="D55" s="419"/>
      <c r="E55" s="419"/>
      <c r="F55" s="419"/>
      <c r="G55" s="419"/>
      <c r="H55" s="419"/>
      <c r="I55" s="419"/>
      <c r="J55" s="420"/>
      <c r="K55" s="421"/>
      <c r="L55" s="422"/>
      <c r="M55" s="422"/>
      <c r="N55" s="422"/>
      <c r="O55" s="422"/>
      <c r="P55" s="422"/>
      <c r="Q55" s="422"/>
      <c r="R55" s="423"/>
    </row>
    <row r="56" spans="1:29" s="405" customFormat="1" ht="15" customHeight="1">
      <c r="A56" s="415"/>
      <c r="B56" s="850" t="s">
        <v>1576</v>
      </c>
      <c r="C56" s="852">
        <v>39</v>
      </c>
      <c r="D56" s="849">
        <f t="shared" ref="D56:I56" si="2">L56/L57</f>
        <v>0.52573295173332313</v>
      </c>
      <c r="E56" s="849">
        <f t="shared" si="2"/>
        <v>0.19863807912374151</v>
      </c>
      <c r="F56" s="849">
        <f t="shared" si="2"/>
        <v>3.3116917337878429E-2</v>
      </c>
      <c r="G56" s="849">
        <f t="shared" si="2"/>
        <v>1.06881631989195</v>
      </c>
      <c r="H56" s="849">
        <f t="shared" si="2"/>
        <v>9.7724503578921096E-2</v>
      </c>
      <c r="I56" s="849">
        <f t="shared" si="2"/>
        <v>0.41742786847022956</v>
      </c>
      <c r="J56" s="242" t="s">
        <v>888</v>
      </c>
      <c r="K56" s="235" t="s">
        <v>1572</v>
      </c>
      <c r="L56" s="212">
        <v>5583512.8085025204</v>
      </c>
      <c r="M56" s="212">
        <v>-3488909.7112756101</v>
      </c>
      <c r="N56" s="212">
        <v>-799565.36896878527</v>
      </c>
      <c r="O56" s="212">
        <v>6513576.4604030671</v>
      </c>
      <c r="P56" s="212">
        <v>1592612.0445172032</v>
      </c>
      <c r="Q56" s="212">
        <f>VLOOKUP(C56, '2021_Internal_ModelLink'!$A$3:$Z$1000, 15, 0)</f>
        <v>7398391.5386358108</v>
      </c>
      <c r="R56" s="416"/>
      <c r="S56" s="44"/>
      <c r="T56" s="44"/>
      <c r="U56" s="44"/>
      <c r="V56" s="44"/>
      <c r="W56" s="44"/>
      <c r="X56" s="44"/>
      <c r="Y56" s="44"/>
      <c r="Z56" s="44"/>
      <c r="AA56" s="44"/>
      <c r="AB56" s="44"/>
      <c r="AC56" s="44"/>
    </row>
    <row r="57" spans="1:29" s="405" customFormat="1" ht="15" customHeight="1">
      <c r="A57" s="415"/>
      <c r="B57" s="851"/>
      <c r="C57" s="852"/>
      <c r="D57" s="849"/>
      <c r="E57" s="849"/>
      <c r="F57" s="849"/>
      <c r="G57" s="849"/>
      <c r="H57" s="849"/>
      <c r="I57" s="849"/>
      <c r="J57" s="242" t="s">
        <v>889</v>
      </c>
      <c r="K57" s="295" t="s">
        <v>1577</v>
      </c>
      <c r="L57" s="206">
        <v>10620435.318147501</v>
      </c>
      <c r="M57" s="206">
        <v>-17564153.492957387</v>
      </c>
      <c r="N57" s="206">
        <v>-24143713.643729132</v>
      </c>
      <c r="O57" s="206">
        <v>6094196.2984449416</v>
      </c>
      <c r="P57" s="206">
        <v>16296957.121209927</v>
      </c>
      <c r="Q57" s="206">
        <f>VLOOKUP(C56, '2021_Internal_ModelLink'!$A$3:$Z$1000, 16, 0)</f>
        <v>17723760.432548732</v>
      </c>
      <c r="R57" s="416"/>
      <c r="S57" s="44"/>
      <c r="T57" s="44"/>
      <c r="U57" s="44"/>
      <c r="V57" s="44"/>
      <c r="W57" s="44"/>
      <c r="X57" s="44"/>
      <c r="Y57" s="44"/>
      <c r="Z57" s="44"/>
      <c r="AA57" s="44"/>
      <c r="AB57" s="44"/>
      <c r="AC57" s="44"/>
    </row>
    <row r="58" spans="1:29" s="405" customFormat="1" ht="15.75">
      <c r="A58" s="49"/>
      <c r="B58" s="42"/>
      <c r="C58" s="45"/>
      <c r="R58" s="46"/>
      <c r="S58" s="44"/>
      <c r="T58" s="44"/>
      <c r="U58" s="44"/>
      <c r="V58" s="44"/>
      <c r="W58" s="44"/>
      <c r="X58" s="44"/>
      <c r="Y58" s="44"/>
      <c r="Z58" s="44"/>
      <c r="AA58" s="44"/>
      <c r="AB58" s="44"/>
      <c r="AC58" s="44"/>
    </row>
    <row r="59" spans="1:29" s="405" customFormat="1" ht="30" customHeight="1">
      <c r="A59" s="856" t="s">
        <v>1578</v>
      </c>
      <c r="B59" s="170" t="s">
        <v>1579</v>
      </c>
      <c r="C59" s="170"/>
      <c r="D59" s="170"/>
      <c r="E59" s="170"/>
      <c r="F59" s="381"/>
      <c r="G59" s="594"/>
      <c r="H59" s="594"/>
      <c r="I59" s="594"/>
      <c r="J59" s="114"/>
      <c r="K59" s="114"/>
      <c r="L59" s="122"/>
      <c r="M59" s="378"/>
      <c r="N59" s="378"/>
      <c r="O59" s="596"/>
      <c r="P59" s="596"/>
      <c r="Q59" s="596"/>
      <c r="R59" s="229"/>
      <c r="S59" s="44"/>
      <c r="T59" s="44"/>
      <c r="U59" s="44"/>
      <c r="V59" s="44"/>
      <c r="W59" s="44"/>
      <c r="X59" s="44"/>
      <c r="Y59" s="44"/>
      <c r="Z59" s="44"/>
      <c r="AA59" s="44"/>
      <c r="AB59" s="44"/>
      <c r="AC59" s="44"/>
    </row>
    <row r="60" spans="1:29" s="405" customFormat="1" ht="18.75" customHeight="1">
      <c r="A60" s="857"/>
      <c r="B60" s="850" t="s">
        <v>97</v>
      </c>
      <c r="C60" s="852">
        <v>40</v>
      </c>
      <c r="D60" s="849">
        <f t="shared" ref="D60:I60" si="3">L60/L61</f>
        <v>420.38822782558418</v>
      </c>
      <c r="E60" s="849">
        <f t="shared" si="3"/>
        <v>381.82048624610803</v>
      </c>
      <c r="F60" s="849">
        <f t="shared" si="3"/>
        <v>159.34630053275419</v>
      </c>
      <c r="G60" s="849">
        <f t="shared" si="3"/>
        <v>538.62799204923965</v>
      </c>
      <c r="H60" s="849">
        <f t="shared" si="3"/>
        <v>167.9982447322794</v>
      </c>
      <c r="I60" s="849">
        <f t="shared" si="3"/>
        <v>190.80499152585656</v>
      </c>
      <c r="J60" s="242" t="s">
        <v>890</v>
      </c>
      <c r="K60" s="235" t="s">
        <v>1580</v>
      </c>
      <c r="L60" s="212">
        <v>127903893.1543678</v>
      </c>
      <c r="M60" s="212">
        <v>144806632.56442556</v>
      </c>
      <c r="N60" s="212">
        <v>70232508.168666571</v>
      </c>
      <c r="O60" s="212">
        <v>33902987.181107029</v>
      </c>
      <c r="P60" s="212">
        <v>107489593.11494845</v>
      </c>
      <c r="Q60" s="212">
        <f>VLOOKUP(C60, '2021_Internal_ModelLink'!$A$3:$Z$1000, 15, 0)</f>
        <v>15306015.795572737</v>
      </c>
      <c r="R60" s="853"/>
      <c r="S60" s="44"/>
      <c r="T60" s="44"/>
      <c r="U60" s="44"/>
      <c r="V60" s="44"/>
      <c r="W60" s="44"/>
      <c r="X60" s="44"/>
      <c r="Y60" s="44"/>
      <c r="Z60" s="44"/>
      <c r="AA60" s="44"/>
      <c r="AB60" s="44"/>
      <c r="AC60" s="44"/>
    </row>
    <row r="61" spans="1:29" s="405" customFormat="1" ht="18.75" customHeight="1">
      <c r="A61" s="857"/>
      <c r="B61" s="851"/>
      <c r="C61" s="852"/>
      <c r="D61" s="849"/>
      <c r="E61" s="849"/>
      <c r="F61" s="849"/>
      <c r="G61" s="849"/>
      <c r="H61" s="849"/>
      <c r="I61" s="849"/>
      <c r="J61" s="242" t="s">
        <v>891</v>
      </c>
      <c r="K61" s="295" t="s">
        <v>1581</v>
      </c>
      <c r="L61" s="206">
        <f>L51</f>
        <v>304251.84314969479</v>
      </c>
      <c r="M61" s="206">
        <v>379253.17729308089</v>
      </c>
      <c r="N61" s="206">
        <f t="shared" ref="N61" si="4">N51</f>
        <v>440753.92986127117</v>
      </c>
      <c r="O61" s="206">
        <v>62943.232957725166</v>
      </c>
      <c r="P61" s="206">
        <v>639825.69154959312</v>
      </c>
      <c r="Q61" s="206">
        <f>VLOOKUP(C60, '2021_Internal_ModelLink'!$A$3:$Z$1000, 16, 0)</f>
        <v>80218.109983242088</v>
      </c>
      <c r="R61" s="853"/>
      <c r="S61" s="44"/>
      <c r="T61" s="44"/>
      <c r="U61" s="44"/>
      <c r="V61" s="44"/>
      <c r="W61" s="44"/>
      <c r="X61" s="44"/>
      <c r="Y61" s="44"/>
      <c r="Z61" s="44"/>
      <c r="AA61" s="44"/>
      <c r="AB61" s="44"/>
      <c r="AC61" s="44"/>
    </row>
    <row r="62" spans="1:29" s="44" customFormat="1" ht="15" customHeight="1">
      <c r="A62" s="857"/>
      <c r="B62" s="418"/>
      <c r="C62" s="573"/>
      <c r="D62" s="419"/>
      <c r="E62" s="419"/>
      <c r="F62" s="419"/>
      <c r="G62" s="419"/>
      <c r="H62" s="419"/>
      <c r="I62" s="419"/>
      <c r="J62" s="420"/>
      <c r="K62" s="421"/>
      <c r="L62" s="422"/>
      <c r="M62" s="422"/>
      <c r="N62" s="422"/>
      <c r="O62" s="422"/>
      <c r="P62" s="422"/>
      <c r="Q62" s="422"/>
      <c r="R62" s="423"/>
    </row>
    <row r="63" spans="1:29" s="405" customFormat="1" ht="18.75" customHeight="1">
      <c r="A63" s="857"/>
      <c r="B63" s="850" t="s">
        <v>98</v>
      </c>
      <c r="C63" s="852">
        <v>41</v>
      </c>
      <c r="D63" s="849">
        <f t="shared" ref="D63:I63" si="5">L63/L64</f>
        <v>9.2702107710692289E-2</v>
      </c>
      <c r="E63" s="849">
        <f t="shared" si="5"/>
        <v>5.4788961069329976E-2</v>
      </c>
      <c r="F63" s="849">
        <f t="shared" si="5"/>
        <v>2.5221059821279014E-2</v>
      </c>
      <c r="G63" s="849">
        <f t="shared" si="5"/>
        <v>0.14657682054043045</v>
      </c>
      <c r="H63" s="849">
        <f t="shared" si="5"/>
        <v>3.4060344906839936E-2</v>
      </c>
      <c r="I63" s="849">
        <f t="shared" si="5"/>
        <v>5.0686501468396331E-2</v>
      </c>
      <c r="J63" s="242" t="s">
        <v>892</v>
      </c>
      <c r="K63" s="235" t="s">
        <v>1580</v>
      </c>
      <c r="L63" s="212">
        <f>L60</f>
        <v>127903893.1543678</v>
      </c>
      <c r="M63" s="212">
        <v>144806632.56442556</v>
      </c>
      <c r="N63" s="212">
        <f t="shared" ref="N63" si="6">N60</f>
        <v>70232508.168666571</v>
      </c>
      <c r="O63" s="212">
        <v>33902987.181107029</v>
      </c>
      <c r="P63" s="212">
        <v>107489593.11494845</v>
      </c>
      <c r="Q63" s="212">
        <f>VLOOKUP(C63, '2021_Internal_ModelLink'!$A$3:$Z$1000, 15, 0)</f>
        <v>15306015.795572737</v>
      </c>
      <c r="R63" s="560"/>
      <c r="S63" s="44"/>
      <c r="T63" s="44"/>
      <c r="U63" s="44"/>
      <c r="V63" s="44"/>
      <c r="W63" s="44"/>
      <c r="X63" s="44"/>
      <c r="Y63" s="44"/>
      <c r="Z63" s="44"/>
      <c r="AA63" s="44"/>
      <c r="AB63" s="44"/>
      <c r="AC63" s="44"/>
    </row>
    <row r="64" spans="1:29" s="405" customFormat="1" ht="18.75" customHeight="1">
      <c r="A64" s="857"/>
      <c r="B64" s="851"/>
      <c r="C64" s="852"/>
      <c r="D64" s="849"/>
      <c r="E64" s="849"/>
      <c r="F64" s="849"/>
      <c r="G64" s="849"/>
      <c r="H64" s="849"/>
      <c r="I64" s="849"/>
      <c r="J64" s="242" t="s">
        <v>893</v>
      </c>
      <c r="K64" s="295" t="s">
        <v>1581</v>
      </c>
      <c r="L64" s="206">
        <f>L54</f>
        <v>1379730151.9134212</v>
      </c>
      <c r="M64" s="206">
        <v>2642989203.2664604</v>
      </c>
      <c r="N64" s="206">
        <f t="shared" ref="N64" si="7">N54</f>
        <v>2784677117.7082491</v>
      </c>
      <c r="O64" s="206">
        <v>231298421.23813519</v>
      </c>
      <c r="P64" s="206">
        <v>3155857446.8035583</v>
      </c>
      <c r="Q64" s="206">
        <f>VLOOKUP(C63, '2021_Internal_ModelLink'!$A$3:$Z$1000, 16, 0)</f>
        <v>301974201.25980151</v>
      </c>
      <c r="R64" s="560"/>
      <c r="S64" s="44"/>
      <c r="T64" s="44"/>
      <c r="U64" s="44"/>
      <c r="V64" s="44"/>
      <c r="W64" s="44"/>
      <c r="X64" s="44"/>
      <c r="Y64" s="44"/>
      <c r="Z64" s="44"/>
      <c r="AA64" s="44"/>
      <c r="AB64" s="44"/>
      <c r="AC64" s="44"/>
    </row>
    <row r="65" spans="1:29" s="405" customFormat="1" ht="18.75" customHeight="1">
      <c r="A65" s="857"/>
      <c r="B65" s="58"/>
      <c r="C65" s="573"/>
      <c r="D65" s="207"/>
      <c r="E65" s="207"/>
      <c r="F65" s="380"/>
      <c r="G65" s="380"/>
      <c r="H65" s="380"/>
      <c r="I65" s="380"/>
      <c r="J65" s="263"/>
      <c r="K65" s="58"/>
      <c r="L65" s="125"/>
      <c r="M65" s="125"/>
      <c r="N65" s="125"/>
      <c r="O65" s="125"/>
      <c r="P65" s="125"/>
      <c r="Q65" s="125"/>
      <c r="R65" s="568"/>
      <c r="S65" s="44"/>
      <c r="T65" s="44"/>
      <c r="U65" s="44"/>
      <c r="V65" s="44"/>
      <c r="W65" s="44"/>
      <c r="X65" s="44"/>
      <c r="Y65" s="44"/>
      <c r="Z65" s="44"/>
      <c r="AA65" s="44"/>
      <c r="AB65" s="44"/>
      <c r="AC65" s="44"/>
    </row>
    <row r="66" spans="1:29" s="405" customFormat="1" ht="18.75" customHeight="1">
      <c r="A66" s="857"/>
      <c r="B66" s="850" t="s">
        <v>99</v>
      </c>
      <c r="C66" s="852">
        <v>42</v>
      </c>
      <c r="D66" s="849">
        <f t="shared" ref="D66:I66" si="8">L66/L67</f>
        <v>0.7386130785174343</v>
      </c>
      <c r="E66" s="849">
        <f t="shared" si="8"/>
        <v>0.40805415913151299</v>
      </c>
      <c r="F66" s="849">
        <f t="shared" si="8"/>
        <v>5.5534559626822765E-2</v>
      </c>
      <c r="G66" s="849">
        <f t="shared" si="8"/>
        <v>1.3012661936111558</v>
      </c>
      <c r="H66" s="849">
        <f t="shared" si="8"/>
        <v>0.4299246286110649</v>
      </c>
      <c r="I66" s="849">
        <f t="shared" si="8"/>
        <v>0.51230772299933036</v>
      </c>
      <c r="J66" s="242" t="s">
        <v>894</v>
      </c>
      <c r="K66" s="235" t="s">
        <v>1580</v>
      </c>
      <c r="L66" s="212">
        <v>7844392.4255322125</v>
      </c>
      <c r="M66" s="212">
        <v>-7167125.8844255535</v>
      </c>
      <c r="N66" s="212">
        <v>-1340810.5049606098</v>
      </c>
      <c r="O66" s="212">
        <v>7930171.6203966439</v>
      </c>
      <c r="P66" s="212">
        <v>7006463.2378266267</v>
      </c>
      <c r="Q66" s="212">
        <f>VLOOKUP(C66, '2021_Internal_ModelLink'!$A$3:$Z$1000, 15, 0)</f>
        <v>9080019.3501846679</v>
      </c>
      <c r="R66" s="853"/>
      <c r="S66" s="44"/>
      <c r="T66" s="44"/>
      <c r="U66" s="44"/>
      <c r="V66" s="44"/>
      <c r="W66" s="44"/>
      <c r="X66" s="44"/>
      <c r="Y66" s="44"/>
      <c r="Z66" s="44"/>
      <c r="AA66" s="44"/>
      <c r="AB66" s="44"/>
      <c r="AC66" s="44"/>
    </row>
    <row r="67" spans="1:29" s="405" customFormat="1" ht="15" customHeight="1">
      <c r="A67" s="859"/>
      <c r="B67" s="865"/>
      <c r="C67" s="866"/>
      <c r="D67" s="854"/>
      <c r="E67" s="854"/>
      <c r="F67" s="854"/>
      <c r="G67" s="854"/>
      <c r="H67" s="854"/>
      <c r="I67" s="854"/>
      <c r="J67" s="250" t="s">
        <v>895</v>
      </c>
      <c r="K67" s="296" t="s">
        <v>1581</v>
      </c>
      <c r="L67" s="289">
        <f>L57</f>
        <v>10620435.318147501</v>
      </c>
      <c r="M67" s="289">
        <v>-17564153.492957387</v>
      </c>
      <c r="N67" s="289">
        <f t="shared" ref="N67" si="9">N57</f>
        <v>-24143713.643729132</v>
      </c>
      <c r="O67" s="289">
        <v>6094196.2984449416</v>
      </c>
      <c r="P67" s="289">
        <v>16296957.121209927</v>
      </c>
      <c r="Q67" s="289">
        <f>VLOOKUP(C66, '2021_Internal_ModelLink'!$A$3:$Z$1000, 16, 0)</f>
        <v>17723760.432548732</v>
      </c>
      <c r="R67" s="855"/>
      <c r="S67" s="44"/>
      <c r="T67" s="44"/>
      <c r="U67" s="44"/>
      <c r="V67" s="44"/>
      <c r="W67" s="44"/>
      <c r="X67" s="44"/>
      <c r="Y67" s="44"/>
      <c r="Z67" s="44"/>
      <c r="AA67" s="44"/>
      <c r="AB67" s="44"/>
      <c r="AC67" s="44"/>
    </row>
    <row r="68" spans="1:29" s="405" customFormat="1" ht="15.75">
      <c r="A68" s="49"/>
      <c r="B68" s="42"/>
      <c r="C68" s="45"/>
      <c r="R68" s="46"/>
      <c r="S68" s="44"/>
      <c r="T68" s="44"/>
      <c r="U68" s="44"/>
      <c r="V68" s="44"/>
      <c r="W68" s="44"/>
      <c r="X68" s="44"/>
      <c r="Y68" s="44"/>
      <c r="Z68" s="44"/>
      <c r="AA68" s="44"/>
      <c r="AB68" s="44"/>
      <c r="AC68" s="44"/>
    </row>
    <row r="69" spans="1:29" s="41" customFormat="1">
      <c r="A69" s="405"/>
      <c r="B69" s="405"/>
      <c r="C69" s="405"/>
      <c r="D69" s="405"/>
      <c r="E69" s="405"/>
      <c r="F69" s="405"/>
      <c r="G69" s="405"/>
      <c r="H69" s="405"/>
      <c r="I69" s="405"/>
      <c r="J69" s="405"/>
      <c r="K69" s="405"/>
      <c r="L69" s="405"/>
      <c r="M69" s="405"/>
      <c r="N69" s="405"/>
      <c r="O69" s="405"/>
      <c r="P69" s="405"/>
      <c r="Q69" s="405"/>
      <c r="R69" s="203"/>
      <c r="S69" s="44"/>
      <c r="T69" s="44"/>
      <c r="U69" s="44"/>
      <c r="V69" s="44"/>
      <c r="W69" s="44"/>
      <c r="X69" s="44"/>
      <c r="Y69" s="44"/>
      <c r="Z69" s="44"/>
      <c r="AA69" s="44"/>
      <c r="AB69" s="44"/>
      <c r="AC69" s="44"/>
    </row>
    <row r="70" spans="1:29" s="41" customFormat="1" ht="15.95" customHeight="1">
      <c r="A70" s="856" t="s">
        <v>44</v>
      </c>
      <c r="B70" s="115" t="s">
        <v>1872</v>
      </c>
      <c r="C70" s="151"/>
      <c r="D70" s="115"/>
      <c r="E70" s="115"/>
      <c r="F70" s="115"/>
      <c r="G70" s="602"/>
      <c r="H70" s="602"/>
      <c r="I70" s="602"/>
      <c r="J70" s="114"/>
      <c r="K70" s="449" t="s">
        <v>1582</v>
      </c>
      <c r="L70" s="114"/>
      <c r="M70" s="114"/>
      <c r="N70" s="114"/>
      <c r="O70" s="626"/>
      <c r="P70" s="626"/>
      <c r="Q70" s="626"/>
      <c r="R70" s="861"/>
      <c r="S70" s="44"/>
      <c r="T70" s="44"/>
      <c r="U70" s="44"/>
      <c r="V70" s="44"/>
      <c r="W70" s="44"/>
      <c r="X70" s="44"/>
      <c r="Y70" s="44"/>
      <c r="Z70" s="44"/>
      <c r="AA70" s="44"/>
      <c r="AB70" s="44"/>
      <c r="AC70" s="44"/>
    </row>
    <row r="71" spans="1:29" s="41" customFormat="1" ht="15.95" customHeight="1">
      <c r="A71" s="859"/>
      <c r="B71" s="253" t="s">
        <v>1583</v>
      </c>
      <c r="C71" s="48">
        <v>0</v>
      </c>
      <c r="D71" s="117">
        <f t="shared" ref="D71:F71" si="10">(D7*0.000707) + (D9*0.0053)</f>
        <v>239527.02912665569</v>
      </c>
      <c r="E71" s="117">
        <f t="shared" si="10"/>
        <v>319930.91134699981</v>
      </c>
      <c r="F71" s="117">
        <f t="shared" si="10"/>
        <v>314738.79214771045</v>
      </c>
      <c r="G71" s="117">
        <f>(G7*0.000707) + (G9*0.0053)</f>
        <v>188828.06770849638</v>
      </c>
      <c r="H71" s="117">
        <f>(H7*0.000707) + (H9*0.0053)</f>
        <v>430859.54135822126</v>
      </c>
      <c r="I71" s="50">
        <f>VLOOKUP(C71, '2021_Internal_ModelLink'!$A$3:$Z$1000, 14, 0)</f>
        <v>13909.089690152905</v>
      </c>
      <c r="J71" s="47"/>
      <c r="K71" s="98"/>
      <c r="L71" s="425"/>
      <c r="M71" s="425"/>
      <c r="N71" s="47"/>
      <c r="O71" s="47"/>
      <c r="P71" s="47"/>
      <c r="Q71" s="47"/>
      <c r="R71" s="862"/>
      <c r="S71" s="44"/>
      <c r="T71" s="44"/>
      <c r="U71" s="44"/>
      <c r="V71" s="44"/>
      <c r="W71" s="44"/>
      <c r="X71" s="44"/>
      <c r="Y71" s="44"/>
      <c r="Z71" s="44"/>
      <c r="AA71" s="44"/>
      <c r="AB71" s="44"/>
      <c r="AC71" s="44"/>
    </row>
    <row r="72" spans="1:29" s="41" customFormat="1">
      <c r="A72" s="405"/>
      <c r="B72" s="405"/>
      <c r="C72" s="405"/>
      <c r="D72" s="405"/>
      <c r="E72" s="405"/>
      <c r="F72" s="405"/>
      <c r="G72" s="405"/>
      <c r="H72" s="405"/>
      <c r="I72" s="405"/>
      <c r="J72" s="405"/>
      <c r="K72" s="405"/>
      <c r="L72" s="405"/>
      <c r="M72" s="405"/>
      <c r="N72" s="405"/>
      <c r="O72" s="405"/>
      <c r="P72" s="405"/>
      <c r="Q72" s="405"/>
      <c r="R72" s="173"/>
      <c r="S72" s="44"/>
      <c r="T72" s="44"/>
      <c r="U72" s="44"/>
      <c r="V72" s="44"/>
      <c r="W72" s="44"/>
      <c r="X72" s="44"/>
      <c r="Y72" s="44"/>
      <c r="Z72" s="44"/>
      <c r="AA72" s="44"/>
      <c r="AB72" s="44"/>
      <c r="AC72" s="44"/>
    </row>
    <row r="73" spans="1:29" s="41" customFormat="1" ht="17.100000000000001" customHeight="1">
      <c r="A73" s="863" t="s">
        <v>1584</v>
      </c>
      <c r="B73" s="864"/>
      <c r="C73" s="864"/>
      <c r="D73" s="864"/>
      <c r="E73" s="864"/>
      <c r="F73" s="558"/>
      <c r="G73" s="601"/>
      <c r="H73" s="691"/>
      <c r="I73" s="737"/>
      <c r="J73" s="405"/>
      <c r="K73" s="405"/>
      <c r="L73" s="405"/>
      <c r="M73" s="405"/>
      <c r="N73" s="405"/>
      <c r="O73" s="405"/>
      <c r="P73" s="405"/>
      <c r="Q73" s="405"/>
      <c r="R73" s="46"/>
      <c r="S73" s="44"/>
      <c r="T73" s="44"/>
      <c r="U73" s="44"/>
      <c r="V73" s="44"/>
      <c r="W73" s="44"/>
      <c r="X73" s="44"/>
      <c r="Y73" s="44"/>
      <c r="Z73" s="44"/>
      <c r="AA73" s="44"/>
      <c r="AB73" s="44"/>
      <c r="AC73" s="44"/>
    </row>
    <row r="74" spans="1:29" ht="15.75">
      <c r="A74" s="306" t="s">
        <v>1585</v>
      </c>
      <c r="B74" s="76"/>
      <c r="C74" s="76"/>
      <c r="D74" s="76"/>
      <c r="E74" s="76"/>
      <c r="F74" s="76"/>
      <c r="G74" s="76"/>
      <c r="H74" s="76"/>
      <c r="I74" s="76"/>
      <c r="R74" s="46"/>
      <c r="S74" s="56"/>
      <c r="T74" s="56"/>
      <c r="U74" s="56"/>
      <c r="V74" s="56"/>
      <c r="W74" s="56"/>
      <c r="X74" s="56"/>
      <c r="Y74" s="56"/>
      <c r="Z74" s="56"/>
      <c r="AA74" s="56"/>
      <c r="AB74" s="56"/>
      <c r="AC74" s="56"/>
    </row>
    <row r="75" spans="1:29" ht="31.7" customHeight="1">
      <c r="A75" s="860"/>
      <c r="B75" s="860"/>
      <c r="C75" s="860"/>
      <c r="D75" s="860"/>
      <c r="E75" s="860"/>
      <c r="F75" s="557"/>
      <c r="G75" s="600"/>
      <c r="H75" s="690"/>
      <c r="I75" s="736"/>
      <c r="R75" s="46"/>
      <c r="S75" s="56"/>
      <c r="T75" s="56"/>
      <c r="U75" s="56"/>
      <c r="V75" s="56"/>
      <c r="W75" s="56"/>
      <c r="X75" s="56"/>
      <c r="Y75" s="56"/>
      <c r="Z75" s="56"/>
      <c r="AA75" s="56"/>
      <c r="AB75" s="56"/>
      <c r="AC75" s="56"/>
    </row>
    <row r="76" spans="1:29" ht="15.75">
      <c r="A76" s="306" t="s">
        <v>1586</v>
      </c>
      <c r="B76" s="76"/>
      <c r="C76" s="76"/>
      <c r="D76" s="76"/>
      <c r="E76" s="76"/>
      <c r="F76" s="76"/>
      <c r="G76" s="76"/>
      <c r="H76" s="76"/>
      <c r="I76" s="76"/>
      <c r="R76" s="46"/>
      <c r="S76" s="56"/>
      <c r="T76" s="56"/>
      <c r="U76" s="56"/>
      <c r="V76" s="56"/>
      <c r="W76" s="56"/>
      <c r="X76" s="56"/>
      <c r="Y76" s="56"/>
      <c r="Z76" s="56"/>
      <c r="AA76" s="56"/>
      <c r="AB76" s="56"/>
      <c r="AC76" s="56"/>
    </row>
    <row r="77" spans="1:29" ht="15.75">
      <c r="R77" s="46"/>
      <c r="S77" s="56"/>
      <c r="T77" s="56"/>
      <c r="U77" s="56"/>
      <c r="V77" s="56"/>
      <c r="W77" s="56"/>
      <c r="X77" s="56"/>
      <c r="Y77" s="56"/>
      <c r="Z77" s="56"/>
      <c r="AA77" s="56"/>
      <c r="AB77" s="56"/>
      <c r="AC77" s="56"/>
    </row>
    <row r="78" spans="1:29" ht="15.75">
      <c r="R78" s="46"/>
      <c r="S78" s="56"/>
      <c r="T78" s="56"/>
      <c r="U78" s="56"/>
      <c r="V78" s="56"/>
      <c r="W78" s="56"/>
      <c r="X78" s="56"/>
      <c r="Y78" s="56"/>
      <c r="Z78" s="56"/>
      <c r="AA78" s="56"/>
      <c r="AB78" s="56"/>
      <c r="AC78" s="56"/>
    </row>
    <row r="79" spans="1:29" ht="15.75">
      <c r="A79" s="456" t="s">
        <v>1871</v>
      </c>
      <c r="R79" s="46"/>
      <c r="S79" s="56"/>
      <c r="T79" s="56"/>
      <c r="U79" s="56"/>
      <c r="V79" s="56"/>
      <c r="W79" s="56"/>
      <c r="X79" s="56"/>
      <c r="Y79" s="56"/>
      <c r="Z79" s="56"/>
      <c r="AA79" s="56"/>
      <c r="AB79" s="56"/>
      <c r="AC79" s="56"/>
    </row>
    <row r="80" spans="1:29" ht="15.75">
      <c r="A80" s="456" t="s">
        <v>1869</v>
      </c>
      <c r="R80" s="171"/>
    </row>
    <row r="81" spans="2:18" ht="15.75">
      <c r="R81" s="171"/>
    </row>
    <row r="82" spans="2:18" ht="15.75">
      <c r="R82" s="171"/>
    </row>
    <row r="83" spans="2:18" ht="15.75">
      <c r="B83" s="710" t="s">
        <v>1587</v>
      </c>
      <c r="C83" s="710">
        <v>203.685682316662</v>
      </c>
      <c r="R83" s="171"/>
    </row>
    <row r="84" spans="2:18" ht="15.75">
      <c r="B84" s="710" t="s">
        <v>1588</v>
      </c>
      <c r="C84" s="710">
        <v>183.31711894124101</v>
      </c>
      <c r="R84" s="171"/>
    </row>
    <row r="85" spans="2:18" ht="15.75">
      <c r="B85" s="710" t="s">
        <v>1589</v>
      </c>
      <c r="C85" s="710">
        <v>869801.07254393597</v>
      </c>
      <c r="R85" s="171"/>
    </row>
    <row r="86" spans="2:18" ht="15.75">
      <c r="B86" s="710" t="s">
        <v>1590</v>
      </c>
      <c r="C86" s="710">
        <v>782820.98602721596</v>
      </c>
      <c r="R86" s="171"/>
    </row>
    <row r="87" spans="2:18" ht="15.75">
      <c r="B87" s="710" t="s">
        <v>1591</v>
      </c>
      <c r="C87" s="710">
        <v>-524.44432420713395</v>
      </c>
      <c r="R87" s="171"/>
    </row>
    <row r="88" spans="2:18" ht="15.75">
      <c r="B88" s="710" t="s">
        <v>1592</v>
      </c>
      <c r="C88" s="710">
        <v>-471.99990429029202</v>
      </c>
      <c r="R88" s="171"/>
    </row>
    <row r="89" spans="2:18" ht="15.75">
      <c r="B89" s="710" t="s">
        <v>1593</v>
      </c>
      <c r="C89" s="710">
        <v>1123.4651062340599</v>
      </c>
      <c r="R89" s="171"/>
    </row>
    <row r="90" spans="2:18" ht="15.75">
      <c r="B90" s="710" t="s">
        <v>1594</v>
      </c>
      <c r="C90" s="710">
        <v>1011.11862239615</v>
      </c>
      <c r="R90" s="171"/>
    </row>
    <row r="91" spans="2:18" ht="15.75">
      <c r="B91" s="710" t="s">
        <v>1595</v>
      </c>
      <c r="C91" s="710">
        <v>4982089.2948363796</v>
      </c>
      <c r="R91" s="171"/>
    </row>
    <row r="92" spans="2:18" ht="15.75">
      <c r="B92" s="710" t="s">
        <v>1596</v>
      </c>
      <c r="C92" s="710">
        <v>4483880.4841350103</v>
      </c>
      <c r="R92" s="171"/>
    </row>
    <row r="93" spans="2:18" ht="15.75">
      <c r="B93" s="711" t="s">
        <v>1597</v>
      </c>
      <c r="C93" s="711">
        <v>-13188.591060963699</v>
      </c>
      <c r="R93" s="171"/>
    </row>
    <row r="94" spans="2:18" ht="15.75">
      <c r="B94" s="710" t="s">
        <v>1598</v>
      </c>
      <c r="C94" s="710">
        <v>-11869.7322693076</v>
      </c>
      <c r="R94" s="171"/>
    </row>
    <row r="95" spans="2:18" ht="15.75">
      <c r="R95" s="171"/>
    </row>
    <row r="96" spans="2:18" ht="15.75">
      <c r="R96" s="171"/>
    </row>
    <row r="97" spans="18:18" ht="15.75">
      <c r="R97" s="171"/>
    </row>
    <row r="98" spans="18:18" ht="15.75">
      <c r="R98" s="171"/>
    </row>
    <row r="99" spans="18:18" ht="15.75">
      <c r="R99" s="171"/>
    </row>
    <row r="100" spans="18:18" ht="15.75">
      <c r="R100" s="171"/>
    </row>
    <row r="101" spans="18:18" ht="15.75">
      <c r="R101" s="171"/>
    </row>
    <row r="102" spans="18:18" ht="15.75">
      <c r="R102" s="171"/>
    </row>
    <row r="103" spans="18:18" ht="15.75">
      <c r="R103" s="171"/>
    </row>
    <row r="104" spans="18:18" ht="15.75">
      <c r="R104" s="171"/>
    </row>
    <row r="105" spans="18:18" ht="15.75">
      <c r="R105" s="171"/>
    </row>
    <row r="106" spans="18:18" ht="15.75">
      <c r="R106" s="171"/>
    </row>
    <row r="107" spans="18:18" ht="15.75">
      <c r="R107" s="171"/>
    </row>
  </sheetData>
  <mergeCells count="64">
    <mergeCell ref="H50:H51"/>
    <mergeCell ref="H53:H54"/>
    <mergeCell ref="H56:H57"/>
    <mergeCell ref="H60:H61"/>
    <mergeCell ref="H63:H64"/>
    <mergeCell ref="A75:E75"/>
    <mergeCell ref="A70:A71"/>
    <mergeCell ref="R70:R71"/>
    <mergeCell ref="A73:E73"/>
    <mergeCell ref="R35:R46"/>
    <mergeCell ref="A59:A67"/>
    <mergeCell ref="B60:B61"/>
    <mergeCell ref="C60:C61"/>
    <mergeCell ref="D60:D61"/>
    <mergeCell ref="E60:E61"/>
    <mergeCell ref="F60:F61"/>
    <mergeCell ref="R60:R61"/>
    <mergeCell ref="B66:B67"/>
    <mergeCell ref="C66:C67"/>
    <mergeCell ref="F50:F51"/>
    <mergeCell ref="R50:R51"/>
    <mergeCell ref="R19:R31"/>
    <mergeCell ref="R4:R9"/>
    <mergeCell ref="A3:A16"/>
    <mergeCell ref="A34:A47"/>
    <mergeCell ref="A18:A32"/>
    <mergeCell ref="A49:A54"/>
    <mergeCell ref="B50:B51"/>
    <mergeCell ref="C50:C51"/>
    <mergeCell ref="D50:D51"/>
    <mergeCell ref="E50:E51"/>
    <mergeCell ref="B53:B54"/>
    <mergeCell ref="C53:C54"/>
    <mergeCell ref="D53:D54"/>
    <mergeCell ref="E53:E54"/>
    <mergeCell ref="R53:R54"/>
    <mergeCell ref="D66:D67"/>
    <mergeCell ref="E66:E67"/>
    <mergeCell ref="F66:F67"/>
    <mergeCell ref="R66:R67"/>
    <mergeCell ref="F53:F54"/>
    <mergeCell ref="G66:G67"/>
    <mergeCell ref="H66:H67"/>
    <mergeCell ref="I66:I67"/>
    <mergeCell ref="B56:B57"/>
    <mergeCell ref="C56:C57"/>
    <mergeCell ref="D56:D57"/>
    <mergeCell ref="E56:E57"/>
    <mergeCell ref="F56:F57"/>
    <mergeCell ref="B63:B64"/>
    <mergeCell ref="C63:C64"/>
    <mergeCell ref="D63:D64"/>
    <mergeCell ref="E63:E64"/>
    <mergeCell ref="F63:F64"/>
    <mergeCell ref="G50:G51"/>
    <mergeCell ref="G53:G54"/>
    <mergeCell ref="G56:G57"/>
    <mergeCell ref="G60:G61"/>
    <mergeCell ref="G63:G64"/>
    <mergeCell ref="I50:I51"/>
    <mergeCell ref="I53:I54"/>
    <mergeCell ref="I56:I57"/>
    <mergeCell ref="I60:I61"/>
    <mergeCell ref="I63:I64"/>
  </mergeCells>
  <pageMargins left="0.7" right="0.7" top="0.75" bottom="0.75" header="0.3" footer="0.3"/>
  <pageSetup scale="75" fitToWidth="0" fitToHeight="0" orientation="landscape" r:id="rId1"/>
  <headerFooter>
    <oddFooter>&amp;RMay 1, 2019</oddFooter>
  </headerFooter>
  <colBreaks count="2" manualBreakCount="2">
    <brk id="9" max="1048575" man="1"/>
    <brk id="1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92D050"/>
  </sheetPr>
  <dimension ref="A1:A3"/>
  <sheetViews>
    <sheetView zoomScaleNormal="100" workbookViewId="0">
      <selection activeCell="A2" sqref="A2"/>
    </sheetView>
  </sheetViews>
  <sheetFormatPr defaultColWidth="9.140625" defaultRowHeight="15"/>
  <cols>
    <col min="1" max="1" width="90.7109375" style="1" customWidth="1"/>
    <col min="2" max="16384" width="9.140625" style="1"/>
  </cols>
  <sheetData>
    <row r="1" spans="1:1" ht="26.25">
      <c r="A1" s="553" t="s">
        <v>1600</v>
      </c>
    </row>
    <row r="2" spans="1:1" ht="18.75">
      <c r="A2" s="8" t="s">
        <v>2231</v>
      </c>
    </row>
    <row r="3" spans="1:1" ht="18.75">
      <c r="A3" s="7"/>
    </row>
  </sheetData>
  <pageMargins left="0.7" right="0.7" top="0.75" bottom="0.75" header="0.3" footer="0.3"/>
  <pageSetup fitToWidth="0" fitToHeight="0" orientation="portrait" r:id="rId1"/>
  <headerFooter>
    <oddFooter>&amp;RMay 1, 2019</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E118"/>
  <sheetViews>
    <sheetView zoomScale="70" zoomScaleNormal="70" zoomScaleSheetLayoutView="80" workbookViewId="0">
      <pane ySplit="2" topLeftCell="A3" activePane="bottomLeft" state="frozen"/>
      <selection sqref="A1:A2"/>
      <selection pane="bottomLeft"/>
    </sheetView>
  </sheetViews>
  <sheetFormatPr defaultColWidth="9.140625" defaultRowHeight="15"/>
  <cols>
    <col min="1" max="1" width="13.140625" style="38" customWidth="1"/>
    <col min="2" max="2" width="55.7109375" style="38" bestFit="1" customWidth="1"/>
    <col min="3" max="3" width="5.7109375" style="38" customWidth="1"/>
    <col min="4" max="4" width="13.7109375" style="38" customWidth="1"/>
    <col min="5" max="9" width="15.28515625" style="38" customWidth="1"/>
    <col min="10" max="10" width="7.42578125" style="38" customWidth="1"/>
    <col min="11" max="11" width="66.85546875" style="38" customWidth="1"/>
    <col min="12" max="12" width="13.7109375" style="38" customWidth="1"/>
    <col min="13" max="13" width="19.140625" style="38" customWidth="1"/>
    <col min="14" max="15" width="18.7109375" style="38" bestFit="1" customWidth="1"/>
    <col min="16" max="17" width="18.7109375" style="38" customWidth="1"/>
    <col min="18" max="18" width="39.5703125" style="76" customWidth="1"/>
    <col min="19" max="19" width="2.5703125" style="38" customWidth="1"/>
    <col min="20" max="20" width="19.7109375" style="451" customWidth="1"/>
    <col min="21" max="16384" width="9.140625" style="38"/>
  </cols>
  <sheetData>
    <row r="1" spans="1:20" ht="24.95" customHeight="1">
      <c r="A1" s="219" t="s">
        <v>2229</v>
      </c>
    </row>
    <row r="2" spans="1:20" ht="24.95" customHeight="1">
      <c r="A2" s="220" t="s">
        <v>27</v>
      </c>
      <c r="B2" s="40" t="s">
        <v>1560</v>
      </c>
      <c r="C2" s="39" t="s">
        <v>1561</v>
      </c>
      <c r="D2" s="152">
        <v>2016</v>
      </c>
      <c r="E2" s="152">
        <v>2017</v>
      </c>
      <c r="F2" s="152">
        <v>2018</v>
      </c>
      <c r="G2" s="152">
        <v>2019</v>
      </c>
      <c r="H2" s="152">
        <v>2020</v>
      </c>
      <c r="I2" s="152">
        <v>2021</v>
      </c>
      <c r="J2" s="222" t="s">
        <v>1562</v>
      </c>
      <c r="K2" s="223"/>
      <c r="L2" s="224">
        <v>2016</v>
      </c>
      <c r="M2" s="224">
        <v>2017</v>
      </c>
      <c r="N2" s="224">
        <v>2018</v>
      </c>
      <c r="O2" s="224">
        <v>2019</v>
      </c>
      <c r="P2" s="224">
        <v>2020</v>
      </c>
      <c r="Q2" s="224">
        <v>2021</v>
      </c>
      <c r="R2" s="225" t="s">
        <v>1563</v>
      </c>
    </row>
    <row r="3" spans="1:20" s="41" customFormat="1" ht="45">
      <c r="A3" s="874" t="s">
        <v>53</v>
      </c>
      <c r="B3" s="579" t="s">
        <v>1601</v>
      </c>
      <c r="C3" s="114"/>
      <c r="D3" s="115"/>
      <c r="E3" s="115"/>
      <c r="F3" s="115"/>
      <c r="G3" s="602"/>
      <c r="H3" s="602"/>
      <c r="I3" s="602"/>
      <c r="J3" s="115"/>
      <c r="K3" s="126"/>
      <c r="L3" s="126"/>
      <c r="M3" s="126"/>
      <c r="N3" s="126"/>
      <c r="O3" s="579"/>
      <c r="P3" s="579"/>
      <c r="Q3" s="579"/>
      <c r="R3" s="231"/>
      <c r="S3" s="405"/>
      <c r="T3" s="452"/>
    </row>
    <row r="4" spans="1:20" s="405" customFormat="1">
      <c r="A4" s="875"/>
      <c r="B4" s="58" t="s">
        <v>52</v>
      </c>
      <c r="C4" s="106">
        <v>43</v>
      </c>
      <c r="D4" s="436">
        <v>37359.942249947097</v>
      </c>
      <c r="E4" s="436">
        <v>28969.162092688963</v>
      </c>
      <c r="F4" s="436">
        <v>66741.149765853857</v>
      </c>
      <c r="G4" s="436">
        <v>111.749128412769</v>
      </c>
      <c r="H4" s="436">
        <v>5310.0314466642203</v>
      </c>
      <c r="I4" s="436">
        <f>VLOOKUP(C4, '2021_Internal_ModelLink'!$A$3:$Z$1000, 14, 0)</f>
        <v>4247.8978907279998</v>
      </c>
      <c r="J4" s="116"/>
      <c r="K4" s="337"/>
      <c r="L4" s="431"/>
      <c r="M4" s="431"/>
      <c r="N4" s="431"/>
      <c r="O4" s="431"/>
      <c r="P4" s="431"/>
      <c r="Q4" s="431"/>
      <c r="R4" s="227"/>
      <c r="T4" s="452"/>
    </row>
    <row r="5" spans="1:20" s="405" customFormat="1">
      <c r="A5" s="875"/>
      <c r="B5" s="58" t="s">
        <v>55</v>
      </c>
      <c r="C5" s="106">
        <v>44</v>
      </c>
      <c r="D5" s="436">
        <v>36438.311610215598</v>
      </c>
      <c r="E5" s="436">
        <v>26882.147796141435</v>
      </c>
      <c r="F5" s="436">
        <v>68352.677258835494</v>
      </c>
      <c r="G5" s="436">
        <v>74.695319897478598</v>
      </c>
      <c r="H5" s="436">
        <v>5518.9322076968392</v>
      </c>
      <c r="I5" s="436">
        <f>VLOOKUP(C5, '2021_Internal_ModelLink'!$A$3:$Z$1000, 14, 0)</f>
        <v>4404.9346867308886</v>
      </c>
      <c r="J5" s="116"/>
      <c r="K5" s="337"/>
      <c r="L5" s="431"/>
      <c r="M5" s="431"/>
      <c r="N5" s="431"/>
      <c r="O5" s="431"/>
      <c r="P5" s="431"/>
      <c r="Q5" s="431"/>
      <c r="R5" s="227"/>
      <c r="T5" s="452"/>
    </row>
    <row r="6" spans="1:20" s="405" customFormat="1">
      <c r="A6" s="875"/>
      <c r="B6" s="58" t="s">
        <v>56</v>
      </c>
      <c r="C6" s="106">
        <v>45</v>
      </c>
      <c r="D6" s="436">
        <v>67699410.8394586</v>
      </c>
      <c r="E6" s="436">
        <v>172800465.07203701</v>
      </c>
      <c r="F6" s="436">
        <v>172460845.21371642</v>
      </c>
      <c r="G6" s="436">
        <v>1032489.93762617</v>
      </c>
      <c r="H6" s="436">
        <v>33263728.448498197</v>
      </c>
      <c r="I6" s="436">
        <f>VLOOKUP(C6, '2021_Internal_ModelLink'!$A$3:$Z$1000, 14, 0)</f>
        <v>28894933.882561199</v>
      </c>
      <c r="J6" s="116"/>
      <c r="K6" s="337"/>
      <c r="L6" s="431"/>
      <c r="M6" s="431"/>
      <c r="N6" s="431"/>
      <c r="O6" s="431"/>
      <c r="P6" s="431"/>
      <c r="Q6" s="431"/>
      <c r="R6" s="227"/>
      <c r="T6" s="452"/>
    </row>
    <row r="7" spans="1:20" s="405" customFormat="1">
      <c r="A7" s="875"/>
      <c r="B7" s="58" t="s">
        <v>57</v>
      </c>
      <c r="C7" s="106">
        <v>46</v>
      </c>
      <c r="D7" s="436">
        <v>54672508.702405602</v>
      </c>
      <c r="E7" s="436">
        <v>158258802.05444619</v>
      </c>
      <c r="F7" s="436">
        <v>167737013.89033544</v>
      </c>
      <c r="G7" s="436">
        <v>624041.56883064599</v>
      </c>
      <c r="H7" s="436">
        <v>33868101.648062274</v>
      </c>
      <c r="I7" s="436">
        <f>VLOOKUP(C7, '2021_Internal_ModelLink'!$A$3:$Z$1000, 14, 0)</f>
        <v>29659939.295696195</v>
      </c>
      <c r="J7" s="116"/>
      <c r="K7" s="337"/>
      <c r="L7" s="431"/>
      <c r="M7" s="431"/>
      <c r="N7" s="431"/>
      <c r="O7" s="431"/>
      <c r="P7" s="431"/>
      <c r="Q7" s="431"/>
      <c r="R7" s="227"/>
      <c r="T7" s="452"/>
    </row>
    <row r="8" spans="1:20" s="405" customFormat="1">
      <c r="A8" s="875"/>
      <c r="B8" s="58" t="s">
        <v>58</v>
      </c>
      <c r="C8" s="106">
        <v>47</v>
      </c>
      <c r="D8" s="436">
        <v>822665.18352141499</v>
      </c>
      <c r="E8" s="436">
        <v>-933885.90742931678</v>
      </c>
      <c r="F8" s="436">
        <v>-780082.90165939706</v>
      </c>
      <c r="G8" s="436">
        <v>67210.402317334898</v>
      </c>
      <c r="H8" s="436">
        <v>836574.30775762093</v>
      </c>
      <c r="I8" s="436">
        <f>VLOOKUP(C8, '2021_Internal_ModelLink'!$A$3:$Z$1000, 14, 0)</f>
        <v>463417.08028299303</v>
      </c>
      <c r="J8" s="116"/>
      <c r="K8" s="337"/>
      <c r="L8" s="431"/>
      <c r="M8" s="431"/>
      <c r="N8" s="431"/>
      <c r="O8" s="431"/>
      <c r="P8" s="431"/>
      <c r="Q8" s="431"/>
      <c r="R8" s="227"/>
      <c r="T8" s="452"/>
    </row>
    <row r="9" spans="1:20" s="405" customFormat="1">
      <c r="A9" s="875"/>
      <c r="B9" s="58" t="s">
        <v>60</v>
      </c>
      <c r="C9" s="106">
        <v>48</v>
      </c>
      <c r="D9" s="436">
        <v>716993.593016561</v>
      </c>
      <c r="E9" s="436">
        <v>-835957.48843687319</v>
      </c>
      <c r="F9" s="436">
        <v>-790274.81353473954</v>
      </c>
      <c r="G9" s="436">
        <v>38763.076341592903</v>
      </c>
      <c r="H9" s="436">
        <v>845800.47900917358</v>
      </c>
      <c r="I9" s="436">
        <f>VLOOKUP(C9, '2021_Internal_ModelLink'!$A$3:$Z$1000, 14, 0)</f>
        <v>477086.22954885225</v>
      </c>
      <c r="J9" s="116"/>
      <c r="K9" s="337"/>
      <c r="L9" s="431"/>
      <c r="M9" s="431"/>
      <c r="N9" s="431"/>
      <c r="O9" s="431"/>
      <c r="P9" s="431"/>
      <c r="Q9" s="431"/>
      <c r="R9" s="227"/>
      <c r="T9" s="452"/>
    </row>
    <row r="10" spans="1:20" s="405" customFormat="1">
      <c r="A10" s="875"/>
      <c r="B10" s="58" t="s">
        <v>61</v>
      </c>
      <c r="C10" s="106">
        <v>49</v>
      </c>
      <c r="D10" s="436">
        <v>128250.001890332</v>
      </c>
      <c r="E10" s="436">
        <v>269132.43180932821</v>
      </c>
      <c r="F10" s="436">
        <v>296697.17006932048</v>
      </c>
      <c r="G10" s="436">
        <v>1260.8270398638001</v>
      </c>
      <c r="H10" s="436">
        <v>6442.0477026642202</v>
      </c>
      <c r="I10" s="436">
        <f>VLOOKUP(C10, '2021_Internal_ModelLink'!$A$3:$Z$1000, 14, 0)</f>
        <v>5355.059890728</v>
      </c>
      <c r="J10" s="116"/>
      <c r="K10" s="337"/>
      <c r="L10" s="431"/>
      <c r="M10" s="431"/>
      <c r="N10" s="431"/>
      <c r="O10" s="431"/>
      <c r="P10" s="431"/>
      <c r="Q10" s="431"/>
      <c r="R10" s="227"/>
      <c r="T10" s="452"/>
    </row>
    <row r="11" spans="1:20" s="405" customFormat="1">
      <c r="A11" s="875"/>
      <c r="B11" s="58" t="s">
        <v>62</v>
      </c>
      <c r="C11" s="106">
        <v>50</v>
      </c>
      <c r="D11" s="436">
        <v>97804.343194222107</v>
      </c>
      <c r="E11" s="436">
        <v>236796.75498653812</v>
      </c>
      <c r="F11" s="436">
        <v>287151.68807807314</v>
      </c>
      <c r="G11" s="436">
        <v>825.33274796973899</v>
      </c>
      <c r="H11" s="436">
        <v>6198.1419747915243</v>
      </c>
      <c r="I11" s="436">
        <f>VLOOKUP(C11, '2021_Internal_ModelLink'!$A$3:$Z$1000, 14, 0)</f>
        <v>5069.2318999292884</v>
      </c>
      <c r="J11" s="116"/>
      <c r="K11" s="337"/>
      <c r="L11" s="431"/>
      <c r="M11" s="431"/>
      <c r="N11" s="431"/>
      <c r="O11" s="431"/>
      <c r="P11" s="431"/>
      <c r="Q11" s="431"/>
      <c r="R11" s="227"/>
      <c r="T11" s="452"/>
    </row>
    <row r="12" spans="1:20" s="405" customFormat="1">
      <c r="A12" s="875"/>
      <c r="B12" s="58" t="s">
        <v>63</v>
      </c>
      <c r="C12" s="106">
        <v>51</v>
      </c>
      <c r="D12" s="436">
        <v>622467999.60087097</v>
      </c>
      <c r="E12" s="436">
        <v>2169183161.5208969</v>
      </c>
      <c r="F12" s="436">
        <v>2170897257.3384709</v>
      </c>
      <c r="G12" s="436">
        <v>11133227.128706099</v>
      </c>
      <c r="H12" s="436">
        <v>53946269.870446295</v>
      </c>
      <c r="I12" s="436">
        <f>VLOOKUP(C12, '2021_Internal_ModelLink'!$A$3:$Z$1000, 14, 0)</f>
        <v>42489759.862561196</v>
      </c>
      <c r="J12" s="116"/>
      <c r="K12" s="337"/>
      <c r="L12" s="431"/>
      <c r="M12" s="431"/>
      <c r="N12" s="431"/>
      <c r="O12" s="431"/>
      <c r="P12" s="431"/>
      <c r="Q12" s="431"/>
      <c r="R12" s="227"/>
      <c r="T12" s="452"/>
    </row>
    <row r="13" spans="1:20" s="405" customFormat="1">
      <c r="A13" s="875"/>
      <c r="B13" s="58" t="s">
        <v>64</v>
      </c>
      <c r="C13" s="106">
        <v>52</v>
      </c>
      <c r="D13" s="436">
        <v>424281432.92512399</v>
      </c>
      <c r="E13" s="436">
        <v>1934264941.6334074</v>
      </c>
      <c r="F13" s="436">
        <v>2075911835.8221164</v>
      </c>
      <c r="G13" s="436">
        <v>6751199.06814628</v>
      </c>
      <c r="H13" s="436">
        <v>46277626.747786298</v>
      </c>
      <c r="I13" s="436">
        <f>VLOOKUP(C13, '2021_Internal_ModelLink'!$A$3:$Z$1000, 14, 0)</f>
        <v>37816835.045759149</v>
      </c>
      <c r="J13" s="116"/>
      <c r="K13" s="337"/>
      <c r="L13" s="431"/>
      <c r="M13" s="431"/>
      <c r="N13" s="431"/>
      <c r="O13" s="431"/>
      <c r="P13" s="431"/>
      <c r="Q13" s="431"/>
      <c r="R13" s="227"/>
      <c r="T13" s="452"/>
    </row>
    <row r="14" spans="1:20" s="405" customFormat="1">
      <c r="A14" s="875"/>
      <c r="B14" s="58" t="s">
        <v>65</v>
      </c>
      <c r="C14" s="106">
        <v>53</v>
      </c>
      <c r="D14" s="436">
        <v>1238409.8967502301</v>
      </c>
      <c r="E14" s="436">
        <v>-28473475.208798978</v>
      </c>
      <c r="F14" s="436">
        <v>-29464988.738078784</v>
      </c>
      <c r="G14" s="436">
        <v>806223.21620807797</v>
      </c>
      <c r="H14" s="436">
        <v>1486699.8226902529</v>
      </c>
      <c r="I14" s="436">
        <f>VLOOKUP(C14, '2021_Internal_ModelLink'!$A$3:$Z$1000, 14, 0)</f>
        <v>674566.08028299303</v>
      </c>
      <c r="J14" s="116"/>
      <c r="K14" s="337"/>
      <c r="L14" s="431"/>
      <c r="M14" s="431"/>
      <c r="N14" s="431"/>
      <c r="O14" s="431"/>
      <c r="P14" s="431"/>
      <c r="Q14" s="431"/>
      <c r="R14" s="227"/>
      <c r="T14" s="452"/>
    </row>
    <row r="15" spans="1:20" s="41" customFormat="1" ht="15.95" customHeight="1">
      <c r="A15" s="875"/>
      <c r="B15" s="58" t="s">
        <v>66</v>
      </c>
      <c r="C15" s="106">
        <v>54</v>
      </c>
      <c r="D15" s="466">
        <v>451045.580858309</v>
      </c>
      <c r="E15" s="466">
        <v>-26334895.867990877</v>
      </c>
      <c r="F15" s="466">
        <v>-29056739.574923828</v>
      </c>
      <c r="G15" s="466">
        <v>462418.04391632299</v>
      </c>
      <c r="H15" s="466">
        <v>1235875.7957188531</v>
      </c>
      <c r="I15" s="466">
        <f>VLOOKUP(C15, '2021_Internal_ModelLink'!$A$3:$Z$1000, 14, 0)</f>
        <v>603775.63206594472</v>
      </c>
      <c r="J15" s="116"/>
      <c r="K15" s="337"/>
      <c r="L15" s="317"/>
      <c r="M15" s="58"/>
      <c r="N15" s="58"/>
      <c r="O15" s="58"/>
      <c r="P15" s="58"/>
      <c r="Q15" s="58"/>
      <c r="R15" s="321"/>
      <c r="S15" s="405"/>
      <c r="T15" s="452"/>
    </row>
    <row r="16" spans="1:20" s="41" customFormat="1" ht="15.95" customHeight="1">
      <c r="A16" s="875"/>
      <c r="B16" s="58"/>
      <c r="C16" s="146"/>
      <c r="D16" s="150"/>
      <c r="E16" s="150"/>
      <c r="F16" s="150"/>
      <c r="G16" s="150"/>
      <c r="H16" s="150"/>
      <c r="I16" s="150"/>
      <c r="J16" s="58"/>
      <c r="K16" s="317"/>
      <c r="L16" s="317"/>
      <c r="M16" s="58"/>
      <c r="N16" s="58"/>
      <c r="O16" s="58"/>
      <c r="P16" s="58"/>
      <c r="Q16" s="58"/>
      <c r="R16" s="321"/>
      <c r="S16" s="405"/>
      <c r="T16" s="452"/>
    </row>
    <row r="17" spans="1:20" s="41" customFormat="1" ht="15.95" customHeight="1">
      <c r="A17" s="876"/>
      <c r="B17" s="47"/>
      <c r="C17" s="60"/>
      <c r="D17" s="61"/>
      <c r="E17" s="61"/>
      <c r="F17" s="61"/>
      <c r="G17" s="61"/>
      <c r="H17" s="61"/>
      <c r="I17" s="61"/>
      <c r="J17" s="47"/>
      <c r="K17" s="320"/>
      <c r="L17" s="318"/>
      <c r="M17" s="47"/>
      <c r="N17" s="47"/>
      <c r="O17" s="47"/>
      <c r="P17" s="47"/>
      <c r="Q17" s="47"/>
      <c r="R17" s="319"/>
      <c r="S17" s="405"/>
      <c r="T17" s="452"/>
    </row>
    <row r="18" spans="1:20" s="41" customFormat="1" ht="15.95" customHeight="1">
      <c r="A18" s="49"/>
      <c r="B18" s="405"/>
      <c r="C18" s="405"/>
      <c r="D18" s="405"/>
      <c r="E18" s="405"/>
      <c r="F18" s="405"/>
      <c r="G18" s="405"/>
      <c r="H18" s="405"/>
      <c r="I18" s="405"/>
      <c r="J18" s="405"/>
      <c r="K18" s="337"/>
      <c r="L18" s="337"/>
      <c r="M18" s="405"/>
      <c r="N18" s="405"/>
      <c r="O18" s="405"/>
      <c r="P18" s="405"/>
      <c r="Q18" s="405"/>
      <c r="R18" s="174"/>
      <c r="S18" s="405"/>
      <c r="T18" s="452"/>
    </row>
    <row r="19" spans="1:20" s="41" customFormat="1" ht="15.95" customHeight="1">
      <c r="A19" s="856" t="s">
        <v>44</v>
      </c>
      <c r="B19" s="893" t="s">
        <v>1865</v>
      </c>
      <c r="C19" s="893"/>
      <c r="D19" s="893"/>
      <c r="E19" s="893"/>
      <c r="F19" s="115"/>
      <c r="G19" s="602"/>
      <c r="H19" s="602"/>
      <c r="I19" s="602"/>
      <c r="J19" s="114"/>
      <c r="K19" s="114"/>
      <c r="L19" s="122"/>
      <c r="M19" s="122"/>
      <c r="N19" s="308"/>
      <c r="O19" s="604"/>
      <c r="P19" s="604"/>
      <c r="Q19" s="604"/>
      <c r="R19" s="861"/>
      <c r="S19" s="405"/>
      <c r="T19" s="452"/>
    </row>
    <row r="20" spans="1:20" s="41" customFormat="1" ht="15.95" customHeight="1">
      <c r="A20" s="859"/>
      <c r="B20" s="47"/>
      <c r="C20" s="48">
        <v>55</v>
      </c>
      <c r="D20" s="54">
        <f t="shared" ref="D20:H20" si="0">(D7*0.000707) + (D9*0.0053)</f>
        <v>42453.529695588535</v>
      </c>
      <c r="E20" s="54">
        <f t="shared" si="0"/>
        <v>107458.39836377802</v>
      </c>
      <c r="F20" s="54">
        <f t="shared" si="0"/>
        <v>114401.61230873302</v>
      </c>
      <c r="G20" s="54">
        <f t="shared" si="0"/>
        <v>646.64169377370911</v>
      </c>
      <c r="H20" s="54">
        <f t="shared" si="0"/>
        <v>28427.490403928648</v>
      </c>
      <c r="I20" s="782">
        <f>VLOOKUP(C20, '2021_Internal_ModelLink'!$A$3:$Z$1000, 14, 0)</f>
        <v>6460.5659519101091</v>
      </c>
      <c r="J20" s="161"/>
      <c r="K20" s="311"/>
      <c r="L20" s="117"/>
      <c r="M20" s="117"/>
      <c r="N20" s="117"/>
      <c r="O20" s="117"/>
      <c r="P20" s="117"/>
      <c r="Q20" s="117"/>
      <c r="R20" s="862"/>
      <c r="S20" s="405"/>
      <c r="T20" s="452"/>
    </row>
    <row r="21" spans="1:20" s="41" customFormat="1" ht="15.95" customHeight="1">
      <c r="A21" s="450"/>
      <c r="B21" s="47"/>
      <c r="C21" s="161"/>
      <c r="D21" s="47"/>
      <c r="E21" s="47"/>
      <c r="F21" s="47"/>
      <c r="G21" s="47"/>
      <c r="H21" s="47"/>
      <c r="I21" s="47"/>
      <c r="J21" s="47"/>
      <c r="K21" s="47"/>
      <c r="L21" s="121"/>
      <c r="M21" s="121"/>
      <c r="N21" s="121"/>
      <c r="O21" s="121"/>
      <c r="P21" s="121"/>
      <c r="Q21" s="121"/>
      <c r="R21" s="228"/>
      <c r="S21" s="405"/>
      <c r="T21" s="452"/>
    </row>
    <row r="22" spans="1:20" s="405" customFormat="1" ht="15.95" customHeight="1">
      <c r="A22" s="877" t="s">
        <v>1603</v>
      </c>
      <c r="B22" s="158" t="s">
        <v>1604</v>
      </c>
      <c r="C22" s="154"/>
      <c r="D22" s="153"/>
      <c r="E22" s="153"/>
      <c r="F22" s="153"/>
      <c r="G22" s="603"/>
      <c r="H22" s="603"/>
      <c r="I22" s="603"/>
      <c r="J22" s="114"/>
      <c r="K22" s="115"/>
      <c r="L22" s="122"/>
      <c r="M22" s="122"/>
      <c r="N22" s="122"/>
      <c r="O22" s="605"/>
      <c r="P22" s="605"/>
      <c r="Q22" s="605"/>
      <c r="R22" s="229"/>
      <c r="T22" s="452"/>
    </row>
    <row r="23" spans="1:20" s="405" customFormat="1" ht="15.95" customHeight="1">
      <c r="A23" s="878"/>
      <c r="B23" s="563" t="s">
        <v>1605</v>
      </c>
      <c r="C23" s="880">
        <v>56</v>
      </c>
      <c r="D23" s="869">
        <f t="shared" ref="D23:I23" si="1">L23/L24</f>
        <v>3.7510014566642389</v>
      </c>
      <c r="E23" s="869">
        <f t="shared" si="1"/>
        <v>7.3340558175075525</v>
      </c>
      <c r="F23" s="869">
        <f t="shared" si="1"/>
        <v>13.499810030395137</v>
      </c>
      <c r="G23" s="869">
        <f t="shared" si="1"/>
        <v>0.70816317545376795</v>
      </c>
      <c r="H23" s="869">
        <f t="shared" si="1"/>
        <v>0.96906534940455347</v>
      </c>
      <c r="I23" s="869">
        <f t="shared" si="1"/>
        <v>7.2833791665650693</v>
      </c>
      <c r="J23" s="242" t="s">
        <v>924</v>
      </c>
      <c r="K23" s="235" t="s">
        <v>1606</v>
      </c>
      <c r="L23" s="312">
        <v>82402</v>
      </c>
      <c r="M23" s="312">
        <v>227209.04922638397</v>
      </c>
      <c r="N23" s="312">
        <v>284252</v>
      </c>
      <c r="O23" s="312">
        <v>5302.7258577978146</v>
      </c>
      <c r="P23" s="312">
        <v>6198.1419747915243</v>
      </c>
      <c r="Q23" s="312">
        <f>VLOOKUP(C23, '2021_Internal_ModelLink'!$A$3:$Z$1000, 15, 0)</f>
        <v>5069.2318999292884</v>
      </c>
      <c r="R23" s="483"/>
      <c r="T23" s="452"/>
    </row>
    <row r="24" spans="1:20" s="405" customFormat="1" ht="15.95" customHeight="1">
      <c r="A24" s="878"/>
      <c r="B24" s="564"/>
      <c r="C24" s="880"/>
      <c r="D24" s="869"/>
      <c r="E24" s="869"/>
      <c r="F24" s="869"/>
      <c r="G24" s="869"/>
      <c r="H24" s="869"/>
      <c r="I24" s="869"/>
      <c r="J24" s="242" t="s">
        <v>925</v>
      </c>
      <c r="K24" s="236" t="s">
        <v>1607</v>
      </c>
      <c r="L24" s="313">
        <v>21968</v>
      </c>
      <c r="M24" s="313">
        <v>30980</v>
      </c>
      <c r="N24" s="313">
        <v>21056</v>
      </c>
      <c r="O24" s="313">
        <v>7488</v>
      </c>
      <c r="P24" s="313">
        <v>6396</v>
      </c>
      <c r="Q24" s="313">
        <f>VLOOKUP(C23, '2021_Internal_ModelLink'!$A$3:$Z$1000, 16, 0)</f>
        <v>696</v>
      </c>
      <c r="R24" s="483"/>
      <c r="T24" s="452"/>
    </row>
    <row r="25" spans="1:20" s="405" customFormat="1" ht="15.95" customHeight="1">
      <c r="A25" s="878"/>
      <c r="B25" s="155"/>
      <c r="C25" s="157"/>
      <c r="D25" s="155"/>
      <c r="E25" s="155"/>
      <c r="F25" s="155"/>
      <c r="G25" s="155"/>
      <c r="H25" s="155"/>
      <c r="I25" s="155"/>
      <c r="J25" s="146"/>
      <c r="K25" s="237"/>
      <c r="L25" s="125"/>
      <c r="M25" s="125"/>
      <c r="N25" s="125"/>
      <c r="O25" s="125"/>
      <c r="P25" s="125"/>
      <c r="Q25" s="125"/>
      <c r="R25" s="619"/>
      <c r="T25" s="452"/>
    </row>
    <row r="26" spans="1:20" s="405" customFormat="1" ht="15.95" customHeight="1">
      <c r="A26" s="878"/>
      <c r="B26" s="850" t="s">
        <v>1608</v>
      </c>
      <c r="C26" s="880">
        <v>57</v>
      </c>
      <c r="D26" s="871">
        <f t="shared" ref="D26:I26" si="2">L26/L27</f>
        <v>17791.417197742172</v>
      </c>
      <c r="E26" s="871">
        <f t="shared" si="2"/>
        <v>61441.877780799441</v>
      </c>
      <c r="F26" s="871">
        <f t="shared" si="2"/>
        <v>98316.27268759931</v>
      </c>
      <c r="G26" s="871">
        <f t="shared" si="2"/>
        <v>3845.101555649735</v>
      </c>
      <c r="H26" s="871">
        <f t="shared" si="2"/>
        <v>7235.4013051573329</v>
      </c>
      <c r="I26" s="871">
        <f t="shared" si="2"/>
        <v>54334.533111722914</v>
      </c>
      <c r="J26" s="242" t="s">
        <v>926</v>
      </c>
      <c r="K26" s="235" t="s">
        <v>112</v>
      </c>
      <c r="L26" s="314">
        <v>390841853</v>
      </c>
      <c r="M26" s="314">
        <v>1903469373.6491666</v>
      </c>
      <c r="N26" s="314">
        <v>2070147437.7100911</v>
      </c>
      <c r="O26" s="314">
        <v>28792120.448705215</v>
      </c>
      <c r="P26" s="314">
        <v>46277626.747786298</v>
      </c>
      <c r="Q26" s="314">
        <f>VLOOKUP(C26, '2021_Internal_ModelLink'!$A$3:$Z$1000, 15, 0)</f>
        <v>37816835.045759149</v>
      </c>
      <c r="R26" s="483"/>
      <c r="T26" s="452"/>
    </row>
    <row r="27" spans="1:20" s="405" customFormat="1" ht="15.95" customHeight="1">
      <c r="A27" s="878"/>
      <c r="B27" s="851"/>
      <c r="C27" s="880"/>
      <c r="D27" s="871"/>
      <c r="E27" s="871"/>
      <c r="F27" s="871"/>
      <c r="G27" s="871"/>
      <c r="H27" s="871"/>
      <c r="I27" s="871"/>
      <c r="J27" s="242" t="s">
        <v>927</v>
      </c>
      <c r="K27" s="236" t="s">
        <v>1607</v>
      </c>
      <c r="L27" s="313">
        <v>21968</v>
      </c>
      <c r="M27" s="313">
        <v>30980</v>
      </c>
      <c r="N27" s="313">
        <f>N24</f>
        <v>21056</v>
      </c>
      <c r="O27" s="313">
        <v>7488</v>
      </c>
      <c r="P27" s="313">
        <v>6396</v>
      </c>
      <c r="Q27" s="313">
        <f>VLOOKUP(C26, '2021_Internal_ModelLink'!$A$3:$Z$1000, 16, 0)</f>
        <v>696</v>
      </c>
      <c r="R27" s="483"/>
      <c r="T27" s="452"/>
    </row>
    <row r="28" spans="1:20" s="405" customFormat="1" ht="15.95" customHeight="1">
      <c r="A28" s="878"/>
      <c r="B28" s="155"/>
      <c r="C28" s="157"/>
      <c r="D28" s="155"/>
      <c r="E28" s="155"/>
      <c r="F28" s="155"/>
      <c r="G28" s="155"/>
      <c r="H28" s="155"/>
      <c r="I28" s="155"/>
      <c r="J28" s="146"/>
      <c r="K28" s="237"/>
      <c r="L28" s="125"/>
      <c r="M28" s="125"/>
      <c r="N28" s="125"/>
      <c r="O28" s="125"/>
      <c r="P28" s="125"/>
      <c r="Q28" s="125"/>
      <c r="R28" s="568"/>
      <c r="T28" s="452"/>
    </row>
    <row r="29" spans="1:20" s="405" customFormat="1" ht="15.95" customHeight="1">
      <c r="A29" s="878"/>
      <c r="B29" s="850" t="s">
        <v>1609</v>
      </c>
      <c r="C29" s="880">
        <v>58</v>
      </c>
      <c r="D29" s="871">
        <f t="shared" ref="D29:I29" si="3">L29/L30</f>
        <v>3.8351758779093545</v>
      </c>
      <c r="E29" s="871">
        <f t="shared" si="3"/>
        <v>-854.08657015297149</v>
      </c>
      <c r="F29" s="871">
        <f t="shared" si="3"/>
        <v>-1395.6140195788223</v>
      </c>
      <c r="G29" s="871">
        <f t="shared" si="3"/>
        <v>132.09404088456441</v>
      </c>
      <c r="H29" s="871">
        <f t="shared" si="3"/>
        <v>193.22635955579318</v>
      </c>
      <c r="I29" s="871">
        <f t="shared" si="3"/>
        <v>867.49372423267903</v>
      </c>
      <c r="J29" s="242" t="s">
        <v>928</v>
      </c>
      <c r="K29" s="235" t="s">
        <v>114</v>
      </c>
      <c r="L29" s="315">
        <v>84251.143685912699</v>
      </c>
      <c r="M29" s="315">
        <v>-26459601.943339057</v>
      </c>
      <c r="N29" s="315">
        <v>-29386048.796251684</v>
      </c>
      <c r="O29" s="315">
        <v>989120.17814361828</v>
      </c>
      <c r="P29" s="315">
        <v>1235875.7957188531</v>
      </c>
      <c r="Q29" s="315">
        <f>VLOOKUP(C29, '2021_Internal_ModelLink'!$A$3:$Z$1000, 15, 0)</f>
        <v>603775.63206594461</v>
      </c>
      <c r="R29" s="483"/>
      <c r="T29" s="452"/>
    </row>
    <row r="30" spans="1:20" s="405" customFormat="1" ht="15.95" customHeight="1">
      <c r="A30" s="878"/>
      <c r="B30" s="851"/>
      <c r="C30" s="880"/>
      <c r="D30" s="871"/>
      <c r="E30" s="871"/>
      <c r="F30" s="871"/>
      <c r="G30" s="871"/>
      <c r="H30" s="871"/>
      <c r="I30" s="871"/>
      <c r="J30" s="242" t="s">
        <v>929</v>
      </c>
      <c r="K30" s="236" t="s">
        <v>1607</v>
      </c>
      <c r="L30" s="313">
        <v>21968</v>
      </c>
      <c r="M30" s="313">
        <v>30980</v>
      </c>
      <c r="N30" s="313">
        <f>N27</f>
        <v>21056</v>
      </c>
      <c r="O30" s="313">
        <v>7488</v>
      </c>
      <c r="P30" s="313">
        <v>6396</v>
      </c>
      <c r="Q30" s="313">
        <f>VLOOKUP(C29, '2021_Internal_ModelLink'!$A$3:$Z$1000, 16, 0)</f>
        <v>696</v>
      </c>
      <c r="R30" s="483"/>
      <c r="T30" s="452"/>
    </row>
    <row r="31" spans="1:20" s="405" customFormat="1" ht="15.95" customHeight="1">
      <c r="A31" s="878"/>
      <c r="B31" s="156"/>
      <c r="C31" s="157"/>
      <c r="D31" s="155"/>
      <c r="E31" s="155"/>
      <c r="F31" s="155"/>
      <c r="G31" s="155"/>
      <c r="H31" s="155"/>
      <c r="I31" s="155"/>
      <c r="J31" s="146"/>
      <c r="K31" s="237"/>
      <c r="L31" s="125"/>
      <c r="M31" s="125"/>
      <c r="N31" s="125"/>
      <c r="O31" s="125"/>
      <c r="P31" s="125"/>
      <c r="Q31" s="125"/>
      <c r="R31" s="568"/>
      <c r="T31" s="452"/>
    </row>
    <row r="32" spans="1:20" s="405" customFormat="1" ht="15.95" customHeight="1">
      <c r="A32" s="878"/>
      <c r="B32" s="850"/>
      <c r="C32" s="880"/>
      <c r="D32" s="871"/>
      <c r="E32" s="871"/>
      <c r="F32" s="871"/>
      <c r="G32" s="586"/>
      <c r="H32" s="692"/>
      <c r="I32" s="738"/>
      <c r="J32" s="242"/>
      <c r="K32" s="235"/>
      <c r="L32" s="315"/>
      <c r="M32" s="315"/>
      <c r="N32" s="315"/>
      <c r="O32" s="315"/>
      <c r="P32" s="315"/>
      <c r="Q32" s="315"/>
      <c r="R32" s="853"/>
      <c r="T32" s="452"/>
    </row>
    <row r="33" spans="1:20" s="405" customFormat="1" ht="15.95" customHeight="1">
      <c r="A33" s="879"/>
      <c r="B33" s="865"/>
      <c r="C33" s="881"/>
      <c r="D33" s="883"/>
      <c r="E33" s="883"/>
      <c r="F33" s="883"/>
      <c r="G33" s="587"/>
      <c r="H33" s="693"/>
      <c r="I33" s="739"/>
      <c r="J33" s="250"/>
      <c r="K33" s="236"/>
      <c r="L33" s="316"/>
      <c r="M33" s="316"/>
      <c r="N33" s="384"/>
      <c r="O33" s="384"/>
      <c r="P33" s="384"/>
      <c r="Q33" s="384"/>
      <c r="R33" s="855"/>
      <c r="T33" s="452"/>
    </row>
    <row r="34" spans="1:20" s="405" customFormat="1" ht="15.95" customHeight="1">
      <c r="A34" s="62"/>
      <c r="B34" s="63"/>
      <c r="C34" s="51"/>
      <c r="D34" s="59"/>
      <c r="E34" s="59"/>
      <c r="F34" s="59"/>
      <c r="G34" s="59"/>
      <c r="H34" s="59"/>
      <c r="I34" s="59"/>
      <c r="J34" s="73"/>
      <c r="K34" s="455"/>
      <c r="L34" s="125"/>
      <c r="M34" s="125"/>
      <c r="N34" s="125"/>
      <c r="O34" s="125"/>
      <c r="P34" s="125"/>
      <c r="Q34" s="125"/>
      <c r="R34" s="230"/>
      <c r="T34" s="452"/>
    </row>
    <row r="35" spans="1:20" s="41" customFormat="1" ht="15.95" customHeight="1">
      <c r="A35" s="877" t="s">
        <v>1603</v>
      </c>
      <c r="B35" s="158" t="s">
        <v>1610</v>
      </c>
      <c r="C35" s="154"/>
      <c r="D35" s="153"/>
      <c r="E35" s="153"/>
      <c r="F35" s="153"/>
      <c r="G35" s="603"/>
      <c r="H35" s="603"/>
      <c r="I35" s="603"/>
      <c r="J35" s="114"/>
      <c r="K35" s="115"/>
      <c r="L35" s="122"/>
      <c r="M35" s="122"/>
      <c r="N35" s="122"/>
      <c r="O35" s="605"/>
      <c r="P35" s="605"/>
      <c r="Q35" s="605"/>
      <c r="R35" s="229"/>
      <c r="S35" s="405"/>
      <c r="T35" s="452"/>
    </row>
    <row r="36" spans="1:20" s="41" customFormat="1" ht="15.95" customHeight="1">
      <c r="A36" s="878"/>
      <c r="B36" s="563" t="s">
        <v>1605</v>
      </c>
      <c r="C36" s="880">
        <v>59</v>
      </c>
      <c r="D36" s="869">
        <f t="shared" ref="D36:I36" si="4">L36/L37</f>
        <v>3.2393629493648981</v>
      </c>
      <c r="E36" s="869">
        <f t="shared" si="4"/>
        <v>7.5565565730015862</v>
      </c>
      <c r="F36" s="869">
        <f t="shared" si="4"/>
        <v>16.91622014213597</v>
      </c>
      <c r="G36" s="869">
        <f t="shared" si="4"/>
        <v>1.8624585434977029E-2</v>
      </c>
      <c r="H36" s="869">
        <f t="shared" si="4"/>
        <v>0.11933547106168485</v>
      </c>
      <c r="I36" s="869">
        <f t="shared" si="4"/>
        <v>1.0620259203811342</v>
      </c>
      <c r="J36" s="242" t="s">
        <v>930</v>
      </c>
      <c r="K36" s="235" t="s">
        <v>108</v>
      </c>
      <c r="L36" s="312">
        <v>43967.87331172976</v>
      </c>
      <c r="M36" s="312">
        <v>213865.6641290909</v>
      </c>
      <c r="N36" s="312">
        <v>228267.47459798277</v>
      </c>
      <c r="O36" s="312">
        <v>126.83342681219358</v>
      </c>
      <c r="P36" s="312">
        <v>754.67751899409495</v>
      </c>
      <c r="Q36" s="312">
        <f>VLOOKUP(C36, '2021_Internal_ModelLink'!$A$3:$Z$1000, 15, 0)</f>
        <v>738.10801466488829</v>
      </c>
      <c r="R36" s="483"/>
      <c r="S36" s="405"/>
      <c r="T36" s="452"/>
    </row>
    <row r="37" spans="1:20" s="41" customFormat="1" ht="15.95" customHeight="1">
      <c r="A37" s="878"/>
      <c r="B37" s="564"/>
      <c r="C37" s="880"/>
      <c r="D37" s="869"/>
      <c r="E37" s="869"/>
      <c r="F37" s="869"/>
      <c r="G37" s="869"/>
      <c r="H37" s="869"/>
      <c r="I37" s="869"/>
      <c r="J37" s="242" t="s">
        <v>931</v>
      </c>
      <c r="K37" s="236" t="s">
        <v>1611</v>
      </c>
      <c r="L37" s="313">
        <v>13573</v>
      </c>
      <c r="M37" s="313">
        <v>28302</v>
      </c>
      <c r="N37" s="313">
        <v>13494</v>
      </c>
      <c r="O37" s="313">
        <v>6810</v>
      </c>
      <c r="P37" s="313">
        <v>6324</v>
      </c>
      <c r="Q37" s="313">
        <f>VLOOKUP(C36, '2021_Internal_ModelLink'!$A$3:$Z$1000, 16, 0)</f>
        <v>695</v>
      </c>
      <c r="R37" s="483"/>
      <c r="S37" s="405"/>
      <c r="T37" s="452"/>
    </row>
    <row r="38" spans="1:20" s="41" customFormat="1" ht="15.95" customHeight="1">
      <c r="A38" s="878"/>
      <c r="B38" s="155"/>
      <c r="C38" s="157"/>
      <c r="D38" s="155"/>
      <c r="E38" s="155"/>
      <c r="F38" s="155"/>
      <c r="G38" s="155"/>
      <c r="H38" s="155"/>
      <c r="I38" s="155"/>
      <c r="J38" s="146"/>
      <c r="K38" s="237"/>
      <c r="L38" s="125"/>
      <c r="M38" s="125"/>
      <c r="N38" s="125"/>
      <c r="O38" s="125"/>
      <c r="P38" s="125"/>
      <c r="Q38" s="125"/>
      <c r="R38" s="559"/>
      <c r="S38" s="405"/>
      <c r="T38" s="452"/>
    </row>
    <row r="39" spans="1:20" s="41" customFormat="1" ht="15.95" customHeight="1">
      <c r="A39" s="878"/>
      <c r="B39" s="850" t="s">
        <v>1608</v>
      </c>
      <c r="C39" s="880">
        <v>60</v>
      </c>
      <c r="D39" s="871">
        <f t="shared" ref="D39:I39" si="5">L39/L40</f>
        <v>26408.666304034865</v>
      </c>
      <c r="E39" s="871">
        <f t="shared" si="5"/>
        <v>65949.398012764752</v>
      </c>
      <c r="F39" s="871">
        <f t="shared" si="5"/>
        <v>150255.9347505201</v>
      </c>
      <c r="G39" s="871">
        <f t="shared" si="5"/>
        <v>824.67508692301249</v>
      </c>
      <c r="H39" s="871">
        <f t="shared" si="5"/>
        <v>2185.5275346277672</v>
      </c>
      <c r="I39" s="871">
        <f t="shared" si="5"/>
        <v>13040.600719525108</v>
      </c>
      <c r="J39" s="242" t="s">
        <v>932</v>
      </c>
      <c r="K39" s="235" t="s">
        <v>112</v>
      </c>
      <c r="L39" s="314">
        <v>358444827.74466521</v>
      </c>
      <c r="M39" s="314">
        <v>1866499862.5572681</v>
      </c>
      <c r="N39" s="314">
        <v>2027553583.5235183</v>
      </c>
      <c r="O39" s="314">
        <v>5616037.3419457152</v>
      </c>
      <c r="P39" s="314">
        <v>13821276.128985999</v>
      </c>
      <c r="Q39" s="314">
        <f>VLOOKUP(C39, '2021_Internal_ModelLink'!$A$3:$Z$1000, 15, 0)</f>
        <v>9063217.5000699498</v>
      </c>
      <c r="R39" s="483"/>
      <c r="S39" s="405"/>
      <c r="T39" s="452"/>
    </row>
    <row r="40" spans="1:20" s="41" customFormat="1" ht="15.95" customHeight="1">
      <c r="A40" s="878"/>
      <c r="B40" s="851"/>
      <c r="C40" s="880"/>
      <c r="D40" s="871"/>
      <c r="E40" s="871"/>
      <c r="F40" s="871"/>
      <c r="G40" s="871"/>
      <c r="H40" s="871"/>
      <c r="I40" s="871"/>
      <c r="J40" s="242" t="s">
        <v>933</v>
      </c>
      <c r="K40" s="236" t="s">
        <v>1611</v>
      </c>
      <c r="L40" s="313">
        <f>L37</f>
        <v>13573</v>
      </c>
      <c r="M40" s="313">
        <v>28302</v>
      </c>
      <c r="N40" s="313">
        <f t="shared" ref="N40" si="6">N37</f>
        <v>13494</v>
      </c>
      <c r="O40" s="313">
        <v>6810</v>
      </c>
      <c r="P40" s="313">
        <v>6324</v>
      </c>
      <c r="Q40" s="313">
        <f>VLOOKUP(C39, '2021_Internal_ModelLink'!$A$3:$Z$1000, 16, 0)</f>
        <v>695</v>
      </c>
      <c r="R40" s="483"/>
      <c r="S40" s="405"/>
      <c r="T40" s="452"/>
    </row>
    <row r="41" spans="1:20" s="41" customFormat="1" ht="15.95" customHeight="1">
      <c r="A41" s="878"/>
      <c r="B41" s="155"/>
      <c r="C41" s="157"/>
      <c r="D41" s="155"/>
      <c r="E41" s="155"/>
      <c r="F41" s="155"/>
      <c r="G41" s="155"/>
      <c r="H41" s="155"/>
      <c r="I41" s="155"/>
      <c r="J41" s="146"/>
      <c r="K41" s="237"/>
      <c r="L41" s="125"/>
      <c r="M41" s="125"/>
      <c r="N41" s="125"/>
      <c r="O41" s="125"/>
      <c r="P41" s="125"/>
      <c r="Q41" s="125"/>
      <c r="R41" s="568"/>
      <c r="S41" s="405"/>
      <c r="T41" s="452"/>
    </row>
    <row r="42" spans="1:20" s="41" customFormat="1" ht="15.95" customHeight="1">
      <c r="A42" s="878"/>
      <c r="B42" s="850" t="s">
        <v>1609</v>
      </c>
      <c r="C42" s="892">
        <v>61</v>
      </c>
      <c r="D42" s="869">
        <f t="shared" ref="D42:I42" si="7">L42/L43</f>
        <v>-75.019524055109414</v>
      </c>
      <c r="E42" s="869">
        <f t="shared" si="7"/>
        <v>-968.65441579763183</v>
      </c>
      <c r="F42" s="869">
        <f t="shared" si="7"/>
        <v>-2253.965942153563</v>
      </c>
      <c r="G42" s="869">
        <f t="shared" si="7"/>
        <v>52.180663016717212</v>
      </c>
      <c r="H42" s="869">
        <f t="shared" si="7"/>
        <v>68.555562551130933</v>
      </c>
      <c r="I42" s="869">
        <f t="shared" si="7"/>
        <v>200.51560110618948</v>
      </c>
      <c r="J42" s="242" t="s">
        <v>934</v>
      </c>
      <c r="K42" s="235" t="s">
        <v>114</v>
      </c>
      <c r="L42" s="182">
        <v>-1018240</v>
      </c>
      <c r="M42" s="182">
        <v>-27414857.275904577</v>
      </c>
      <c r="N42" s="182">
        <v>-30415016.42342018</v>
      </c>
      <c r="O42" s="182">
        <v>355350.31514384423</v>
      </c>
      <c r="P42" s="182">
        <v>433545.37757335202</v>
      </c>
      <c r="Q42" s="182">
        <f>VLOOKUP(C42, '2021_Internal_ModelLink'!$A$3:$Z$1000, 15, 0)</f>
        <v>139358.3427688017</v>
      </c>
      <c r="R42" s="483"/>
      <c r="S42" s="405"/>
      <c r="T42" s="452"/>
    </row>
    <row r="43" spans="1:20" s="41" customFormat="1" ht="15.95" customHeight="1">
      <c r="A43" s="878"/>
      <c r="B43" s="851"/>
      <c r="C43" s="892"/>
      <c r="D43" s="869"/>
      <c r="E43" s="869"/>
      <c r="F43" s="869"/>
      <c r="G43" s="869"/>
      <c r="H43" s="869"/>
      <c r="I43" s="869"/>
      <c r="J43" s="242" t="s">
        <v>935</v>
      </c>
      <c r="K43" s="236" t="s">
        <v>1611</v>
      </c>
      <c r="L43" s="313">
        <f>L40</f>
        <v>13573</v>
      </c>
      <c r="M43" s="313">
        <v>28302</v>
      </c>
      <c r="N43" s="313">
        <f t="shared" ref="N43" si="8">N40</f>
        <v>13494</v>
      </c>
      <c r="O43" s="313">
        <v>6810</v>
      </c>
      <c r="P43" s="313">
        <v>6324</v>
      </c>
      <c r="Q43" s="313">
        <f>VLOOKUP(C42, '2021_Internal_ModelLink'!$A$3:$Z$1000, 16, 0)</f>
        <v>695</v>
      </c>
      <c r="R43" s="483"/>
      <c r="S43" s="405"/>
      <c r="T43" s="452"/>
    </row>
    <row r="44" spans="1:20" s="41" customFormat="1" ht="15.95" customHeight="1">
      <c r="A44" s="878"/>
      <c r="B44" s="156"/>
      <c r="C44" s="157"/>
      <c r="D44" s="155"/>
      <c r="E44" s="155"/>
      <c r="F44" s="155"/>
      <c r="G44" s="155"/>
      <c r="H44" s="155"/>
      <c r="I44" s="155"/>
      <c r="J44" s="146"/>
      <c r="K44" s="237"/>
      <c r="L44" s="125"/>
      <c r="M44" s="125"/>
      <c r="N44" s="125"/>
      <c r="O44" s="125"/>
      <c r="P44" s="125"/>
      <c r="Q44" s="125"/>
      <c r="R44" s="568"/>
      <c r="S44" s="405"/>
      <c r="T44" s="452"/>
    </row>
    <row r="45" spans="1:20" s="41" customFormat="1" ht="15.95" customHeight="1">
      <c r="A45" s="878"/>
      <c r="B45" s="850"/>
      <c r="C45" s="880"/>
      <c r="D45" s="871"/>
      <c r="E45" s="871"/>
      <c r="F45" s="871"/>
      <c r="G45" s="586"/>
      <c r="H45" s="692"/>
      <c r="I45" s="738"/>
      <c r="J45" s="242"/>
      <c r="K45" s="235"/>
      <c r="L45" s="315"/>
      <c r="M45" s="315"/>
      <c r="N45" s="315"/>
      <c r="O45" s="315"/>
      <c r="P45" s="315"/>
      <c r="Q45" s="315"/>
      <c r="R45" s="853"/>
      <c r="S45" s="405"/>
      <c r="T45" s="452"/>
    </row>
    <row r="46" spans="1:20" s="41" customFormat="1" ht="15.95" customHeight="1">
      <c r="A46" s="879"/>
      <c r="B46" s="865"/>
      <c r="C46" s="881"/>
      <c r="D46" s="883"/>
      <c r="E46" s="883"/>
      <c r="F46" s="883"/>
      <c r="G46" s="587"/>
      <c r="H46" s="693"/>
      <c r="I46" s="739"/>
      <c r="J46" s="250"/>
      <c r="K46" s="236"/>
      <c r="L46" s="316"/>
      <c r="M46" s="316"/>
      <c r="N46" s="384"/>
      <c r="O46" s="384"/>
      <c r="P46" s="384"/>
      <c r="Q46" s="384"/>
      <c r="R46" s="855"/>
      <c r="S46" s="405"/>
      <c r="T46" s="452"/>
    </row>
    <row r="47" spans="1:20" s="405" customFormat="1" ht="15.95" customHeight="1">
      <c r="A47" s="62"/>
      <c r="B47" s="63"/>
      <c r="C47" s="51"/>
      <c r="D47" s="59"/>
      <c r="E47" s="59"/>
      <c r="F47" s="59"/>
      <c r="G47" s="59"/>
      <c r="H47" s="59"/>
      <c r="I47" s="59"/>
      <c r="J47" s="73"/>
      <c r="K47" s="455"/>
      <c r="L47" s="125"/>
      <c r="M47" s="125"/>
      <c r="N47" s="125"/>
      <c r="O47" s="125"/>
      <c r="P47" s="125"/>
      <c r="Q47" s="125"/>
      <c r="R47" s="230"/>
      <c r="T47" s="452"/>
    </row>
    <row r="48" spans="1:20" s="405" customFormat="1" ht="15.95" customHeight="1">
      <c r="A48" s="877" t="s">
        <v>1603</v>
      </c>
      <c r="B48" s="158" t="s">
        <v>1612</v>
      </c>
      <c r="C48" s="154"/>
      <c r="D48" s="153"/>
      <c r="E48" s="153"/>
      <c r="F48" s="153"/>
      <c r="G48" s="603"/>
      <c r="H48" s="603"/>
      <c r="I48" s="603"/>
      <c r="J48" s="114"/>
      <c r="K48" s="115"/>
      <c r="L48" s="122"/>
      <c r="M48" s="122"/>
      <c r="N48" s="122"/>
      <c r="O48" s="605"/>
      <c r="P48" s="605"/>
      <c r="Q48" s="605"/>
      <c r="R48" s="229"/>
      <c r="T48" s="452"/>
    </row>
    <row r="49" spans="1:20" s="405" customFormat="1" ht="15.95" customHeight="1">
      <c r="A49" s="878"/>
      <c r="B49" s="563" t="s">
        <v>1605</v>
      </c>
      <c r="C49" s="880">
        <v>62</v>
      </c>
      <c r="D49" s="870" t="s">
        <v>1613</v>
      </c>
      <c r="E49" s="870" t="s">
        <v>1613</v>
      </c>
      <c r="F49" s="870" t="s">
        <v>1613</v>
      </c>
      <c r="G49" s="870" t="s">
        <v>1613</v>
      </c>
      <c r="H49" s="870" t="s">
        <v>1613</v>
      </c>
      <c r="I49" s="870" t="s">
        <v>1613</v>
      </c>
      <c r="J49" s="242" t="str">
        <f>"N"&amp;C49</f>
        <v>N62</v>
      </c>
      <c r="K49" s="235" t="s">
        <v>108</v>
      </c>
      <c r="L49" s="312" t="s">
        <v>1613</v>
      </c>
      <c r="M49" s="312" t="s">
        <v>1613</v>
      </c>
      <c r="N49" s="312" t="s">
        <v>1613</v>
      </c>
      <c r="O49" s="312" t="s">
        <v>1613</v>
      </c>
      <c r="P49" s="312" t="s">
        <v>1613</v>
      </c>
      <c r="Q49" s="312" t="str">
        <f>VLOOKUP(C49, '2021_Internal_ModelLink'!$A$3:$Z$1000, 14, 0)</f>
        <v>EM&amp;V Study</v>
      </c>
      <c r="R49" s="853"/>
      <c r="T49" s="452"/>
    </row>
    <row r="50" spans="1:20" s="405" customFormat="1" ht="15.95" customHeight="1">
      <c r="A50" s="878"/>
      <c r="B50" s="564"/>
      <c r="C50" s="880"/>
      <c r="D50" s="871"/>
      <c r="E50" s="871"/>
      <c r="F50" s="871"/>
      <c r="G50" s="871"/>
      <c r="H50" s="871"/>
      <c r="I50" s="871"/>
      <c r="J50" s="242" t="str">
        <f>"D"&amp;C49</f>
        <v>D62</v>
      </c>
      <c r="K50" s="236" t="s">
        <v>1614</v>
      </c>
      <c r="L50" s="313"/>
      <c r="M50" s="313"/>
      <c r="N50" s="313"/>
      <c r="O50" s="313"/>
      <c r="P50" s="313"/>
      <c r="Q50" s="313"/>
      <c r="R50" s="853"/>
      <c r="T50" s="452"/>
    </row>
    <row r="51" spans="1:20" s="405" customFormat="1" ht="15.95" customHeight="1">
      <c r="A51" s="878"/>
      <c r="B51" s="155"/>
      <c r="C51" s="157"/>
      <c r="D51" s="155"/>
      <c r="E51" s="155"/>
      <c r="F51" s="155"/>
      <c r="G51" s="155"/>
      <c r="H51" s="155"/>
      <c r="I51" s="155"/>
      <c r="J51" s="146"/>
      <c r="K51" s="237"/>
      <c r="L51" s="125"/>
      <c r="M51" s="125"/>
      <c r="N51" s="125"/>
      <c r="O51" s="125"/>
      <c r="P51" s="125"/>
      <c r="Q51" s="125"/>
      <c r="R51" s="619"/>
      <c r="T51" s="452"/>
    </row>
    <row r="52" spans="1:20" s="405" customFormat="1" ht="15.95" customHeight="1">
      <c r="A52" s="878"/>
      <c r="B52" s="850" t="s">
        <v>1608</v>
      </c>
      <c r="C52" s="880">
        <v>63</v>
      </c>
      <c r="D52" s="870" t="s">
        <v>1613</v>
      </c>
      <c r="E52" s="870" t="s">
        <v>1613</v>
      </c>
      <c r="F52" s="870" t="s">
        <v>1613</v>
      </c>
      <c r="G52" s="870" t="s">
        <v>1613</v>
      </c>
      <c r="H52" s="870" t="s">
        <v>1613</v>
      </c>
      <c r="I52" s="870" t="s">
        <v>1613</v>
      </c>
      <c r="J52" s="242" t="str">
        <f>"N"&amp;C52</f>
        <v>N63</v>
      </c>
      <c r="K52" s="235" t="s">
        <v>112</v>
      </c>
      <c r="L52" s="312" t="s">
        <v>1613</v>
      </c>
      <c r="M52" s="312" t="s">
        <v>1613</v>
      </c>
      <c r="N52" s="312" t="s">
        <v>1613</v>
      </c>
      <c r="O52" s="312" t="s">
        <v>1613</v>
      </c>
      <c r="P52" s="312" t="s">
        <v>1613</v>
      </c>
      <c r="Q52" s="312" t="str">
        <f>VLOOKUP(C52, '2021_Internal_ModelLink'!$A$3:$Z$1000, 14, 0)</f>
        <v>EM&amp;V Study</v>
      </c>
      <c r="R52" s="560"/>
      <c r="T52" s="452"/>
    </row>
    <row r="53" spans="1:20" s="405" customFormat="1" ht="15.95" customHeight="1">
      <c r="A53" s="878"/>
      <c r="B53" s="851"/>
      <c r="C53" s="880"/>
      <c r="D53" s="871"/>
      <c r="E53" s="871"/>
      <c r="F53" s="871"/>
      <c r="G53" s="871"/>
      <c r="H53" s="871"/>
      <c r="I53" s="871"/>
      <c r="J53" s="242" t="str">
        <f>"D"&amp;C52</f>
        <v>D63</v>
      </c>
      <c r="K53" s="236" t="s">
        <v>1614</v>
      </c>
      <c r="L53" s="175"/>
      <c r="M53" s="175"/>
      <c r="N53" s="175"/>
      <c r="O53" s="175"/>
      <c r="P53" s="175"/>
      <c r="Q53" s="175"/>
      <c r="R53" s="560"/>
      <c r="T53" s="452"/>
    </row>
    <row r="54" spans="1:20" s="405" customFormat="1" ht="15.95" customHeight="1">
      <c r="A54" s="878"/>
      <c r="B54" s="155"/>
      <c r="C54" s="157"/>
      <c r="D54" s="155"/>
      <c r="E54" s="155"/>
      <c r="F54" s="155"/>
      <c r="G54" s="155"/>
      <c r="H54" s="155"/>
      <c r="I54" s="155"/>
      <c r="J54" s="146"/>
      <c r="K54" s="237"/>
      <c r="L54" s="125"/>
      <c r="M54" s="125"/>
      <c r="N54" s="125"/>
      <c r="O54" s="125"/>
      <c r="P54" s="125"/>
      <c r="Q54" s="125"/>
      <c r="R54" s="568"/>
      <c r="T54" s="452"/>
    </row>
    <row r="55" spans="1:20" s="405" customFormat="1" ht="15.95" customHeight="1">
      <c r="A55" s="878"/>
      <c r="B55" s="850" t="s">
        <v>1609</v>
      </c>
      <c r="C55" s="892">
        <v>64</v>
      </c>
      <c r="D55" s="870" t="s">
        <v>1613</v>
      </c>
      <c r="E55" s="870" t="s">
        <v>1613</v>
      </c>
      <c r="F55" s="870" t="s">
        <v>1613</v>
      </c>
      <c r="G55" s="870" t="s">
        <v>1613</v>
      </c>
      <c r="H55" s="870" t="s">
        <v>1613</v>
      </c>
      <c r="I55" s="870" t="s">
        <v>1613</v>
      </c>
      <c r="J55" s="242" t="str">
        <f>"N"&amp;C55</f>
        <v>N64</v>
      </c>
      <c r="K55" s="235" t="s">
        <v>114</v>
      </c>
      <c r="L55" s="312" t="s">
        <v>1613</v>
      </c>
      <c r="M55" s="312" t="s">
        <v>1613</v>
      </c>
      <c r="N55" s="312" t="s">
        <v>1613</v>
      </c>
      <c r="O55" s="312" t="s">
        <v>1613</v>
      </c>
      <c r="P55" s="312" t="s">
        <v>1613</v>
      </c>
      <c r="Q55" s="312" t="str">
        <f>VLOOKUP(C55, '2021_Internal_ModelLink'!$A$3:$Z$1000, 14, 0)</f>
        <v>EM&amp;V Study</v>
      </c>
      <c r="R55" s="853"/>
      <c r="T55" s="452"/>
    </row>
    <row r="56" spans="1:20" s="405" customFormat="1" ht="15.95" customHeight="1">
      <c r="A56" s="878"/>
      <c r="B56" s="851"/>
      <c r="C56" s="892"/>
      <c r="D56" s="871"/>
      <c r="E56" s="871"/>
      <c r="F56" s="871"/>
      <c r="G56" s="871"/>
      <c r="H56" s="871"/>
      <c r="I56" s="871"/>
      <c r="J56" s="242" t="str">
        <f>"D"&amp;C55</f>
        <v>D64</v>
      </c>
      <c r="K56" s="236" t="s">
        <v>1614</v>
      </c>
      <c r="L56" s="175"/>
      <c r="M56" s="177"/>
      <c r="N56" s="177"/>
      <c r="O56" s="177"/>
      <c r="P56" s="177"/>
      <c r="Q56" s="177"/>
      <c r="R56" s="853"/>
      <c r="T56" s="452"/>
    </row>
    <row r="57" spans="1:20" s="405" customFormat="1" ht="15.95" customHeight="1">
      <c r="A57" s="878"/>
      <c r="B57" s="156"/>
      <c r="C57" s="157"/>
      <c r="D57" s="155"/>
      <c r="E57" s="155"/>
      <c r="F57" s="155"/>
      <c r="G57" s="155"/>
      <c r="H57" s="155"/>
      <c r="I57" s="155"/>
      <c r="J57" s="146"/>
      <c r="K57" s="237"/>
      <c r="L57" s="125"/>
      <c r="M57" s="125"/>
      <c r="N57" s="125"/>
      <c r="O57" s="125"/>
      <c r="P57" s="125"/>
      <c r="Q57" s="125"/>
      <c r="R57" s="568"/>
      <c r="T57" s="452"/>
    </row>
    <row r="58" spans="1:20" s="405" customFormat="1" ht="15.95" customHeight="1">
      <c r="A58" s="878"/>
      <c r="B58" s="850"/>
      <c r="C58" s="880"/>
      <c r="D58" s="871"/>
      <c r="E58" s="871"/>
      <c r="F58" s="871"/>
      <c r="G58" s="586"/>
      <c r="H58" s="692"/>
      <c r="I58" s="738"/>
      <c r="J58" s="242"/>
      <c r="K58" s="235"/>
      <c r="L58" s="315"/>
      <c r="M58" s="315"/>
      <c r="N58" s="315"/>
      <c r="O58" s="315"/>
      <c r="P58" s="315"/>
      <c r="Q58" s="315"/>
      <c r="R58" s="853"/>
      <c r="T58" s="452"/>
    </row>
    <row r="59" spans="1:20" s="405" customFormat="1" ht="15.95" customHeight="1">
      <c r="A59" s="879"/>
      <c r="B59" s="865"/>
      <c r="C59" s="881"/>
      <c r="D59" s="883"/>
      <c r="E59" s="883"/>
      <c r="F59" s="883"/>
      <c r="G59" s="587"/>
      <c r="H59" s="693"/>
      <c r="I59" s="739"/>
      <c r="J59" s="250"/>
      <c r="K59" s="236"/>
      <c r="L59" s="316"/>
      <c r="M59" s="316"/>
      <c r="N59" s="384"/>
      <c r="O59" s="384"/>
      <c r="P59" s="384"/>
      <c r="Q59" s="384"/>
      <c r="R59" s="855"/>
      <c r="T59" s="452"/>
    </row>
    <row r="60" spans="1:20" s="405" customFormat="1" ht="15.95" customHeight="1">
      <c r="A60" s="62"/>
      <c r="B60" s="63"/>
      <c r="C60" s="51"/>
      <c r="D60" s="59"/>
      <c r="E60" s="59"/>
      <c r="F60" s="59"/>
      <c r="G60" s="59"/>
      <c r="H60" s="59"/>
      <c r="I60" s="59"/>
      <c r="J60" s="73"/>
      <c r="K60" s="455"/>
      <c r="L60" s="125"/>
      <c r="M60" s="125"/>
      <c r="N60" s="125"/>
      <c r="O60" s="125"/>
      <c r="P60" s="125"/>
      <c r="Q60" s="125"/>
      <c r="R60" s="230"/>
      <c r="T60" s="452"/>
    </row>
    <row r="61" spans="1:20" s="405" customFormat="1" ht="15.95" customHeight="1">
      <c r="A61" s="877" t="s">
        <v>1603</v>
      </c>
      <c r="B61" s="158" t="s">
        <v>1615</v>
      </c>
      <c r="C61" s="154"/>
      <c r="D61" s="153"/>
      <c r="E61" s="153"/>
      <c r="F61" s="153"/>
      <c r="G61" s="603"/>
      <c r="H61" s="603"/>
      <c r="I61" s="603"/>
      <c r="J61" s="114"/>
      <c r="K61" s="115"/>
      <c r="L61" s="122"/>
      <c r="M61" s="122"/>
      <c r="N61" s="122"/>
      <c r="O61" s="605"/>
      <c r="P61" s="605"/>
      <c r="Q61" s="605"/>
      <c r="R61" s="229"/>
      <c r="T61" s="452"/>
    </row>
    <row r="62" spans="1:20" s="405" customFormat="1" ht="15.95" customHeight="1">
      <c r="A62" s="878"/>
      <c r="B62" s="563" t="s">
        <v>1605</v>
      </c>
      <c r="C62" s="880">
        <v>65</v>
      </c>
      <c r="D62" s="869">
        <f t="shared" ref="D62:I62" si="9">L62/L63</f>
        <v>3.5477427511241526</v>
      </c>
      <c r="E62" s="869">
        <f t="shared" si="9"/>
        <v>7.5891127354438295</v>
      </c>
      <c r="F62" s="869">
        <f t="shared" si="9"/>
        <v>3.5473660611335993</v>
      </c>
      <c r="G62" s="869">
        <f t="shared" si="9"/>
        <v>8.1899694272682635E-2</v>
      </c>
      <c r="H62" s="869">
        <f t="shared" si="9"/>
        <v>0.11933547106168485</v>
      </c>
      <c r="I62" s="869">
        <f t="shared" si="9"/>
        <v>1.0620259203811342</v>
      </c>
      <c r="J62" s="242" t="s">
        <v>942</v>
      </c>
      <c r="K62" s="235" t="s">
        <v>108</v>
      </c>
      <c r="L62" s="312">
        <v>47983.220708954163</v>
      </c>
      <c r="M62" s="312">
        <v>213777.71664471723</v>
      </c>
      <c r="N62" s="630">
        <v>47985.220708954199</v>
      </c>
      <c r="O62" s="630">
        <v>668.87480312499906</v>
      </c>
      <c r="P62" s="630">
        <v>754.67751899409495</v>
      </c>
      <c r="Q62" s="630">
        <f>VLOOKUP(C62, '2021_Internal_ModelLink'!$A$3:$Z$1000, 15, 0)</f>
        <v>738.10801466488829</v>
      </c>
      <c r="R62" s="483"/>
      <c r="T62" s="452"/>
    </row>
    <row r="63" spans="1:20" s="405" customFormat="1" ht="15.95" customHeight="1">
      <c r="A63" s="878"/>
      <c r="B63" s="564"/>
      <c r="C63" s="880"/>
      <c r="D63" s="869"/>
      <c r="E63" s="869"/>
      <c r="F63" s="869"/>
      <c r="G63" s="869"/>
      <c r="H63" s="869"/>
      <c r="I63" s="869"/>
      <c r="J63" s="242" t="s">
        <v>943</v>
      </c>
      <c r="K63" s="236" t="s">
        <v>1616</v>
      </c>
      <c r="L63" s="313">
        <v>13525</v>
      </c>
      <c r="M63" s="313">
        <v>28169</v>
      </c>
      <c r="N63" s="631">
        <v>13527</v>
      </c>
      <c r="O63" s="631">
        <v>8167</v>
      </c>
      <c r="P63" s="631">
        <v>6324</v>
      </c>
      <c r="Q63" s="631">
        <f>VLOOKUP(C62, '2021_Internal_ModelLink'!$A$3:$Z$1000, 16, 0)</f>
        <v>695</v>
      </c>
      <c r="R63" s="483"/>
      <c r="T63" s="452"/>
    </row>
    <row r="64" spans="1:20" s="405" customFormat="1" ht="15.95" customHeight="1">
      <c r="A64" s="878"/>
      <c r="B64" s="155"/>
      <c r="C64" s="157"/>
      <c r="D64" s="155"/>
      <c r="E64" s="155"/>
      <c r="F64" s="155"/>
      <c r="G64" s="155"/>
      <c r="H64" s="155"/>
      <c r="I64" s="155"/>
      <c r="J64" s="146"/>
      <c r="K64" s="237"/>
      <c r="L64" s="125"/>
      <c r="M64" s="125"/>
      <c r="N64" s="632"/>
      <c r="O64" s="632"/>
      <c r="P64" s="632"/>
      <c r="Q64" s="632"/>
      <c r="R64" s="619"/>
      <c r="T64" s="452"/>
    </row>
    <row r="65" spans="1:20" s="405" customFormat="1" ht="15.95" customHeight="1">
      <c r="A65" s="878"/>
      <c r="B65" s="850" t="s">
        <v>1608</v>
      </c>
      <c r="C65" s="880">
        <v>66</v>
      </c>
      <c r="D65" s="871">
        <f t="shared" ref="D65:I65" si="10">L65/L66</f>
        <v>26921.303517263077</v>
      </c>
      <c r="E65" s="871">
        <f t="shared" si="10"/>
        <v>66208.753183408335</v>
      </c>
      <c r="F65" s="871">
        <f t="shared" si="10"/>
        <v>26917.323284614697</v>
      </c>
      <c r="G65" s="871">
        <f t="shared" si="10"/>
        <v>761.27707542182577</v>
      </c>
      <c r="H65" s="871">
        <f t="shared" si="10"/>
        <v>2185.5275346277672</v>
      </c>
      <c r="I65" s="871">
        <f t="shared" si="10"/>
        <v>13040.600719525108</v>
      </c>
      <c r="J65" s="242" t="s">
        <v>944</v>
      </c>
      <c r="K65" s="235" t="s">
        <v>112</v>
      </c>
      <c r="L65" s="314">
        <v>364110630.07098311</v>
      </c>
      <c r="M65" s="314">
        <v>1865034368.4234295</v>
      </c>
      <c r="N65" s="633">
        <v>364110632.07098299</v>
      </c>
      <c r="O65" s="633">
        <v>6217349.8749700515</v>
      </c>
      <c r="P65" s="633">
        <v>13821276.128985999</v>
      </c>
      <c r="Q65" s="633">
        <f>VLOOKUP(C65, '2021_Internal_ModelLink'!$A$3:$Z$1000, 15, 0)</f>
        <v>9063217.5000699498</v>
      </c>
      <c r="R65" s="483"/>
      <c r="T65" s="452"/>
    </row>
    <row r="66" spans="1:20" s="405" customFormat="1" ht="15.95" customHeight="1">
      <c r="A66" s="878"/>
      <c r="B66" s="851"/>
      <c r="C66" s="880"/>
      <c r="D66" s="871"/>
      <c r="E66" s="871"/>
      <c r="F66" s="871"/>
      <c r="G66" s="871"/>
      <c r="H66" s="871"/>
      <c r="I66" s="871"/>
      <c r="J66" s="242" t="s">
        <v>945</v>
      </c>
      <c r="K66" s="236" t="s">
        <v>1616</v>
      </c>
      <c r="L66" s="313">
        <f>L63</f>
        <v>13525</v>
      </c>
      <c r="M66" s="313">
        <v>28169</v>
      </c>
      <c r="N66" s="631">
        <f t="shared" ref="N66" si="11">N63</f>
        <v>13527</v>
      </c>
      <c r="O66" s="631">
        <v>8167</v>
      </c>
      <c r="P66" s="631">
        <v>6324</v>
      </c>
      <c r="Q66" s="631">
        <f>VLOOKUP(C65, '2021_Internal_ModelLink'!$A$3:$Z$1000, 16, 0)</f>
        <v>695</v>
      </c>
      <c r="R66" s="483"/>
      <c r="T66" s="452"/>
    </row>
    <row r="67" spans="1:20" s="405" customFormat="1" ht="15.95" customHeight="1">
      <c r="A67" s="878"/>
      <c r="B67" s="155"/>
      <c r="C67" s="157"/>
      <c r="D67" s="155"/>
      <c r="E67" s="155"/>
      <c r="F67" s="155"/>
      <c r="G67" s="155"/>
      <c r="H67" s="155"/>
      <c r="I67" s="155"/>
      <c r="J67" s="146"/>
      <c r="K67" s="237"/>
      <c r="L67" s="125"/>
      <c r="M67" s="125"/>
      <c r="N67" s="632"/>
      <c r="O67" s="632"/>
      <c r="P67" s="632"/>
      <c r="Q67" s="632"/>
      <c r="R67" s="568"/>
      <c r="T67" s="452"/>
    </row>
    <row r="68" spans="1:20" s="405" customFormat="1" ht="15.95" customHeight="1">
      <c r="A68" s="878"/>
      <c r="B68" s="850" t="s">
        <v>1609</v>
      </c>
      <c r="C68" s="892">
        <v>67</v>
      </c>
      <c r="D68" s="869">
        <f t="shared" ref="D68:I68" si="12">L68/L69</f>
        <v>-44.401914902810184</v>
      </c>
      <c r="E68" s="869">
        <f t="shared" si="12"/>
        <v>-964.44774937687782</v>
      </c>
      <c r="F68" s="869">
        <f t="shared" si="12"/>
        <v>-44.395202118763066</v>
      </c>
      <c r="G68" s="869">
        <f t="shared" si="12"/>
        <v>54.528459728478438</v>
      </c>
      <c r="H68" s="869">
        <f t="shared" si="12"/>
        <v>68.555562551130933</v>
      </c>
      <c r="I68" s="869">
        <f t="shared" si="12"/>
        <v>200.51560110618948</v>
      </c>
      <c r="J68" s="242" t="s">
        <v>946</v>
      </c>
      <c r="K68" s="235" t="s">
        <v>114</v>
      </c>
      <c r="L68" s="182">
        <v>-600535.89906050777</v>
      </c>
      <c r="M68" s="182">
        <v>-27167528.652197272</v>
      </c>
      <c r="N68" s="502">
        <v>-600533.899060508</v>
      </c>
      <c r="O68" s="502">
        <v>445333.93060248339</v>
      </c>
      <c r="P68" s="502">
        <v>433545.37757335202</v>
      </c>
      <c r="Q68" s="502">
        <f>VLOOKUP(C68, '2021_Internal_ModelLink'!$A$3:$Z$1000, 15, 0)</f>
        <v>139358.3427688017</v>
      </c>
      <c r="R68" s="483"/>
      <c r="T68" s="452"/>
    </row>
    <row r="69" spans="1:20" s="405" customFormat="1" ht="15.95" customHeight="1">
      <c r="A69" s="878"/>
      <c r="B69" s="851"/>
      <c r="C69" s="892"/>
      <c r="D69" s="869"/>
      <c r="E69" s="869"/>
      <c r="F69" s="869"/>
      <c r="G69" s="869"/>
      <c r="H69" s="869"/>
      <c r="I69" s="869"/>
      <c r="J69" s="242" t="s">
        <v>947</v>
      </c>
      <c r="K69" s="236" t="s">
        <v>1616</v>
      </c>
      <c r="L69" s="313">
        <f>L63</f>
        <v>13525</v>
      </c>
      <c r="M69" s="313">
        <v>28169</v>
      </c>
      <c r="N69" s="631">
        <f t="shared" ref="N69" si="13">N63</f>
        <v>13527</v>
      </c>
      <c r="O69" s="631">
        <v>8167</v>
      </c>
      <c r="P69" s="631">
        <v>6324</v>
      </c>
      <c r="Q69" s="631">
        <f>VLOOKUP(C68, '2021_Internal_ModelLink'!$A$3:$Z$1000, 16, 0)</f>
        <v>695</v>
      </c>
      <c r="R69" s="483"/>
      <c r="T69" s="452"/>
    </row>
    <row r="70" spans="1:20" s="405" customFormat="1" ht="15.95" customHeight="1">
      <c r="A70" s="878"/>
      <c r="B70" s="156"/>
      <c r="C70" s="157"/>
      <c r="D70" s="155"/>
      <c r="E70" s="155"/>
      <c r="F70" s="155"/>
      <c r="G70" s="155"/>
      <c r="H70" s="155"/>
      <c r="I70" s="155"/>
      <c r="J70" s="146"/>
      <c r="K70" s="237"/>
      <c r="L70" s="125"/>
      <c r="M70" s="125"/>
      <c r="N70" s="632"/>
      <c r="O70" s="632"/>
      <c r="P70" s="632"/>
      <c r="Q70" s="632"/>
      <c r="R70" s="568"/>
      <c r="T70" s="452"/>
    </row>
    <row r="71" spans="1:20" s="405" customFormat="1" ht="15.95" customHeight="1">
      <c r="A71" s="878"/>
      <c r="B71" s="850"/>
      <c r="C71" s="880"/>
      <c r="D71" s="871"/>
      <c r="E71" s="871"/>
      <c r="F71" s="871"/>
      <c r="G71" s="586"/>
      <c r="H71" s="692"/>
      <c r="I71" s="738"/>
      <c r="J71" s="242"/>
      <c r="K71" s="235"/>
      <c r="L71" s="315"/>
      <c r="M71" s="315"/>
      <c r="N71" s="315"/>
      <c r="O71" s="315"/>
      <c r="P71" s="315"/>
      <c r="Q71" s="315"/>
      <c r="R71" s="853"/>
      <c r="T71" s="452"/>
    </row>
    <row r="72" spans="1:20" s="405" customFormat="1" ht="15.95" customHeight="1">
      <c r="A72" s="879"/>
      <c r="B72" s="865"/>
      <c r="C72" s="881"/>
      <c r="D72" s="883"/>
      <c r="E72" s="883"/>
      <c r="F72" s="883"/>
      <c r="G72" s="587"/>
      <c r="H72" s="693"/>
      <c r="I72" s="739"/>
      <c r="J72" s="250"/>
      <c r="K72" s="236"/>
      <c r="L72" s="316"/>
      <c r="M72" s="316"/>
      <c r="N72" s="384"/>
      <c r="O72" s="384"/>
      <c r="P72" s="384"/>
      <c r="Q72" s="384"/>
      <c r="R72" s="855"/>
      <c r="T72" s="452"/>
    </row>
    <row r="73" spans="1:20" s="41" customFormat="1" ht="15.95" customHeight="1">
      <c r="A73" s="62"/>
      <c r="B73" s="63"/>
      <c r="C73" s="51"/>
      <c r="D73" s="59"/>
      <c r="E73" s="59"/>
      <c r="F73" s="59"/>
      <c r="G73" s="59"/>
      <c r="H73" s="59"/>
      <c r="I73" s="59"/>
      <c r="J73" s="73"/>
      <c r="K73" s="455"/>
      <c r="L73" s="125"/>
      <c r="M73" s="125"/>
      <c r="N73" s="125"/>
      <c r="O73" s="125"/>
      <c r="P73" s="125"/>
      <c r="Q73" s="125"/>
      <c r="R73" s="230"/>
      <c r="S73" s="405"/>
      <c r="T73" s="452"/>
    </row>
    <row r="74" spans="1:20" s="41" customFormat="1" ht="15.95" customHeight="1">
      <c r="A74" s="856" t="s">
        <v>1617</v>
      </c>
      <c r="B74" s="159" t="s">
        <v>1618</v>
      </c>
      <c r="C74" s="115"/>
      <c r="D74" s="115"/>
      <c r="E74" s="115"/>
      <c r="F74" s="115"/>
      <c r="G74" s="602"/>
      <c r="H74" s="602"/>
      <c r="I74" s="602"/>
      <c r="J74" s="262"/>
      <c r="K74" s="239"/>
      <c r="L74" s="308"/>
      <c r="M74" s="122"/>
      <c r="N74" s="122"/>
      <c r="O74" s="605"/>
      <c r="P74" s="605"/>
      <c r="Q74" s="605"/>
      <c r="R74" s="229"/>
      <c r="S74" s="405"/>
      <c r="T74" s="452"/>
    </row>
    <row r="75" spans="1:20" s="41" customFormat="1" ht="15.95" customHeight="1">
      <c r="A75" s="857"/>
      <c r="B75" s="851" t="s">
        <v>145</v>
      </c>
      <c r="C75" s="882">
        <v>68</v>
      </c>
      <c r="D75" s="872">
        <f t="shared" ref="D75:I75" si="14">L75/L76</f>
        <v>2.6745722060229009E-2</v>
      </c>
      <c r="E75" s="872">
        <f t="shared" si="14"/>
        <v>3.7552926231167474E-2</v>
      </c>
      <c r="F75" s="872">
        <f t="shared" si="14"/>
        <v>4.1519488924159326E-2</v>
      </c>
      <c r="G75" s="872">
        <f t="shared" si="14"/>
        <v>7.7566998391272058E-3</v>
      </c>
      <c r="H75" s="872">
        <f t="shared" si="14"/>
        <v>6.4650270942856886E-3</v>
      </c>
      <c r="I75" s="872">
        <f t="shared" si="14"/>
        <v>7.1690051769281637E-4</v>
      </c>
      <c r="J75" s="242" t="s">
        <v>948</v>
      </c>
      <c r="K75" s="235" t="s">
        <v>1619</v>
      </c>
      <c r="L75" s="234">
        <v>21968</v>
      </c>
      <c r="M75" s="234">
        <v>30980</v>
      </c>
      <c r="N75" s="234">
        <v>34452</v>
      </c>
      <c r="O75" s="234">
        <v>7488</v>
      </c>
      <c r="P75" s="234">
        <v>6396</v>
      </c>
      <c r="Q75" s="234">
        <f>VLOOKUP(C75, '2021_Internal_ModelLink'!$A$3:$Z$1000, 15, 0)</f>
        <v>696</v>
      </c>
      <c r="R75" s="884"/>
      <c r="S75" s="405"/>
      <c r="T75" s="452"/>
    </row>
    <row r="76" spans="1:20" s="41" customFormat="1" ht="15.95" customHeight="1">
      <c r="A76" s="857"/>
      <c r="B76" s="851"/>
      <c r="C76" s="882"/>
      <c r="D76" s="872"/>
      <c r="E76" s="872"/>
      <c r="F76" s="872"/>
      <c r="G76" s="872"/>
      <c r="H76" s="872"/>
      <c r="I76" s="872"/>
      <c r="J76" s="242" t="s">
        <v>949</v>
      </c>
      <c r="K76" s="236" t="s">
        <v>1620</v>
      </c>
      <c r="L76" s="160">
        <v>821365</v>
      </c>
      <c r="M76" s="160">
        <v>824969</v>
      </c>
      <c r="N76" s="160">
        <v>829779</v>
      </c>
      <c r="O76" s="160">
        <v>965359</v>
      </c>
      <c r="P76" s="160">
        <v>989323</v>
      </c>
      <c r="Q76" s="160">
        <f>VLOOKUP(C75, '2021_Internal_ModelLink'!$A$3:$Z$1000, 16, 0)</f>
        <v>970846</v>
      </c>
      <c r="R76" s="853"/>
      <c r="S76" s="405"/>
      <c r="T76" s="452"/>
    </row>
    <row r="77" spans="1:20" s="41" customFormat="1" ht="15.95" customHeight="1">
      <c r="A77" s="857"/>
      <c r="B77" s="58"/>
      <c r="C77" s="58"/>
      <c r="D77" s="382"/>
      <c r="E77" s="383"/>
      <c r="F77" s="383"/>
      <c r="G77" s="383"/>
      <c r="H77" s="383"/>
      <c r="I77" s="383"/>
      <c r="J77" s="146"/>
      <c r="K77" s="237"/>
      <c r="L77" s="188"/>
      <c r="M77" s="188"/>
      <c r="N77" s="188"/>
      <c r="O77" s="188"/>
      <c r="P77" s="188"/>
      <c r="Q77" s="188"/>
      <c r="R77" s="423"/>
      <c r="S77" s="405"/>
      <c r="T77" s="452"/>
    </row>
    <row r="78" spans="1:20" s="41" customFormat="1" ht="21.6" customHeight="1">
      <c r="A78" s="857"/>
      <c r="B78" s="851" t="s">
        <v>1621</v>
      </c>
      <c r="C78" s="882">
        <v>69</v>
      </c>
      <c r="D78" s="872">
        <f t="shared" ref="D78:I78" si="15">L78/L79</f>
        <v>1.6742897906088707E-2</v>
      </c>
      <c r="E78" s="872">
        <f t="shared" si="15"/>
        <v>1.8132975151108125E-2</v>
      </c>
      <c r="F78" s="872">
        <f t="shared" si="15"/>
        <v>4.1752339389870337E-2</v>
      </c>
      <c r="G78" s="872">
        <f t="shared" si="15"/>
        <v>1.3302034428794992E-3</v>
      </c>
      <c r="H78" s="872">
        <f t="shared" si="15"/>
        <v>0</v>
      </c>
      <c r="I78" s="872">
        <f t="shared" si="15"/>
        <v>0</v>
      </c>
      <c r="J78" s="242" t="s">
        <v>951</v>
      </c>
      <c r="K78" s="215" t="s">
        <v>1622</v>
      </c>
      <c r="L78" s="233">
        <v>399</v>
      </c>
      <c r="M78" s="233">
        <v>432</v>
      </c>
      <c r="N78" s="233">
        <v>995</v>
      </c>
      <c r="O78" s="233">
        <v>34</v>
      </c>
      <c r="P78" s="233">
        <v>0</v>
      </c>
      <c r="Q78" s="233">
        <f>VLOOKUP(C78, '2021_Internal_ModelLink'!$A$3:$Z$1000, 15, 0)</f>
        <v>0</v>
      </c>
      <c r="R78" s="560"/>
      <c r="S78" s="405"/>
      <c r="T78" s="452"/>
    </row>
    <row r="79" spans="1:20" s="41" customFormat="1" ht="15.95" customHeight="1">
      <c r="A79" s="857"/>
      <c r="B79" s="851"/>
      <c r="C79" s="882"/>
      <c r="D79" s="872"/>
      <c r="E79" s="872"/>
      <c r="F79" s="872"/>
      <c r="G79" s="872"/>
      <c r="H79" s="872"/>
      <c r="I79" s="872"/>
      <c r="J79" s="242" t="s">
        <v>952</v>
      </c>
      <c r="K79" s="236" t="s">
        <v>1623</v>
      </c>
      <c r="L79" s="160">
        <v>23831</v>
      </c>
      <c r="M79" s="160">
        <v>23824</v>
      </c>
      <c r="N79" s="160">
        <v>23831</v>
      </c>
      <c r="O79" s="160">
        <v>25560</v>
      </c>
      <c r="P79" s="160">
        <v>25819</v>
      </c>
      <c r="Q79" s="160">
        <f>VLOOKUP(C78, '2021_Internal_ModelLink'!$A$3:$Z$1000, 16, 0)</f>
        <v>35888</v>
      </c>
      <c r="R79" s="560"/>
      <c r="S79" s="405"/>
      <c r="T79" s="452"/>
    </row>
    <row r="80" spans="1:20" s="41" customFormat="1" ht="15.95" customHeight="1">
      <c r="A80" s="857"/>
      <c r="B80" s="58"/>
      <c r="C80" s="58"/>
      <c r="D80" s="125"/>
      <c r="E80" s="383"/>
      <c r="F80" s="383"/>
      <c r="G80" s="383"/>
      <c r="H80" s="383"/>
      <c r="I80" s="383"/>
      <c r="J80" s="146"/>
      <c r="K80" s="237"/>
      <c r="L80" s="188"/>
      <c r="M80" s="188"/>
      <c r="N80" s="188"/>
      <c r="O80" s="188"/>
      <c r="P80" s="188"/>
      <c r="Q80" s="188"/>
      <c r="R80" s="568"/>
      <c r="S80" s="405"/>
      <c r="T80" s="452"/>
    </row>
    <row r="81" spans="1:31" s="41" customFormat="1" ht="23.45" customHeight="1">
      <c r="A81" s="857"/>
      <c r="B81" s="851" t="s">
        <v>1624</v>
      </c>
      <c r="C81" s="882">
        <v>70</v>
      </c>
      <c r="D81" s="872">
        <f t="shared" ref="D81:I81" si="16">L81/L82</f>
        <v>1.8295677799607071E-2</v>
      </c>
      <c r="E81" s="872">
        <f t="shared" si="16"/>
        <v>2.6755852842809364E-2</v>
      </c>
      <c r="F81" s="872">
        <f t="shared" si="16"/>
        <v>5.9709586069771649E-2</v>
      </c>
      <c r="G81" s="872">
        <f t="shared" si="16"/>
        <v>4.2153438516198964E-4</v>
      </c>
      <c r="H81" s="872">
        <f t="shared" si="16"/>
        <v>0</v>
      </c>
      <c r="I81" s="872">
        <f t="shared" si="16"/>
        <v>0</v>
      </c>
      <c r="J81" s="242" t="s">
        <v>953</v>
      </c>
      <c r="K81" s="215" t="s">
        <v>1625</v>
      </c>
      <c r="L81" s="233">
        <v>298</v>
      </c>
      <c r="M81" s="233">
        <v>440</v>
      </c>
      <c r="N81" s="233">
        <v>991</v>
      </c>
      <c r="O81" s="233">
        <v>7</v>
      </c>
      <c r="P81" s="233">
        <v>0</v>
      </c>
      <c r="Q81" s="233">
        <f>VLOOKUP(C81, '2021_Internal_ModelLink'!$A$3:$Z$1000, 15, 0)</f>
        <v>0</v>
      </c>
      <c r="R81" s="853"/>
      <c r="S81" s="405"/>
      <c r="T81" s="452"/>
      <c r="U81" s="405"/>
      <c r="V81" s="405"/>
      <c r="W81" s="405"/>
      <c r="X81" s="405"/>
      <c r="Y81" s="405"/>
      <c r="Z81" s="405"/>
      <c r="AA81" s="405"/>
      <c r="AB81" s="405"/>
      <c r="AC81" s="405"/>
      <c r="AD81" s="405"/>
      <c r="AE81" s="405"/>
    </row>
    <row r="82" spans="1:31" s="41" customFormat="1" ht="15.95" customHeight="1">
      <c r="A82" s="859"/>
      <c r="B82" s="865"/>
      <c r="C82" s="885"/>
      <c r="D82" s="873"/>
      <c r="E82" s="873"/>
      <c r="F82" s="873"/>
      <c r="G82" s="873"/>
      <c r="H82" s="873"/>
      <c r="I82" s="873"/>
      <c r="J82" s="250" t="s">
        <v>954</v>
      </c>
      <c r="K82" s="240" t="s">
        <v>1626</v>
      </c>
      <c r="L82" s="128">
        <v>16288</v>
      </c>
      <c r="M82" s="128">
        <v>16445</v>
      </c>
      <c r="N82" s="128">
        <v>16597</v>
      </c>
      <c r="O82" s="128">
        <v>16606</v>
      </c>
      <c r="P82" s="128">
        <v>17611</v>
      </c>
      <c r="Q82" s="128">
        <f>VLOOKUP(C81, '2021_Internal_ModelLink'!$A$3:$Z$1000, 16, 0)</f>
        <v>23549</v>
      </c>
      <c r="R82" s="855"/>
      <c r="S82" s="405"/>
      <c r="T82" s="452"/>
      <c r="U82" s="405"/>
      <c r="V82" s="405"/>
      <c r="W82" s="405"/>
      <c r="X82" s="405"/>
      <c r="Y82" s="405"/>
      <c r="Z82" s="405"/>
      <c r="AA82" s="405"/>
      <c r="AB82" s="405"/>
      <c r="AC82" s="405"/>
      <c r="AD82" s="405"/>
      <c r="AE82" s="405"/>
    </row>
    <row r="83" spans="1:31" s="41" customFormat="1" ht="15.95" customHeight="1">
      <c r="A83" s="49"/>
      <c r="B83" s="405"/>
      <c r="C83" s="405"/>
      <c r="D83" s="118"/>
      <c r="E83" s="118"/>
      <c r="F83" s="118"/>
      <c r="G83" s="118"/>
      <c r="H83" s="118"/>
      <c r="I83" s="118"/>
      <c r="J83" s="59"/>
      <c r="K83" s="238"/>
      <c r="L83" s="208"/>
      <c r="M83" s="208"/>
      <c r="N83" s="208"/>
      <c r="O83" s="208"/>
      <c r="P83" s="208"/>
      <c r="Q83" s="208"/>
      <c r="R83" s="227"/>
      <c r="S83" s="405"/>
      <c r="T83" s="452"/>
      <c r="U83" s="405"/>
      <c r="V83" s="405"/>
      <c r="W83" s="405"/>
      <c r="X83" s="405"/>
      <c r="Y83" s="405"/>
      <c r="Z83" s="405"/>
      <c r="AA83" s="405"/>
      <c r="AB83" s="405"/>
      <c r="AC83" s="405"/>
      <c r="AD83" s="405"/>
      <c r="AE83" s="405"/>
    </row>
    <row r="84" spans="1:31" s="405" customFormat="1" ht="30" customHeight="1">
      <c r="A84" s="856" t="s">
        <v>1568</v>
      </c>
      <c r="B84" s="170" t="s">
        <v>1569</v>
      </c>
      <c r="C84" s="170"/>
      <c r="D84" s="170"/>
      <c r="E84" s="170"/>
      <c r="F84" s="381"/>
      <c r="G84" s="594"/>
      <c r="H84" s="594"/>
      <c r="I84" s="594"/>
      <c r="J84" s="114"/>
      <c r="K84" s="114"/>
      <c r="L84" s="122"/>
      <c r="M84" s="378" t="s">
        <v>1570</v>
      </c>
      <c r="N84" s="378"/>
      <c r="O84" s="596"/>
      <c r="P84" s="596"/>
      <c r="Q84" s="596"/>
      <c r="R84" s="229"/>
      <c r="S84" s="43"/>
      <c r="T84" s="453"/>
      <c r="U84" s="44"/>
      <c r="V84" s="44"/>
      <c r="W84" s="44"/>
      <c r="X84" s="44"/>
      <c r="Y84" s="44"/>
      <c r="Z84" s="44"/>
      <c r="AA84" s="44"/>
      <c r="AB84" s="44"/>
      <c r="AC84" s="44"/>
      <c r="AD84" s="44"/>
      <c r="AE84" s="44"/>
    </row>
    <row r="85" spans="1:31" s="405" customFormat="1" ht="18.75" customHeight="1">
      <c r="A85" s="857"/>
      <c r="B85" s="850" t="s">
        <v>1571</v>
      </c>
      <c r="C85" s="852">
        <v>71</v>
      </c>
      <c r="D85" s="849">
        <f t="shared" ref="D85:I85" si="17">L85/L86</f>
        <v>254.14889648737142</v>
      </c>
      <c r="E85" s="849">
        <f t="shared" si="17"/>
        <v>185.09887405791844</v>
      </c>
      <c r="F85" s="849">
        <f t="shared" si="17"/>
        <v>119.32561930251238</v>
      </c>
      <c r="G85" s="849">
        <f t="shared" si="17"/>
        <v>962.76142935991925</v>
      </c>
      <c r="H85" s="849">
        <f t="shared" si="17"/>
        <v>791.68698077758927</v>
      </c>
      <c r="I85" s="849">
        <f t="shared" si="17"/>
        <v>605.54601756827196</v>
      </c>
      <c r="J85" s="242" t="s">
        <v>955</v>
      </c>
      <c r="K85" s="235" t="s">
        <v>1572</v>
      </c>
      <c r="L85" s="634">
        <v>24856865.894483704</v>
      </c>
      <c r="M85" s="634">
        <v>43830812.728576966</v>
      </c>
      <c r="N85" s="634">
        <v>34264553.01367794</v>
      </c>
      <c r="O85" s="634">
        <v>5678040.7802962605</v>
      </c>
      <c r="P85" s="634">
        <v>4906988.3064535465</v>
      </c>
      <c r="Q85" s="634">
        <f>VLOOKUP(C85, '2021_Internal_ModelLink'!$A$3:$Z$1000, 15, 0)</f>
        <v>3069653.1891322257</v>
      </c>
      <c r="R85" s="853"/>
      <c r="S85" s="424"/>
      <c r="T85" s="453"/>
      <c r="U85" s="44"/>
      <c r="V85" s="44"/>
      <c r="W85" s="44"/>
      <c r="X85" s="44"/>
      <c r="Y85" s="44"/>
      <c r="Z85" s="44"/>
      <c r="AA85" s="44"/>
      <c r="AB85" s="44"/>
      <c r="AC85" s="44"/>
      <c r="AD85" s="44"/>
      <c r="AE85" s="44"/>
    </row>
    <row r="86" spans="1:31" s="405" customFormat="1" ht="18.75" customHeight="1">
      <c r="A86" s="857"/>
      <c r="B86" s="851"/>
      <c r="C86" s="852"/>
      <c r="D86" s="849"/>
      <c r="E86" s="849"/>
      <c r="F86" s="849"/>
      <c r="G86" s="849"/>
      <c r="H86" s="849"/>
      <c r="I86" s="849"/>
      <c r="J86" s="242" t="s">
        <v>956</v>
      </c>
      <c r="K86" s="295" t="s">
        <v>1573</v>
      </c>
      <c r="L86" s="635">
        <f>D11</f>
        <v>97804.343194222107</v>
      </c>
      <c r="M86" s="635">
        <v>236796.754986538</v>
      </c>
      <c r="N86" s="635">
        <f t="shared" ref="N86" si="18">F11</f>
        <v>287151.68807807314</v>
      </c>
      <c r="O86" s="635">
        <v>5897.6612555731899</v>
      </c>
      <c r="P86" s="635">
        <v>6198.1419747915243</v>
      </c>
      <c r="Q86" s="635">
        <f>VLOOKUP(C85, '2021_Internal_ModelLink'!$A$3:$Z$1000, 16, 0)</f>
        <v>5069.2318999292884</v>
      </c>
      <c r="R86" s="853"/>
      <c r="S86" s="424"/>
      <c r="T86" s="453"/>
      <c r="U86" s="44"/>
      <c r="V86" s="44"/>
      <c r="W86" s="44"/>
      <c r="X86" s="44"/>
      <c r="Y86" s="44"/>
      <c r="Z86" s="44"/>
      <c r="AA86" s="44"/>
      <c r="AB86" s="44"/>
      <c r="AC86" s="44"/>
      <c r="AD86" s="44"/>
      <c r="AE86" s="44"/>
    </row>
    <row r="87" spans="1:31" s="405" customFormat="1" ht="18.75" customHeight="1">
      <c r="A87" s="857"/>
      <c r="B87" s="58"/>
      <c r="C87" s="573"/>
      <c r="D87" s="207"/>
      <c r="E87" s="207"/>
      <c r="F87" s="380"/>
      <c r="G87" s="380"/>
      <c r="H87" s="380"/>
      <c r="I87" s="380"/>
      <c r="J87" s="263"/>
      <c r="K87" s="58"/>
      <c r="L87" s="632"/>
      <c r="M87" s="632"/>
      <c r="N87" s="632"/>
      <c r="O87" s="632"/>
      <c r="P87" s="632"/>
      <c r="Q87" s="632"/>
      <c r="R87" s="619"/>
      <c r="S87" s="424"/>
      <c r="T87" s="453"/>
      <c r="U87" s="44"/>
      <c r="V87" s="44"/>
      <c r="W87" s="44"/>
      <c r="X87" s="44"/>
      <c r="Y87" s="44"/>
      <c r="Z87" s="44"/>
      <c r="AA87" s="44"/>
      <c r="AB87" s="44"/>
      <c r="AC87" s="44"/>
      <c r="AD87" s="44"/>
      <c r="AE87" s="44"/>
    </row>
    <row r="88" spans="1:31" s="405" customFormat="1" ht="18.75" customHeight="1">
      <c r="A88" s="857"/>
      <c r="B88" s="850" t="s">
        <v>1574</v>
      </c>
      <c r="C88" s="852">
        <v>72</v>
      </c>
      <c r="D88" s="849">
        <f t="shared" ref="D88:I88" si="19">L88/L89</f>
        <v>5.8585796986478963E-2</v>
      </c>
      <c r="E88" s="849">
        <f t="shared" si="19"/>
        <v>2.2660190848293814E-2</v>
      </c>
      <c r="F88" s="849">
        <f t="shared" si="19"/>
        <v>1.6505784312419156E-2</v>
      </c>
      <c r="G88" s="849">
        <f t="shared" si="19"/>
        <v>0.19222505797688974</v>
      </c>
      <c r="H88" s="849">
        <f t="shared" si="19"/>
        <v>0.10603370681034921</v>
      </c>
      <c r="I88" s="849">
        <f t="shared" si="19"/>
        <v>8.117160480029284E-2</v>
      </c>
      <c r="J88" s="242" t="s">
        <v>957</v>
      </c>
      <c r="K88" s="235" t="s">
        <v>1572</v>
      </c>
      <c r="L88" s="634">
        <f>L85</f>
        <v>24856865.894483704</v>
      </c>
      <c r="M88" s="634">
        <v>43830812.728576966</v>
      </c>
      <c r="N88" s="634">
        <f>N85</f>
        <v>34264553.01367794</v>
      </c>
      <c r="O88" s="634">
        <v>5678040.7802962605</v>
      </c>
      <c r="P88" s="634">
        <v>4906988.3064535465</v>
      </c>
      <c r="Q88" s="634">
        <f>VLOOKUP(C88, '2021_Internal_ModelLink'!$A$3:$Z$1000, 15, 0)</f>
        <v>3069653.1891322257</v>
      </c>
      <c r="R88" s="560"/>
      <c r="S88" s="424"/>
      <c r="T88" s="453"/>
      <c r="U88" s="44"/>
      <c r="V88" s="44"/>
      <c r="W88" s="44"/>
      <c r="X88" s="44"/>
      <c r="Y88" s="44"/>
      <c r="Z88" s="44"/>
      <c r="AA88" s="44"/>
      <c r="AB88" s="44"/>
      <c r="AC88" s="44"/>
      <c r="AD88" s="44"/>
      <c r="AE88" s="44"/>
    </row>
    <row r="89" spans="1:31" s="405" customFormat="1" ht="15" customHeight="1">
      <c r="A89" s="857"/>
      <c r="B89" s="851"/>
      <c r="C89" s="852"/>
      <c r="D89" s="849"/>
      <c r="E89" s="849"/>
      <c r="F89" s="849"/>
      <c r="G89" s="849"/>
      <c r="H89" s="849"/>
      <c r="I89" s="849"/>
      <c r="J89" s="242" t="s">
        <v>958</v>
      </c>
      <c r="K89" s="295" t="s">
        <v>1575</v>
      </c>
      <c r="L89" s="635">
        <f>D13</f>
        <v>424281432.92512399</v>
      </c>
      <c r="M89" s="635">
        <v>1934264941.63341</v>
      </c>
      <c r="N89" s="635">
        <f t="shared" ref="N89" si="20">F13</f>
        <v>2075911835.8221164</v>
      </c>
      <c r="O89" s="635">
        <v>29538504.709302276</v>
      </c>
      <c r="P89" s="635">
        <v>46277626.747786298</v>
      </c>
      <c r="Q89" s="635">
        <f>VLOOKUP(C88, '2021_Internal_ModelLink'!$A$3:$Z$1000, 16, 0)</f>
        <v>37816835.045759149</v>
      </c>
      <c r="R89" s="560"/>
      <c r="S89" s="424"/>
      <c r="T89" s="453"/>
      <c r="U89" s="44"/>
      <c r="V89" s="44"/>
      <c r="W89" s="44"/>
      <c r="X89" s="44"/>
      <c r="Y89" s="44"/>
      <c r="Z89" s="44"/>
      <c r="AA89" s="44"/>
      <c r="AB89" s="44"/>
      <c r="AC89" s="44"/>
      <c r="AD89" s="44"/>
      <c r="AE89" s="44"/>
    </row>
    <row r="90" spans="1:31" s="44" customFormat="1" ht="15" customHeight="1">
      <c r="A90" s="417"/>
      <c r="B90" s="418"/>
      <c r="C90" s="573"/>
      <c r="D90" s="419"/>
      <c r="E90" s="419"/>
      <c r="F90" s="419"/>
      <c r="G90" s="419"/>
      <c r="H90" s="419"/>
      <c r="I90" s="419"/>
      <c r="J90" s="420"/>
      <c r="K90" s="421"/>
      <c r="L90" s="422"/>
      <c r="M90" s="422"/>
      <c r="N90" s="422"/>
      <c r="O90" s="422"/>
      <c r="P90" s="422"/>
      <c r="Q90" s="422"/>
      <c r="R90" s="568"/>
      <c r="S90" s="424"/>
      <c r="T90" s="453"/>
    </row>
    <row r="91" spans="1:31" s="405" customFormat="1" ht="15" customHeight="1">
      <c r="A91" s="415"/>
      <c r="B91" s="850" t="s">
        <v>1576</v>
      </c>
      <c r="C91" s="852">
        <v>73</v>
      </c>
      <c r="D91" s="849">
        <f t="shared" ref="D91:I91" si="21">L91/L92</f>
        <v>0.90336078837294476</v>
      </c>
      <c r="E91" s="849">
        <f t="shared" si="21"/>
        <v>0.19256602471479006</v>
      </c>
      <c r="F91" s="849">
        <f t="shared" si="21"/>
        <v>0.15518995573662073</v>
      </c>
      <c r="G91" s="849">
        <f t="shared" si="21"/>
        <v>2.2174402850636699</v>
      </c>
      <c r="H91" s="849">
        <f t="shared" si="21"/>
        <v>1.0162588104301145</v>
      </c>
      <c r="I91" s="849">
        <f t="shared" si="21"/>
        <v>0.93603902022142815</v>
      </c>
      <c r="J91" s="242" t="s">
        <v>959</v>
      </c>
      <c r="K91" s="235" t="s">
        <v>1572</v>
      </c>
      <c r="L91" s="634">
        <v>407456.8915162948</v>
      </c>
      <c r="M91" s="634">
        <v>-5071206.2085769586</v>
      </c>
      <c r="N91" s="634">
        <v>-4509314.1284829443</v>
      </c>
      <c r="O91" s="634">
        <v>2404478.3015075759</v>
      </c>
      <c r="P91" s="634">
        <v>1255969.6659966127</v>
      </c>
      <c r="Q91" s="634">
        <f>VLOOKUP(C91, '2021_Internal_ModelLink'!$A$3:$Z$1000, 15, 0)</f>
        <v>565157.55107258039</v>
      </c>
      <c r="R91" s="853"/>
      <c r="S91" s="424"/>
      <c r="T91" s="453"/>
      <c r="U91" s="44"/>
      <c r="V91" s="44"/>
      <c r="W91" s="44"/>
      <c r="X91" s="44"/>
      <c r="Y91" s="44"/>
      <c r="Z91" s="44"/>
      <c r="AA91" s="44"/>
      <c r="AB91" s="44"/>
      <c r="AC91" s="44"/>
      <c r="AD91" s="44"/>
      <c r="AE91" s="44"/>
    </row>
    <row r="92" spans="1:31" s="405" customFormat="1" ht="15" customHeight="1">
      <c r="A92" s="415"/>
      <c r="B92" s="851"/>
      <c r="C92" s="852"/>
      <c r="D92" s="849"/>
      <c r="E92" s="849"/>
      <c r="F92" s="849"/>
      <c r="G92" s="849"/>
      <c r="H92" s="849"/>
      <c r="I92" s="849"/>
      <c r="J92" s="242" t="s">
        <v>960</v>
      </c>
      <c r="K92" s="295" t="s">
        <v>1577</v>
      </c>
      <c r="L92" s="635">
        <f>D15</f>
        <v>451045.580858309</v>
      </c>
      <c r="M92" s="635">
        <v>-26334895.8679909</v>
      </c>
      <c r="N92" s="635">
        <f t="shared" ref="N92" si="22">F15</f>
        <v>-29056739.574923828</v>
      </c>
      <c r="O92" s="635">
        <v>1084348.6147986779</v>
      </c>
      <c r="P92" s="635">
        <v>1235875.7957188531</v>
      </c>
      <c r="Q92" s="635">
        <f>VLOOKUP(C91, '2021_Internal_ModelLink'!$A$3:$Z$1000, 16, 0)</f>
        <v>603775.63206594472</v>
      </c>
      <c r="R92" s="853"/>
      <c r="S92" s="424"/>
      <c r="T92" s="453"/>
      <c r="U92" s="44"/>
      <c r="V92" s="44"/>
      <c r="W92" s="44"/>
      <c r="X92" s="44"/>
      <c r="Y92" s="44"/>
      <c r="Z92" s="44"/>
      <c r="AA92" s="44"/>
      <c r="AB92" s="44"/>
      <c r="AC92" s="44"/>
      <c r="AD92" s="44"/>
      <c r="AE92" s="44"/>
    </row>
    <row r="93" spans="1:31" s="405" customFormat="1" ht="15.75">
      <c r="A93" s="49"/>
      <c r="B93" s="42"/>
      <c r="C93" s="45"/>
      <c r="L93" s="44"/>
      <c r="M93" s="44"/>
      <c r="N93" s="44"/>
      <c r="O93" s="44"/>
      <c r="P93" s="44"/>
      <c r="Q93" s="44"/>
      <c r="R93" s="468"/>
      <c r="S93" s="43"/>
      <c r="T93" s="453"/>
      <c r="U93" s="44"/>
      <c r="V93" s="44"/>
      <c r="W93" s="44"/>
      <c r="X93" s="44"/>
      <c r="Y93" s="44"/>
      <c r="Z93" s="44"/>
      <c r="AA93" s="44"/>
      <c r="AB93" s="44"/>
      <c r="AC93" s="44"/>
      <c r="AD93" s="44"/>
      <c r="AE93" s="44"/>
    </row>
    <row r="94" spans="1:31" s="405" customFormat="1" ht="30" customHeight="1">
      <c r="A94" s="856" t="s">
        <v>1578</v>
      </c>
      <c r="B94" s="170" t="s">
        <v>1579</v>
      </c>
      <c r="C94" s="170"/>
      <c r="D94" s="170"/>
      <c r="E94" s="170"/>
      <c r="F94" s="381"/>
      <c r="G94" s="594"/>
      <c r="H94" s="594"/>
      <c r="I94" s="594"/>
      <c r="J94" s="114"/>
      <c r="K94" s="114"/>
      <c r="L94" s="636"/>
      <c r="M94" s="636"/>
      <c r="N94" s="636"/>
      <c r="O94" s="637"/>
      <c r="P94" s="637"/>
      <c r="Q94" s="637"/>
      <c r="R94" s="229"/>
      <c r="S94" s="43"/>
      <c r="T94" s="454"/>
      <c r="U94" s="44"/>
      <c r="V94" s="44"/>
      <c r="W94" s="44"/>
      <c r="X94" s="44"/>
      <c r="Y94" s="44"/>
      <c r="Z94" s="44"/>
      <c r="AA94" s="44"/>
      <c r="AB94" s="44"/>
      <c r="AC94" s="44"/>
      <c r="AD94" s="44"/>
      <c r="AE94" s="44"/>
    </row>
    <row r="95" spans="1:31" s="405" customFormat="1" ht="18.75" customHeight="1">
      <c r="A95" s="857"/>
      <c r="B95" s="850" t="s">
        <v>97</v>
      </c>
      <c r="C95" s="852">
        <v>74</v>
      </c>
      <c r="D95" s="849">
        <f t="shared" ref="D95:I95" si="23">L95/L96</f>
        <v>384.07231652920501</v>
      </c>
      <c r="E95" s="849">
        <f t="shared" si="23"/>
        <v>413.22048092535744</v>
      </c>
      <c r="F95" s="849">
        <f t="shared" si="23"/>
        <v>276.57103073558193</v>
      </c>
      <c r="G95" s="849">
        <f t="shared" si="23"/>
        <v>1078.0793842289152</v>
      </c>
      <c r="H95" s="849">
        <f t="shared" si="23"/>
        <v>839.00673256190248</v>
      </c>
      <c r="I95" s="849">
        <f t="shared" si="23"/>
        <v>643.35594451469171</v>
      </c>
      <c r="J95" s="242" t="s">
        <v>961</v>
      </c>
      <c r="K95" s="235" t="s">
        <v>1580</v>
      </c>
      <c r="L95" s="634">
        <v>37563940.657222271</v>
      </c>
      <c r="M95" s="634">
        <v>97849268.977101266</v>
      </c>
      <c r="N95" s="634">
        <v>79417838.349215001</v>
      </c>
      <c r="O95" s="634">
        <v>6358147.0147990752</v>
      </c>
      <c r="P95" s="634">
        <v>5200282.8462246144</v>
      </c>
      <c r="Q95" s="634">
        <f>VLOOKUP(C95, '2021_Internal_ModelLink'!$A$3:$Z$1000, 15, 0)</f>
        <v>3261320.4769430123</v>
      </c>
      <c r="R95" s="853"/>
      <c r="S95" s="424"/>
      <c r="T95" s="454"/>
      <c r="U95" s="44"/>
      <c r="V95" s="44"/>
      <c r="W95" s="44"/>
      <c r="X95" s="44"/>
      <c r="Y95" s="44"/>
      <c r="Z95" s="44"/>
      <c r="AA95" s="44"/>
      <c r="AB95" s="44"/>
      <c r="AC95" s="44"/>
      <c r="AD95" s="44"/>
      <c r="AE95" s="44"/>
    </row>
    <row r="96" spans="1:31" s="405" customFormat="1" ht="18.75" customHeight="1">
      <c r="A96" s="857"/>
      <c r="B96" s="851"/>
      <c r="C96" s="852"/>
      <c r="D96" s="849"/>
      <c r="E96" s="849"/>
      <c r="F96" s="849"/>
      <c r="G96" s="849"/>
      <c r="H96" s="849"/>
      <c r="I96" s="849"/>
      <c r="J96" s="242" t="s">
        <v>962</v>
      </c>
      <c r="K96" s="295" t="s">
        <v>1784</v>
      </c>
      <c r="L96" s="635">
        <f>L86</f>
        <v>97804.343194222107</v>
      </c>
      <c r="M96" s="635">
        <v>236796.754986538</v>
      </c>
      <c r="N96" s="635">
        <f t="shared" ref="N96" si="24">N86</f>
        <v>287151.68807807314</v>
      </c>
      <c r="O96" s="635">
        <v>5897.6612555731899</v>
      </c>
      <c r="P96" s="635">
        <v>6198.1419747915243</v>
      </c>
      <c r="Q96" s="635">
        <f>VLOOKUP(C95, '2021_Internal_ModelLink'!$A$3:$Z$1000, 16, 0)</f>
        <v>5069.2318999292884</v>
      </c>
      <c r="R96" s="853"/>
      <c r="S96" s="424"/>
      <c r="T96" s="454"/>
      <c r="U96" s="44"/>
      <c r="V96" s="44"/>
      <c r="W96" s="44"/>
      <c r="X96" s="44"/>
      <c r="Y96" s="44"/>
      <c r="Z96" s="44"/>
      <c r="AA96" s="44"/>
      <c r="AB96" s="44"/>
      <c r="AC96" s="44"/>
      <c r="AD96" s="44"/>
      <c r="AE96" s="44"/>
    </row>
    <row r="97" spans="1:31" s="44" customFormat="1" ht="15" customHeight="1">
      <c r="A97" s="857"/>
      <c r="B97" s="418"/>
      <c r="C97" s="573"/>
      <c r="D97" s="419"/>
      <c r="E97" s="419"/>
      <c r="F97" s="419"/>
      <c r="G97" s="419"/>
      <c r="H97" s="419"/>
      <c r="I97" s="419"/>
      <c r="J97" s="420"/>
      <c r="K97" s="421"/>
      <c r="L97" s="422"/>
      <c r="M97" s="422"/>
      <c r="N97" s="422"/>
      <c r="O97" s="422"/>
      <c r="P97" s="422"/>
      <c r="Q97" s="422"/>
      <c r="R97" s="619"/>
      <c r="S97" s="424"/>
      <c r="T97" s="453"/>
    </row>
    <row r="98" spans="1:31" s="405" customFormat="1" ht="18.75" customHeight="1">
      <c r="A98" s="857"/>
      <c r="B98" s="850" t="s">
        <v>98</v>
      </c>
      <c r="C98" s="852">
        <v>75</v>
      </c>
      <c r="D98" s="849">
        <f t="shared" ref="D98:I98" si="25">L98/L99</f>
        <v>8.8535433658374227E-2</v>
      </c>
      <c r="E98" s="849">
        <f t="shared" si="25"/>
        <v>5.0587314525005783E-2</v>
      </c>
      <c r="F98" s="849">
        <f t="shared" si="25"/>
        <v>3.8256845487738847E-2</v>
      </c>
      <c r="G98" s="849">
        <f t="shared" si="25"/>
        <v>0.21524945414033653</v>
      </c>
      <c r="H98" s="849">
        <f t="shared" si="25"/>
        <v>0.11237142463173895</v>
      </c>
      <c r="I98" s="849">
        <f t="shared" si="25"/>
        <v>8.623991069048341E-2</v>
      </c>
      <c r="J98" s="242" t="s">
        <v>963</v>
      </c>
      <c r="K98" s="235" t="s">
        <v>1580</v>
      </c>
      <c r="L98" s="634">
        <f>L95</f>
        <v>37563940.657222271</v>
      </c>
      <c r="M98" s="634">
        <v>97849268.977101266</v>
      </c>
      <c r="N98" s="634">
        <f>N95</f>
        <v>79417838.349215001</v>
      </c>
      <c r="O98" s="634">
        <v>6358147.0147990752</v>
      </c>
      <c r="P98" s="634">
        <v>5200282.8462246144</v>
      </c>
      <c r="Q98" s="634">
        <f>VLOOKUP(C98, '2021_Internal_ModelLink'!$A$3:$Z$1000, 15, 0)</f>
        <v>3261320.4769430123</v>
      </c>
      <c r="R98" s="560"/>
      <c r="S98" s="424"/>
      <c r="T98" s="453"/>
      <c r="U98" s="44"/>
      <c r="V98" s="44"/>
      <c r="W98" s="44"/>
      <c r="X98" s="44"/>
      <c r="Y98" s="44"/>
      <c r="Z98" s="44"/>
      <c r="AA98" s="44"/>
      <c r="AB98" s="44"/>
      <c r="AC98" s="44"/>
      <c r="AD98" s="44"/>
      <c r="AE98" s="44"/>
    </row>
    <row r="99" spans="1:31" s="405" customFormat="1" ht="18.75" customHeight="1">
      <c r="A99" s="857"/>
      <c r="B99" s="851"/>
      <c r="C99" s="852"/>
      <c r="D99" s="849"/>
      <c r="E99" s="849"/>
      <c r="F99" s="849"/>
      <c r="G99" s="849"/>
      <c r="H99" s="849"/>
      <c r="I99" s="849"/>
      <c r="J99" s="242" t="s">
        <v>964</v>
      </c>
      <c r="K99" s="295" t="s">
        <v>1849</v>
      </c>
      <c r="L99" s="635">
        <f>L89</f>
        <v>424281432.92512399</v>
      </c>
      <c r="M99" s="635">
        <v>1934264941.63341</v>
      </c>
      <c r="N99" s="635">
        <f t="shared" ref="N99" si="26">N89</f>
        <v>2075911835.8221164</v>
      </c>
      <c r="O99" s="635">
        <v>29538504.709302276</v>
      </c>
      <c r="P99" s="635">
        <v>46277626.747786298</v>
      </c>
      <c r="Q99" s="635">
        <f>VLOOKUP(C98, '2021_Internal_ModelLink'!$A$3:$Z$1000, 16, 0)</f>
        <v>37816835.045759149</v>
      </c>
      <c r="R99" s="560"/>
      <c r="S99" s="424"/>
      <c r="T99" s="453"/>
      <c r="U99" s="44"/>
      <c r="V99" s="44"/>
      <c r="W99" s="44"/>
      <c r="X99" s="44"/>
      <c r="Y99" s="44"/>
      <c r="Z99" s="44"/>
      <c r="AA99" s="44"/>
      <c r="AB99" s="44"/>
      <c r="AC99" s="44"/>
      <c r="AD99" s="44"/>
      <c r="AE99" s="44"/>
    </row>
    <row r="100" spans="1:31" s="405" customFormat="1" ht="18.75" customHeight="1">
      <c r="A100" s="857"/>
      <c r="B100" s="58"/>
      <c r="C100" s="573"/>
      <c r="D100" s="207"/>
      <c r="E100" s="207"/>
      <c r="F100" s="380"/>
      <c r="G100" s="380"/>
      <c r="H100" s="380"/>
      <c r="I100" s="380"/>
      <c r="J100" s="263"/>
      <c r="K100" s="58"/>
      <c r="L100" s="632"/>
      <c r="M100" s="632"/>
      <c r="N100" s="459"/>
      <c r="O100" s="459"/>
      <c r="P100" s="459"/>
      <c r="Q100" s="459"/>
      <c r="R100" s="568"/>
      <c r="S100" s="424"/>
      <c r="T100" s="453"/>
      <c r="U100" s="44"/>
      <c r="V100" s="44"/>
      <c r="W100" s="44"/>
      <c r="X100" s="44"/>
      <c r="Y100" s="44"/>
      <c r="Z100" s="44"/>
      <c r="AA100" s="44"/>
      <c r="AB100" s="44"/>
      <c r="AC100" s="44"/>
      <c r="AD100" s="44"/>
      <c r="AE100" s="44"/>
    </row>
    <row r="101" spans="1:31" s="405" customFormat="1" ht="18.75" customHeight="1">
      <c r="A101" s="857"/>
      <c r="B101" s="850" t="s">
        <v>99</v>
      </c>
      <c r="C101" s="852">
        <v>76</v>
      </c>
      <c r="D101" s="849">
        <f t="shared" ref="D101:I101" si="27">L101/L102</f>
        <v>1.3651677243040317</v>
      </c>
      <c r="E101" s="849">
        <f t="shared" si="27"/>
        <v>0.42989038019556641</v>
      </c>
      <c r="F101" s="849">
        <f t="shared" si="27"/>
        <v>0.35969682176192008</v>
      </c>
      <c r="G101" s="849">
        <f t="shared" si="27"/>
        <v>2.4830415762243181</v>
      </c>
      <c r="H101" s="849">
        <f t="shared" si="27"/>
        <v>1.0770013966110084</v>
      </c>
      <c r="I101" s="849">
        <f t="shared" si="27"/>
        <v>0.99448473028603168</v>
      </c>
      <c r="J101" s="242" t="s">
        <v>965</v>
      </c>
      <c r="K101" s="235" t="s">
        <v>1580</v>
      </c>
      <c r="L101" s="634">
        <v>615752.86917772784</v>
      </c>
      <c r="M101" s="634">
        <v>-11321118.397101259</v>
      </c>
      <c r="N101" s="634">
        <v>-10451616.875863906</v>
      </c>
      <c r="O101" s="634">
        <v>2692482.693666365</v>
      </c>
      <c r="P101" s="634">
        <v>1331039.9580269461</v>
      </c>
      <c r="Q101" s="634">
        <f>VLOOKUP(C101, '2021_Internal_ModelLink'!$A$3:$Z$1000, 15, 0)</f>
        <v>600445.64660837932</v>
      </c>
      <c r="R101" s="853"/>
      <c r="S101" s="424"/>
      <c r="T101" s="453"/>
      <c r="U101" s="44"/>
      <c r="V101" s="44"/>
      <c r="W101" s="44"/>
      <c r="X101" s="44"/>
      <c r="Y101" s="44"/>
      <c r="Z101" s="44"/>
      <c r="AA101" s="44"/>
      <c r="AB101" s="44"/>
      <c r="AC101" s="44"/>
      <c r="AD101" s="44"/>
      <c r="AE101" s="44"/>
    </row>
    <row r="102" spans="1:31" s="405" customFormat="1" ht="15" customHeight="1">
      <c r="A102" s="859"/>
      <c r="B102" s="865"/>
      <c r="C102" s="866"/>
      <c r="D102" s="854"/>
      <c r="E102" s="854"/>
      <c r="F102" s="854"/>
      <c r="G102" s="854"/>
      <c r="H102" s="854"/>
      <c r="I102" s="854"/>
      <c r="J102" s="250" t="s">
        <v>966</v>
      </c>
      <c r="K102" s="296" t="s">
        <v>1581</v>
      </c>
      <c r="L102" s="638">
        <f>L92</f>
        <v>451045.580858309</v>
      </c>
      <c r="M102" s="638">
        <v>-26334895.8679909</v>
      </c>
      <c r="N102" s="638">
        <f t="shared" ref="N102" si="28">N92</f>
        <v>-29056739.574923828</v>
      </c>
      <c r="O102" s="638">
        <v>1084348.6147986779</v>
      </c>
      <c r="P102" s="638">
        <v>1235875.7957188531</v>
      </c>
      <c r="Q102" s="638">
        <f>VLOOKUP(C101, '2021_Internal_ModelLink'!$A$3:$Z$1000, 16, 0)</f>
        <v>603775.63206594472</v>
      </c>
      <c r="R102" s="855"/>
      <c r="S102" s="424"/>
      <c r="T102" s="453"/>
      <c r="U102" s="44"/>
      <c r="V102" s="44"/>
      <c r="W102" s="44"/>
      <c r="X102" s="44"/>
      <c r="Y102" s="44"/>
      <c r="Z102" s="44"/>
      <c r="AA102" s="44"/>
      <c r="AB102" s="44"/>
      <c r="AC102" s="44"/>
      <c r="AD102" s="44"/>
      <c r="AE102" s="44"/>
    </row>
    <row r="103" spans="1:31" s="405" customFormat="1" ht="15.95" customHeight="1">
      <c r="A103" s="49"/>
      <c r="D103" s="118"/>
      <c r="E103" s="118"/>
      <c r="F103" s="118"/>
      <c r="G103" s="118"/>
      <c r="H103" s="118"/>
      <c r="I103" s="118"/>
      <c r="J103" s="59"/>
      <c r="K103" s="238"/>
      <c r="L103" s="208"/>
      <c r="M103" s="208"/>
      <c r="N103" s="208"/>
      <c r="O103" s="208"/>
      <c r="P103" s="208"/>
      <c r="Q103" s="208"/>
      <c r="R103" s="173"/>
      <c r="T103" s="452"/>
    </row>
    <row r="104" spans="1:31" s="41" customFormat="1" ht="30.75" customHeight="1">
      <c r="A104" s="856" t="s">
        <v>1627</v>
      </c>
      <c r="B104" s="169" t="s">
        <v>1628</v>
      </c>
      <c r="C104" s="114"/>
      <c r="D104" s="115"/>
      <c r="E104" s="115"/>
      <c r="F104" s="115"/>
      <c r="G104" s="602"/>
      <c r="H104" s="602"/>
      <c r="I104" s="602"/>
      <c r="J104" s="262"/>
      <c r="K104" s="241"/>
      <c r="L104" s="122"/>
      <c r="M104" s="122"/>
      <c r="N104" s="122"/>
      <c r="O104" s="605"/>
      <c r="P104" s="605"/>
      <c r="Q104" s="605"/>
      <c r="R104" s="229"/>
      <c r="S104" s="405"/>
      <c r="T104" s="452"/>
      <c r="U104" s="405"/>
      <c r="V104" s="405"/>
      <c r="W104" s="405"/>
      <c r="X104" s="405"/>
      <c r="Y104" s="405"/>
      <c r="Z104" s="405"/>
      <c r="AA104" s="405"/>
      <c r="AB104" s="405"/>
      <c r="AC104" s="405"/>
      <c r="AD104" s="405"/>
      <c r="AE104" s="405"/>
    </row>
    <row r="105" spans="1:31" s="41" customFormat="1" ht="15.95" customHeight="1">
      <c r="A105" s="857"/>
      <c r="B105" s="886" t="s">
        <v>1844</v>
      </c>
      <c r="C105" s="888">
        <v>77</v>
      </c>
      <c r="D105" s="890" t="s">
        <v>1629</v>
      </c>
      <c r="E105" s="867">
        <f>M105/M106</f>
        <v>19533.959284520995</v>
      </c>
      <c r="F105" s="867">
        <f>N105/N106</f>
        <v>18683.521073355674</v>
      </c>
      <c r="G105" s="867">
        <f>O105/O106</f>
        <v>36845.376452039825</v>
      </c>
      <c r="H105" s="867">
        <f>P105/P106</f>
        <v>37390.980254976144</v>
      </c>
      <c r="I105" s="867">
        <f>Q105/Q106</f>
        <v>36126.706568950249</v>
      </c>
      <c r="J105" s="263" t="s">
        <v>967</v>
      </c>
      <c r="K105" s="702" t="s">
        <v>1870</v>
      </c>
      <c r="L105" s="703" t="s">
        <v>59</v>
      </c>
      <c r="M105" s="704">
        <v>16114910856.992001</v>
      </c>
      <c r="N105" s="704">
        <v>15503193432.727999</v>
      </c>
      <c r="O105" s="704">
        <v>35569015766.364716</v>
      </c>
      <c r="P105" s="704">
        <v>36991756758.793762</v>
      </c>
      <c r="Q105" s="704">
        <f>VLOOKUP(C105, '2021_Internal_ModelLink'!$A$3:$Z$1000, 15, 0)</f>
        <v>35073468565.639076</v>
      </c>
      <c r="R105" s="639"/>
      <c r="S105" s="405"/>
      <c r="T105" s="452"/>
      <c r="U105" s="405"/>
      <c r="V105" s="405"/>
      <c r="W105" s="405"/>
      <c r="X105" s="405"/>
      <c r="Y105" s="405"/>
      <c r="Z105" s="405"/>
      <c r="AA105" s="405"/>
      <c r="AB105" s="405"/>
      <c r="AC105" s="405"/>
      <c r="AD105" s="405"/>
      <c r="AE105" s="405"/>
    </row>
    <row r="106" spans="1:31" s="41" customFormat="1" ht="15.95" customHeight="1">
      <c r="A106" s="859"/>
      <c r="B106" s="887"/>
      <c r="C106" s="889"/>
      <c r="D106" s="891"/>
      <c r="E106" s="868"/>
      <c r="F106" s="868"/>
      <c r="G106" s="868"/>
      <c r="H106" s="868"/>
      <c r="I106" s="868"/>
      <c r="J106" s="264" t="s">
        <v>968</v>
      </c>
      <c r="K106" s="705" t="s">
        <v>1843</v>
      </c>
      <c r="L106" s="706" t="s">
        <v>59</v>
      </c>
      <c r="M106" s="707">
        <v>824969</v>
      </c>
      <c r="N106" s="707">
        <v>829779</v>
      </c>
      <c r="O106" s="707">
        <v>965359</v>
      </c>
      <c r="P106" s="707">
        <v>989323</v>
      </c>
      <c r="Q106" s="707">
        <f>VLOOKUP(C105, '2021_Internal_ModelLink'!$A$3:$Z$1000, 16, 0)</f>
        <v>970846</v>
      </c>
      <c r="R106" s="228"/>
      <c r="S106" s="405"/>
      <c r="T106" s="452"/>
      <c r="U106" s="405"/>
      <c r="V106" s="405"/>
      <c r="W106" s="405"/>
      <c r="X106" s="405"/>
      <c r="Y106" s="405"/>
      <c r="Z106" s="405"/>
      <c r="AA106" s="405"/>
      <c r="AB106" s="405"/>
      <c r="AC106" s="405"/>
      <c r="AD106" s="405"/>
      <c r="AE106" s="405"/>
    </row>
    <row r="107" spans="1:31" s="41" customFormat="1" ht="15.95" customHeight="1">
      <c r="A107" s="405"/>
      <c r="B107" s="405"/>
      <c r="C107" s="405"/>
      <c r="D107" s="405"/>
      <c r="E107" s="405"/>
      <c r="F107" s="405"/>
      <c r="G107" s="405"/>
      <c r="H107" s="405"/>
      <c r="I107" s="405"/>
      <c r="J107" s="58"/>
      <c r="K107" s="58"/>
      <c r="L107" s="58"/>
      <c r="M107" s="58"/>
      <c r="N107" s="58"/>
      <c r="O107" s="58"/>
      <c r="P107" s="58"/>
      <c r="Q107" s="58"/>
      <c r="R107" s="64"/>
      <c r="S107" s="405"/>
      <c r="T107" s="452"/>
      <c r="U107" s="405"/>
      <c r="V107" s="405"/>
      <c r="W107" s="405"/>
      <c r="X107" s="405"/>
      <c r="Y107" s="405"/>
      <c r="Z107" s="405"/>
      <c r="AA107" s="405"/>
      <c r="AB107" s="405"/>
      <c r="AC107" s="405"/>
      <c r="AD107" s="405"/>
      <c r="AE107" s="405"/>
    </row>
    <row r="108" spans="1:31" s="41" customFormat="1" ht="28.7" customHeight="1">
      <c r="A108" s="864"/>
      <c r="B108" s="864"/>
      <c r="C108" s="864"/>
      <c r="D108" s="864"/>
      <c r="E108" s="864"/>
      <c r="F108" s="558"/>
      <c r="G108" s="585"/>
      <c r="H108" s="691"/>
      <c r="I108" s="737"/>
      <c r="J108" s="405"/>
      <c r="K108" s="405"/>
      <c r="L108" s="405"/>
      <c r="M108" s="53"/>
      <c r="N108" s="53"/>
      <c r="O108" s="53"/>
      <c r="P108" s="53"/>
      <c r="Q108" s="53"/>
      <c r="R108" s="64"/>
      <c r="S108" s="405"/>
      <c r="T108" s="452"/>
      <c r="U108" s="405"/>
      <c r="V108" s="405"/>
      <c r="W108" s="405"/>
      <c r="X108" s="405"/>
      <c r="Y108" s="405"/>
      <c r="Z108" s="405"/>
      <c r="AA108" s="405"/>
      <c r="AB108" s="405"/>
      <c r="AC108" s="405"/>
      <c r="AD108" s="405"/>
      <c r="AE108" s="405"/>
    </row>
    <row r="109" spans="1:31" s="41" customFormat="1">
      <c r="A109" s="306" t="s">
        <v>1630</v>
      </c>
      <c r="B109" s="64"/>
      <c r="C109" s="64"/>
      <c r="D109" s="64"/>
      <c r="E109" s="64"/>
      <c r="F109" s="64"/>
      <c r="G109" s="64"/>
      <c r="H109" s="64"/>
      <c r="I109" s="64"/>
      <c r="J109" s="405"/>
      <c r="K109" s="405"/>
      <c r="L109" s="405"/>
      <c r="M109" s="405"/>
      <c r="N109" s="405"/>
      <c r="O109" s="405"/>
      <c r="P109" s="405"/>
      <c r="Q109" s="405"/>
      <c r="R109" s="64"/>
      <c r="S109" s="405"/>
      <c r="T109" s="452"/>
      <c r="U109" s="405"/>
      <c r="V109" s="405"/>
      <c r="W109" s="405"/>
      <c r="X109" s="405"/>
      <c r="Y109" s="405"/>
      <c r="Z109" s="405"/>
      <c r="AA109" s="405"/>
      <c r="AB109" s="405"/>
      <c r="AC109" s="405"/>
      <c r="AD109" s="405"/>
      <c r="AE109" s="405"/>
    </row>
    <row r="110" spans="1:31" s="41" customFormat="1">
      <c r="A110" s="306" t="s">
        <v>1631</v>
      </c>
      <c r="B110" s="64"/>
      <c r="C110" s="64"/>
      <c r="D110" s="64"/>
      <c r="E110" s="64"/>
      <c r="F110" s="64"/>
      <c r="G110" s="64"/>
      <c r="H110" s="64"/>
      <c r="I110" s="64"/>
      <c r="J110" s="405"/>
      <c r="K110" s="405"/>
      <c r="L110" s="405"/>
      <c r="M110" s="405"/>
      <c r="N110" s="405"/>
      <c r="O110" s="405"/>
      <c r="P110" s="405"/>
      <c r="Q110" s="405"/>
      <c r="R110" s="64"/>
      <c r="S110" s="405"/>
      <c r="T110" s="452"/>
      <c r="U110" s="405"/>
      <c r="V110" s="405"/>
      <c r="W110" s="405"/>
      <c r="X110" s="405"/>
      <c r="Y110" s="405"/>
      <c r="Z110" s="405"/>
      <c r="AA110" s="405"/>
      <c r="AB110" s="405"/>
      <c r="AC110" s="405"/>
      <c r="AD110" s="405"/>
      <c r="AE110" s="405"/>
    </row>
    <row r="111" spans="1:31" s="41" customFormat="1">
      <c r="A111" s="306"/>
      <c r="B111" s="64"/>
      <c r="C111" s="64"/>
      <c r="D111" s="64"/>
      <c r="E111" s="64"/>
      <c r="F111" s="64"/>
      <c r="G111" s="64"/>
      <c r="H111" s="64"/>
      <c r="I111" s="64"/>
      <c r="J111" s="405"/>
      <c r="K111" s="405"/>
      <c r="L111" s="405"/>
      <c r="M111" s="405"/>
      <c r="N111" s="405"/>
      <c r="O111" s="405"/>
      <c r="P111" s="405"/>
      <c r="Q111" s="405"/>
      <c r="R111" s="64"/>
      <c r="S111" s="405"/>
      <c r="T111" s="452"/>
      <c r="U111" s="405"/>
      <c r="V111" s="405"/>
      <c r="W111" s="405"/>
      <c r="X111" s="405"/>
      <c r="Y111" s="405"/>
      <c r="Z111" s="405"/>
      <c r="AA111" s="405"/>
      <c r="AB111" s="405"/>
      <c r="AC111" s="405"/>
      <c r="AD111" s="405"/>
      <c r="AE111" s="405"/>
    </row>
    <row r="112" spans="1:31" s="41" customFormat="1">
      <c r="A112" s="306" t="s">
        <v>1632</v>
      </c>
      <c r="B112" s="64"/>
      <c r="C112" s="64"/>
      <c r="D112" s="64"/>
      <c r="E112" s="64"/>
      <c r="F112" s="64"/>
      <c r="G112" s="64"/>
      <c r="H112" s="64"/>
      <c r="I112" s="64"/>
      <c r="J112" s="405"/>
      <c r="K112" s="405"/>
      <c r="L112" s="405"/>
      <c r="M112" s="405"/>
      <c r="N112" s="405"/>
      <c r="O112" s="405"/>
      <c r="P112" s="405"/>
      <c r="Q112" s="405"/>
      <c r="R112" s="64"/>
      <c r="S112" s="405"/>
      <c r="T112" s="452"/>
      <c r="U112" s="405"/>
      <c r="V112" s="405"/>
      <c r="W112" s="405"/>
      <c r="X112" s="405"/>
      <c r="Y112" s="405"/>
      <c r="Z112" s="405"/>
      <c r="AA112" s="405"/>
      <c r="AB112" s="405"/>
      <c r="AC112" s="405"/>
      <c r="AD112" s="405"/>
      <c r="AE112" s="405"/>
    </row>
    <row r="113" spans="1:20" s="41" customFormat="1" ht="14.25" customHeight="1">
      <c r="A113" s="306" t="s">
        <v>1633</v>
      </c>
      <c r="B113" s="64"/>
      <c r="C113" s="64"/>
      <c r="D113" s="64"/>
      <c r="E113" s="64"/>
      <c r="F113" s="64"/>
      <c r="G113" s="64"/>
      <c r="H113" s="64"/>
      <c r="I113" s="64"/>
      <c r="J113" s="405"/>
      <c r="K113" s="405"/>
      <c r="L113" s="405"/>
      <c r="M113" s="405"/>
      <c r="N113" s="405"/>
      <c r="O113" s="405"/>
      <c r="P113" s="405"/>
      <c r="Q113" s="405"/>
      <c r="R113" s="64"/>
      <c r="S113" s="405"/>
      <c r="T113" s="452"/>
    </row>
    <row r="114" spans="1:20" s="405" customFormat="1" ht="14.25" customHeight="1">
      <c r="A114" s="306" t="s">
        <v>1634</v>
      </c>
      <c r="B114" s="64"/>
      <c r="C114" s="64"/>
      <c r="D114" s="64"/>
      <c r="E114" s="64"/>
      <c r="F114" s="64"/>
      <c r="G114" s="64"/>
      <c r="H114" s="64"/>
      <c r="I114" s="64"/>
      <c r="R114" s="64"/>
      <c r="T114" s="452"/>
    </row>
    <row r="115" spans="1:20">
      <c r="A115" s="306" t="s">
        <v>1635</v>
      </c>
      <c r="B115" s="76"/>
      <c r="C115" s="76"/>
      <c r="D115" s="76"/>
      <c r="E115" s="76"/>
      <c r="F115" s="76"/>
      <c r="G115" s="76"/>
      <c r="H115" s="76"/>
      <c r="I115" s="76"/>
    </row>
    <row r="116" spans="1:20">
      <c r="A116" s="456"/>
    </row>
    <row r="117" spans="1:20">
      <c r="A117" s="456" t="s">
        <v>1871</v>
      </c>
    </row>
    <row r="118" spans="1:20">
      <c r="A118" s="456" t="s">
        <v>1869</v>
      </c>
    </row>
  </sheetData>
  <mergeCells count="217">
    <mergeCell ref="H95:H96"/>
    <mergeCell ref="H98:H99"/>
    <mergeCell ref="H101:H102"/>
    <mergeCell ref="H105:H106"/>
    <mergeCell ref="H62:H63"/>
    <mergeCell ref="H65:H66"/>
    <mergeCell ref="H68:H69"/>
    <mergeCell ref="H75:H76"/>
    <mergeCell ref="H78:H79"/>
    <mergeCell ref="H81:H82"/>
    <mergeCell ref="H85:H86"/>
    <mergeCell ref="H88:H89"/>
    <mergeCell ref="H91:H92"/>
    <mergeCell ref="H23:H24"/>
    <mergeCell ref="H26:H27"/>
    <mergeCell ref="H29:H30"/>
    <mergeCell ref="H36:H37"/>
    <mergeCell ref="H39:H40"/>
    <mergeCell ref="H42:H43"/>
    <mergeCell ref="H49:H50"/>
    <mergeCell ref="H52:H53"/>
    <mergeCell ref="H55:H56"/>
    <mergeCell ref="G85:G86"/>
    <mergeCell ref="G88:G89"/>
    <mergeCell ref="G91:G92"/>
    <mergeCell ref="G95:G96"/>
    <mergeCell ref="G98:G99"/>
    <mergeCell ref="G101:G102"/>
    <mergeCell ref="G105:G106"/>
    <mergeCell ref="G23:G24"/>
    <mergeCell ref="G26:G27"/>
    <mergeCell ref="G29:G30"/>
    <mergeCell ref="G36:G37"/>
    <mergeCell ref="G39:G40"/>
    <mergeCell ref="G42:G43"/>
    <mergeCell ref="G65:G66"/>
    <mergeCell ref="B19:E19"/>
    <mergeCell ref="R85:R86"/>
    <mergeCell ref="B88:B89"/>
    <mergeCell ref="C88:C89"/>
    <mergeCell ref="D88:D89"/>
    <mergeCell ref="E88:E89"/>
    <mergeCell ref="F88:F89"/>
    <mergeCell ref="R91:R92"/>
    <mergeCell ref="R101:R102"/>
    <mergeCell ref="R95:R96"/>
    <mergeCell ref="E91:E92"/>
    <mergeCell ref="F91:F92"/>
    <mergeCell ref="F95:F96"/>
    <mergeCell ref="B101:B102"/>
    <mergeCell ref="C101:C102"/>
    <mergeCell ref="D101:D102"/>
    <mergeCell ref="E101:E102"/>
    <mergeCell ref="F101:F102"/>
    <mergeCell ref="B98:B99"/>
    <mergeCell ref="C98:C99"/>
    <mergeCell ref="D98:D99"/>
    <mergeCell ref="E98:E99"/>
    <mergeCell ref="F98:F99"/>
    <mergeCell ref="F85:F86"/>
    <mergeCell ref="A61:A72"/>
    <mergeCell ref="C62:C63"/>
    <mergeCell ref="D62:D63"/>
    <mergeCell ref="E62:E63"/>
    <mergeCell ref="F62:F63"/>
    <mergeCell ref="B65:B66"/>
    <mergeCell ref="C65:C66"/>
    <mergeCell ref="D65:D66"/>
    <mergeCell ref="E65:E66"/>
    <mergeCell ref="F65:F66"/>
    <mergeCell ref="B68:B69"/>
    <mergeCell ref="C68:C69"/>
    <mergeCell ref="D68:D69"/>
    <mergeCell ref="E68:E69"/>
    <mergeCell ref="F68:F69"/>
    <mergeCell ref="B71:B72"/>
    <mergeCell ref="C71:C72"/>
    <mergeCell ref="D71:D72"/>
    <mergeCell ref="E71:E72"/>
    <mergeCell ref="R32:R33"/>
    <mergeCell ref="D29:D30"/>
    <mergeCell ref="E29:E30"/>
    <mergeCell ref="F29:F30"/>
    <mergeCell ref="B32:B33"/>
    <mergeCell ref="C32:C33"/>
    <mergeCell ref="D32:D33"/>
    <mergeCell ref="E32:E33"/>
    <mergeCell ref="F32:F33"/>
    <mergeCell ref="B39:B40"/>
    <mergeCell ref="C39:C40"/>
    <mergeCell ref="D39:D40"/>
    <mergeCell ref="E39:E40"/>
    <mergeCell ref="D42:D43"/>
    <mergeCell ref="E42:E43"/>
    <mergeCell ref="B42:B43"/>
    <mergeCell ref="C42:C43"/>
    <mergeCell ref="B45:B46"/>
    <mergeCell ref="B55:B56"/>
    <mergeCell ref="A48:A59"/>
    <mergeCell ref="C49:C50"/>
    <mergeCell ref="D49:D50"/>
    <mergeCell ref="E49:E50"/>
    <mergeCell ref="F49:F50"/>
    <mergeCell ref="B52:B53"/>
    <mergeCell ref="C52:C53"/>
    <mergeCell ref="D52:D53"/>
    <mergeCell ref="E52:E53"/>
    <mergeCell ref="C55:C56"/>
    <mergeCell ref="B58:B59"/>
    <mergeCell ref="C58:C59"/>
    <mergeCell ref="D58:D59"/>
    <mergeCell ref="E58:E59"/>
    <mergeCell ref="F58:F59"/>
    <mergeCell ref="D55:D56"/>
    <mergeCell ref="E55:E56"/>
    <mergeCell ref="F55:F56"/>
    <mergeCell ref="A22:A33"/>
    <mergeCell ref="C23:C24"/>
    <mergeCell ref="D23:D24"/>
    <mergeCell ref="E23:E24"/>
    <mergeCell ref="F23:F24"/>
    <mergeCell ref="B26:B27"/>
    <mergeCell ref="C26:C27"/>
    <mergeCell ref="D26:D27"/>
    <mergeCell ref="E26:E27"/>
    <mergeCell ref="F26:F27"/>
    <mergeCell ref="B29:B30"/>
    <mergeCell ref="C29:C30"/>
    <mergeCell ref="A108:E108"/>
    <mergeCell ref="B91:B92"/>
    <mergeCell ref="A84:A89"/>
    <mergeCell ref="B85:B86"/>
    <mergeCell ref="C85:C86"/>
    <mergeCell ref="D85:D86"/>
    <mergeCell ref="E85:E86"/>
    <mergeCell ref="A94:A102"/>
    <mergeCell ref="B95:B96"/>
    <mergeCell ref="C95:C96"/>
    <mergeCell ref="D95:D96"/>
    <mergeCell ref="E95:E96"/>
    <mergeCell ref="C91:C92"/>
    <mergeCell ref="D91:D92"/>
    <mergeCell ref="A104:A106"/>
    <mergeCell ref="B105:B106"/>
    <mergeCell ref="C105:C106"/>
    <mergeCell ref="D105:D106"/>
    <mergeCell ref="E105:E106"/>
    <mergeCell ref="F45:F46"/>
    <mergeCell ref="D78:D79"/>
    <mergeCell ref="E78:E79"/>
    <mergeCell ref="C36:C37"/>
    <mergeCell ref="D36:D37"/>
    <mergeCell ref="E36:E37"/>
    <mergeCell ref="R75:R76"/>
    <mergeCell ref="R81:R82"/>
    <mergeCell ref="R49:R50"/>
    <mergeCell ref="R55:R56"/>
    <mergeCell ref="F42:F43"/>
    <mergeCell ref="R58:R59"/>
    <mergeCell ref="R71:R72"/>
    <mergeCell ref="C81:C82"/>
    <mergeCell ref="F71:F72"/>
    <mergeCell ref="F52:F53"/>
    <mergeCell ref="G68:G69"/>
    <mergeCell ref="G75:G76"/>
    <mergeCell ref="G78:G79"/>
    <mergeCell ref="G81:G82"/>
    <mergeCell ref="G49:G50"/>
    <mergeCell ref="G52:G53"/>
    <mergeCell ref="G55:G56"/>
    <mergeCell ref="G62:G63"/>
    <mergeCell ref="R19:R20"/>
    <mergeCell ref="F105:F106"/>
    <mergeCell ref="F75:F76"/>
    <mergeCell ref="F78:F79"/>
    <mergeCell ref="F81:F82"/>
    <mergeCell ref="A3:A17"/>
    <mergeCell ref="A19:A20"/>
    <mergeCell ref="A35:A46"/>
    <mergeCell ref="A74:A82"/>
    <mergeCell ref="C45:C46"/>
    <mergeCell ref="B75:B76"/>
    <mergeCell ref="C75:C76"/>
    <mergeCell ref="B78:B79"/>
    <mergeCell ref="C78:C79"/>
    <mergeCell ref="R45:R46"/>
    <mergeCell ref="B81:B82"/>
    <mergeCell ref="D45:D46"/>
    <mergeCell ref="E45:E46"/>
    <mergeCell ref="D75:D76"/>
    <mergeCell ref="E75:E76"/>
    <mergeCell ref="D81:D82"/>
    <mergeCell ref="E81:E82"/>
    <mergeCell ref="F36:F37"/>
    <mergeCell ref="F39:F40"/>
    <mergeCell ref="I23:I24"/>
    <mergeCell ref="I26:I27"/>
    <mergeCell ref="I29:I30"/>
    <mergeCell ref="I36:I37"/>
    <mergeCell ref="I39:I40"/>
    <mergeCell ref="I42:I43"/>
    <mergeCell ref="I49:I50"/>
    <mergeCell ref="I62:I63"/>
    <mergeCell ref="I65:I66"/>
    <mergeCell ref="I95:I96"/>
    <mergeCell ref="I98:I99"/>
    <mergeCell ref="I101:I102"/>
    <mergeCell ref="I105:I106"/>
    <mergeCell ref="I68:I69"/>
    <mergeCell ref="I52:I53"/>
    <mergeCell ref="I55:I56"/>
    <mergeCell ref="I75:I76"/>
    <mergeCell ref="I78:I79"/>
    <mergeCell ref="I81:I82"/>
    <mergeCell ref="I85:I86"/>
    <mergeCell ref="I88:I89"/>
    <mergeCell ref="I91:I92"/>
  </mergeCells>
  <pageMargins left="0.7" right="0.7" top="0.75" bottom="0.75" header="0.3" footer="0.3"/>
  <pageSetup scale="75" fitToWidth="0" fitToHeight="0" orientation="landscape" r:id="rId1"/>
  <headerFooter>
    <oddFooter>&amp;RMay 1, 2019</oddFooter>
  </headerFooter>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6">
    <tabColor rgb="FF92D050"/>
  </sheetPr>
  <dimension ref="A1:A3"/>
  <sheetViews>
    <sheetView zoomScaleNormal="100" workbookViewId="0">
      <selection activeCell="A2" sqref="A2"/>
    </sheetView>
  </sheetViews>
  <sheetFormatPr defaultColWidth="9.140625" defaultRowHeight="15"/>
  <cols>
    <col min="1" max="1" width="90.7109375" style="1" customWidth="1"/>
    <col min="2" max="16384" width="9.140625" style="1"/>
  </cols>
  <sheetData>
    <row r="1" spans="1:1" ht="26.25">
      <c r="A1" s="553" t="s">
        <v>1636</v>
      </c>
    </row>
    <row r="2" spans="1:1" ht="18.75">
      <c r="A2" s="8" t="s">
        <v>2231</v>
      </c>
    </row>
    <row r="3" spans="1:1" ht="18.75">
      <c r="A3" s="7"/>
    </row>
  </sheetData>
  <pageMargins left="0.7" right="0.7" top="0.75" bottom="0.75" header="0.3" footer="0.3"/>
  <pageSetup fitToWidth="0" fitToHeight="0" orientation="portrait" r:id="rId1"/>
  <headerFooter>
    <oddFooter>&amp;RMay 1, 2019</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I17"/>
  <sheetViews>
    <sheetView zoomScaleNormal="100" zoomScaleSheetLayoutView="100" workbookViewId="0">
      <selection sqref="A1:C1"/>
    </sheetView>
  </sheetViews>
  <sheetFormatPr defaultColWidth="9.140625" defaultRowHeight="15"/>
  <cols>
    <col min="1" max="1" width="4.28515625" style="1" customWidth="1"/>
    <col min="2" max="2" width="69.7109375" style="1" customWidth="1"/>
    <col min="3" max="3" width="7.42578125" style="1" customWidth="1"/>
    <col min="4" max="16384" width="9.140625" style="1"/>
  </cols>
  <sheetData>
    <row r="1" spans="1:9" ht="52.9" customHeight="1">
      <c r="A1" s="831" t="s">
        <v>2</v>
      </c>
      <c r="B1" s="831"/>
      <c r="C1" s="831"/>
    </row>
    <row r="3" spans="1:9" ht="18.75">
      <c r="A3" s="7"/>
      <c r="B3" s="7"/>
      <c r="C3" s="7"/>
    </row>
    <row r="4" spans="1:9" s="6" customFormat="1" ht="20.100000000000001" customHeight="1">
      <c r="A4" s="7"/>
      <c r="B4" s="7"/>
      <c r="C4" s="9"/>
      <c r="D4" s="11"/>
    </row>
    <row r="5" spans="1:9" s="6" customFormat="1" ht="20.100000000000001" customHeight="1">
      <c r="A5" s="7"/>
      <c r="B5" s="10" t="s">
        <v>3</v>
      </c>
      <c r="C5" s="8"/>
      <c r="I5" s="1"/>
    </row>
    <row r="6" spans="1:9" s="6" customFormat="1" ht="20.100000000000001" customHeight="1">
      <c r="A6" s="7"/>
      <c r="B6" s="10" t="s">
        <v>4</v>
      </c>
      <c r="C6" s="8"/>
      <c r="I6" s="1"/>
    </row>
    <row r="7" spans="1:9" s="6" customFormat="1" ht="20.100000000000001" customHeight="1">
      <c r="A7" s="7"/>
      <c r="B7" s="10" t="s">
        <v>5</v>
      </c>
      <c r="C7" s="8"/>
      <c r="I7" s="1"/>
    </row>
    <row r="8" spans="1:9" s="6" customFormat="1" ht="20.100000000000001" customHeight="1">
      <c r="A8" s="7"/>
      <c r="B8" s="10" t="s">
        <v>6</v>
      </c>
      <c r="C8" s="8"/>
      <c r="I8" s="1"/>
    </row>
    <row r="9" spans="1:9" ht="20.100000000000001" customHeight="1">
      <c r="A9" s="328"/>
      <c r="B9" s="10" t="s">
        <v>7</v>
      </c>
      <c r="C9" s="8"/>
    </row>
    <row r="10" spans="1:9" ht="20.100000000000001" customHeight="1">
      <c r="B10" s="10" t="s">
        <v>8</v>
      </c>
      <c r="C10" s="8"/>
    </row>
    <row r="11" spans="1:9" ht="20.100000000000001" customHeight="1">
      <c r="B11" s="10" t="s">
        <v>9</v>
      </c>
      <c r="C11" s="8"/>
    </row>
    <row r="12" spans="1:9" ht="20.100000000000001" customHeight="1">
      <c r="B12" s="10" t="s">
        <v>10</v>
      </c>
      <c r="C12" s="8"/>
    </row>
    <row r="13" spans="1:9" ht="20.100000000000001" customHeight="1">
      <c r="B13" s="10" t="s">
        <v>11</v>
      </c>
      <c r="C13" s="8"/>
    </row>
    <row r="14" spans="1:9" ht="20.100000000000001" customHeight="1">
      <c r="B14" s="10" t="s">
        <v>12</v>
      </c>
      <c r="C14" s="8"/>
    </row>
    <row r="15" spans="1:9" ht="20.100000000000001" customHeight="1">
      <c r="B15" s="10" t="s">
        <v>13</v>
      </c>
      <c r="C15" s="8"/>
    </row>
    <row r="16" spans="1:9" ht="20.100000000000001" customHeight="1">
      <c r="B16" s="10" t="s">
        <v>14</v>
      </c>
      <c r="C16" s="8"/>
    </row>
    <row r="17" spans="2:3" ht="20.100000000000001" customHeight="1">
      <c r="B17" s="10"/>
      <c r="C17" s="8"/>
    </row>
  </sheetData>
  <mergeCells count="1">
    <mergeCell ref="A1:C1"/>
  </mergeCells>
  <pageMargins left="0.7" right="0.7" top="0.75" bottom="0.75" header="0.3" footer="0.3"/>
  <pageSetup fitToWidth="0" orientation="portrait" r:id="rId1"/>
  <headerFooter>
    <oddFooter>&amp;RMay 1,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AD153"/>
  <sheetViews>
    <sheetView zoomScale="70" zoomScaleNormal="70" zoomScaleSheetLayoutView="90" workbookViewId="0">
      <pane ySplit="2" topLeftCell="A33" activePane="bottomLeft" state="frozen"/>
      <selection sqref="A1:A2"/>
      <selection pane="bottomLeft"/>
    </sheetView>
  </sheetViews>
  <sheetFormatPr defaultColWidth="9.140625" defaultRowHeight="15"/>
  <cols>
    <col min="1" max="1" width="15" style="38" customWidth="1"/>
    <col min="2" max="2" width="57.42578125" style="38" customWidth="1"/>
    <col min="3" max="3" width="5.7109375" style="38" customWidth="1"/>
    <col min="4" max="8" width="13.7109375" style="38" customWidth="1"/>
    <col min="9" max="9" width="17" style="38" customWidth="1"/>
    <col min="10" max="10" width="6.85546875" style="38" customWidth="1"/>
    <col min="11" max="11" width="49.7109375" style="38" bestFit="1" customWidth="1"/>
    <col min="12" max="12" width="13.7109375" style="38" customWidth="1"/>
    <col min="13" max="13" width="19.140625" style="38" bestFit="1" customWidth="1"/>
    <col min="14" max="14" width="17.5703125" style="38" bestFit="1" customWidth="1"/>
    <col min="15" max="17" width="16.7109375" style="38" customWidth="1"/>
    <col min="18" max="18" width="57.140625" style="76" customWidth="1"/>
    <col min="19" max="19" width="6.85546875" style="38" customWidth="1"/>
    <col min="20" max="20" width="13.140625" style="38" customWidth="1"/>
    <col min="21" max="16384" width="9.140625" style="38"/>
  </cols>
  <sheetData>
    <row r="1" spans="1:18" ht="24.95" customHeight="1">
      <c r="A1" s="219" t="s">
        <v>2230</v>
      </c>
    </row>
    <row r="2" spans="1:18" ht="38.1" customHeight="1">
      <c r="A2" s="390" t="s">
        <v>27</v>
      </c>
      <c r="B2" s="391" t="s">
        <v>1560</v>
      </c>
      <c r="C2" s="392" t="s">
        <v>1561</v>
      </c>
      <c r="D2" s="437">
        <v>2016</v>
      </c>
      <c r="E2" s="437">
        <v>2017</v>
      </c>
      <c r="F2" s="437">
        <v>2018</v>
      </c>
      <c r="G2" s="606">
        <v>2019</v>
      </c>
      <c r="H2" s="606">
        <v>2020</v>
      </c>
      <c r="I2" s="606">
        <v>2021</v>
      </c>
      <c r="J2" s="393" t="s">
        <v>1562</v>
      </c>
      <c r="K2" s="394"/>
      <c r="L2" s="395">
        <v>2016</v>
      </c>
      <c r="M2" s="395">
        <v>2017</v>
      </c>
      <c r="N2" s="395">
        <v>2018</v>
      </c>
      <c r="O2" s="607">
        <v>2019</v>
      </c>
      <c r="P2" s="607">
        <v>2020</v>
      </c>
      <c r="Q2" s="607">
        <v>2021</v>
      </c>
      <c r="R2" s="396" t="s">
        <v>1563</v>
      </c>
    </row>
    <row r="3" spans="1:18" s="41" customFormat="1" ht="60">
      <c r="A3" s="856" t="s">
        <v>53</v>
      </c>
      <c r="B3" s="126" t="s">
        <v>1637</v>
      </c>
      <c r="C3" s="270"/>
      <c r="D3" s="115"/>
      <c r="E3" s="115"/>
      <c r="F3" s="115"/>
      <c r="G3" s="602"/>
      <c r="H3" s="602"/>
      <c r="I3" s="602"/>
      <c r="J3" s="114"/>
      <c r="K3" s="243"/>
      <c r="L3" s="126"/>
      <c r="M3" s="126"/>
      <c r="N3" s="126"/>
      <c r="O3" s="579"/>
      <c r="P3" s="579"/>
      <c r="Q3" s="579"/>
      <c r="R3" s="229"/>
    </row>
    <row r="4" spans="1:18" s="41" customFormat="1" ht="15.95" customHeight="1">
      <c r="A4" s="857"/>
      <c r="B4" s="101" t="s">
        <v>173</v>
      </c>
      <c r="C4" s="245">
        <v>78</v>
      </c>
      <c r="D4" s="432">
        <v>929.27079517745756</v>
      </c>
      <c r="E4" s="432">
        <v>491.41787051347353</v>
      </c>
      <c r="F4" s="432">
        <v>219.03197422503709</v>
      </c>
      <c r="G4" s="432">
        <v>472.46451493200942</v>
      </c>
      <c r="H4" s="432">
        <v>2846.1503726502024</v>
      </c>
      <c r="I4" s="432">
        <f>VLOOKUP(C4, '2021_Internal_ModelLink'!$A$3:$Z$1000, 14, 0)</f>
        <v>2272.6820359994967</v>
      </c>
      <c r="J4" s="116"/>
      <c r="K4" s="246"/>
      <c r="L4" s="163"/>
      <c r="M4" s="163"/>
      <c r="N4" s="163"/>
      <c r="O4" s="163"/>
      <c r="P4" s="163"/>
      <c r="Q4" s="163"/>
      <c r="R4" s="567"/>
    </row>
    <row r="5" spans="1:18" s="405" customFormat="1" ht="15.95" customHeight="1">
      <c r="A5" s="857"/>
      <c r="B5" s="101" t="s">
        <v>175</v>
      </c>
      <c r="C5" s="245">
        <v>79</v>
      </c>
      <c r="D5" s="432">
        <v>740.14404512616363</v>
      </c>
      <c r="E5" s="432">
        <v>318.91910754790689</v>
      </c>
      <c r="F5" s="432">
        <v>142.14357720803355</v>
      </c>
      <c r="G5" s="432">
        <v>375.30491883338573</v>
      </c>
      <c r="H5" s="432">
        <v>2834.2529214697938</v>
      </c>
      <c r="I5" s="432">
        <f>VLOOKUP(C5, '2021_Internal_ModelLink'!$A$3:$Z$1000, 14, 0)</f>
        <v>2277.5363655269839</v>
      </c>
      <c r="J5" s="116"/>
      <c r="K5" s="246"/>
      <c r="L5" s="163"/>
      <c r="M5" s="163"/>
      <c r="N5" s="163"/>
      <c r="O5" s="163"/>
      <c r="P5" s="163"/>
      <c r="Q5" s="163"/>
      <c r="R5" s="567"/>
    </row>
    <row r="6" spans="1:18" s="405" customFormat="1" ht="15.95" customHeight="1">
      <c r="A6" s="857"/>
      <c r="B6" s="101" t="s">
        <v>176</v>
      </c>
      <c r="C6" s="245">
        <v>80</v>
      </c>
      <c r="D6" s="432">
        <v>3515134.8480861313</v>
      </c>
      <c r="E6" s="432">
        <v>1927660.3566466852</v>
      </c>
      <c r="F6" s="432">
        <v>1278348.796947879</v>
      </c>
      <c r="G6" s="432">
        <v>2351367.3470587926</v>
      </c>
      <c r="H6" s="432">
        <v>15494532.942354519</v>
      </c>
      <c r="I6" s="432">
        <f>VLOOKUP(C6, '2021_Internal_ModelLink'!$A$3:$Z$1000, 14, 0)</f>
        <v>13909685.113864617</v>
      </c>
      <c r="J6" s="116"/>
      <c r="K6" s="246"/>
      <c r="L6" s="163"/>
      <c r="M6" s="163"/>
      <c r="N6" s="163"/>
      <c r="O6" s="163"/>
      <c r="P6" s="163"/>
      <c r="Q6" s="163"/>
      <c r="R6" s="567"/>
    </row>
    <row r="7" spans="1:18" s="405" customFormat="1" ht="15.95" customHeight="1">
      <c r="A7" s="857"/>
      <c r="B7" s="101" t="s">
        <v>177</v>
      </c>
      <c r="C7" s="245">
        <v>81</v>
      </c>
      <c r="D7" s="432">
        <v>2625359.8568609315</v>
      </c>
      <c r="E7" s="432">
        <v>1313895.7263670263</v>
      </c>
      <c r="F7" s="432">
        <v>825918.07880019047</v>
      </c>
      <c r="G7" s="432">
        <v>1668325.764766549</v>
      </c>
      <c r="H7" s="432">
        <v>15890094.776891826</v>
      </c>
      <c r="I7" s="432">
        <f>VLOOKUP(C7, '2021_Internal_ModelLink'!$A$3:$Z$1000, 14, 0)</f>
        <v>14235406.513566123</v>
      </c>
      <c r="J7" s="116"/>
      <c r="K7" s="246"/>
      <c r="L7" s="163"/>
      <c r="M7" s="163"/>
      <c r="N7" s="163"/>
      <c r="O7" s="163"/>
      <c r="P7" s="163"/>
      <c r="Q7" s="163"/>
      <c r="R7" s="567"/>
    </row>
    <row r="8" spans="1:18" s="405" customFormat="1" ht="15.95" customHeight="1">
      <c r="A8" s="857"/>
      <c r="B8" s="101" t="s">
        <v>178</v>
      </c>
      <c r="C8" s="245">
        <v>82</v>
      </c>
      <c r="D8" s="432">
        <v>40721.875985925755</v>
      </c>
      <c r="E8" s="432">
        <v>36224.955523545803</v>
      </c>
      <c r="F8" s="432">
        <v>10484.676605899693</v>
      </c>
      <c r="G8" s="432">
        <v>24608.467718135285</v>
      </c>
      <c r="H8" s="432">
        <v>374173.23724446661</v>
      </c>
      <c r="I8" s="432">
        <f>VLOOKUP(C8, '2021_Internal_ModelLink'!$A$3:$Z$1000, 14, 0)</f>
        <v>716248.89391560736</v>
      </c>
      <c r="J8" s="116"/>
      <c r="K8" s="246"/>
      <c r="L8" s="163"/>
      <c r="M8" s="163"/>
      <c r="N8" s="163"/>
      <c r="O8" s="163"/>
      <c r="P8" s="163"/>
      <c r="Q8" s="163"/>
      <c r="R8" s="567"/>
    </row>
    <row r="9" spans="1:18" s="405" customFormat="1" ht="15.95" customHeight="1">
      <c r="A9" s="857"/>
      <c r="B9" s="101" t="s">
        <v>180</v>
      </c>
      <c r="C9" s="245">
        <v>83</v>
      </c>
      <c r="D9" s="432">
        <v>25268.224979089129</v>
      </c>
      <c r="E9" s="432">
        <v>24024.130264612726</v>
      </c>
      <c r="F9" s="432">
        <v>5865.7814489256234</v>
      </c>
      <c r="G9" s="432">
        <v>13695.783272898685</v>
      </c>
      <c r="H9" s="432">
        <v>387621.69002220535</v>
      </c>
      <c r="I9" s="432">
        <f>VLOOKUP(C9, '2021_Internal_ModelLink'!$A$3:$Z$1000, 14, 0)</f>
        <v>551774.14396279259</v>
      </c>
      <c r="J9" s="116"/>
      <c r="K9" s="246"/>
      <c r="L9" s="163"/>
      <c r="M9" s="163"/>
      <c r="N9" s="163"/>
      <c r="O9" s="163"/>
      <c r="P9" s="163"/>
      <c r="Q9" s="163"/>
      <c r="R9" s="567"/>
    </row>
    <row r="10" spans="1:18" s="405" customFormat="1" ht="15.95" customHeight="1">
      <c r="A10" s="857"/>
      <c r="B10" s="101" t="s">
        <v>181</v>
      </c>
      <c r="C10" s="245">
        <v>84</v>
      </c>
      <c r="D10" s="432">
        <v>12212.805663345569</v>
      </c>
      <c r="E10" s="432">
        <v>6857.0031069133192</v>
      </c>
      <c r="F10" s="432">
        <v>2944.1001747175792</v>
      </c>
      <c r="G10" s="432">
        <v>1509.0301823954469</v>
      </c>
      <c r="H10" s="432">
        <v>4054.2623407428978</v>
      </c>
      <c r="I10" s="432">
        <f>VLOOKUP(C10, '2021_Internal_ModelLink'!$A$3:$Z$1000, 14, 0)</f>
        <v>3860.1328062654202</v>
      </c>
      <c r="J10" s="116"/>
      <c r="K10" s="246"/>
      <c r="L10" s="163"/>
      <c r="M10" s="163"/>
      <c r="N10" s="163"/>
      <c r="O10" s="163"/>
      <c r="P10" s="163"/>
      <c r="Q10" s="163"/>
      <c r="R10" s="567"/>
    </row>
    <row r="11" spans="1:18" s="405" customFormat="1" ht="15.95" customHeight="1">
      <c r="A11" s="857"/>
      <c r="B11" s="101" t="s">
        <v>182</v>
      </c>
      <c r="C11" s="245">
        <v>85</v>
      </c>
      <c r="D11" s="432">
        <v>9561.106466467374</v>
      </c>
      <c r="E11" s="432">
        <v>4339.8669662691809</v>
      </c>
      <c r="F11" s="432">
        <v>1803.5670695796587</v>
      </c>
      <c r="G11" s="432">
        <v>1186.4867226503263</v>
      </c>
      <c r="H11" s="432">
        <v>3637.1866576251391</v>
      </c>
      <c r="I11" s="432">
        <f>VLOOKUP(C11, '2021_Internal_ModelLink'!$A$3:$Z$1000, 14, 0)</f>
        <v>3494.9754540435247</v>
      </c>
      <c r="J11" s="116"/>
      <c r="K11" s="246"/>
      <c r="L11" s="163"/>
      <c r="M11" s="163"/>
      <c r="N11" s="163"/>
      <c r="O11" s="163"/>
      <c r="P11" s="163"/>
      <c r="Q11" s="163"/>
      <c r="R11" s="567"/>
    </row>
    <row r="12" spans="1:18" s="405" customFormat="1" ht="15.95" customHeight="1">
      <c r="A12" s="857"/>
      <c r="B12" s="101" t="s">
        <v>183</v>
      </c>
      <c r="C12" s="245">
        <v>86</v>
      </c>
      <c r="D12" s="432">
        <v>46049141.974360339</v>
      </c>
      <c r="E12" s="432">
        <v>25237042.285346583</v>
      </c>
      <c r="F12" s="432">
        <v>16714964.959891923</v>
      </c>
      <c r="G12" s="432">
        <v>14804156.202913992</v>
      </c>
      <c r="H12" s="432">
        <v>20109152.663810141</v>
      </c>
      <c r="I12" s="432">
        <f>VLOOKUP(C12, '2021_Internal_ModelLink'!$A$3:$Z$1000, 14, 0)</f>
        <v>18795364.293484993</v>
      </c>
      <c r="J12" s="116"/>
      <c r="K12" s="246"/>
      <c r="L12" s="163"/>
      <c r="M12" s="163"/>
      <c r="N12" s="163"/>
      <c r="O12" s="163"/>
      <c r="P12" s="163"/>
      <c r="Q12" s="163"/>
      <c r="R12" s="567"/>
    </row>
    <row r="13" spans="1:18" s="405" customFormat="1" ht="15.95" customHeight="1">
      <c r="A13" s="857"/>
      <c r="B13" s="101" t="s">
        <v>184</v>
      </c>
      <c r="C13" s="245">
        <v>87</v>
      </c>
      <c r="D13" s="432">
        <v>33164544.343028806</v>
      </c>
      <c r="E13" s="432">
        <v>16538879.534338683</v>
      </c>
      <c r="F13" s="432">
        <v>10317369.910208927</v>
      </c>
      <c r="G13" s="432">
        <v>10036625.689705309</v>
      </c>
      <c r="H13" s="432">
        <v>18847541.687370114</v>
      </c>
      <c r="I13" s="432">
        <f>VLOOKUP(C13, '2021_Internal_ModelLink'!$A$3:$Z$1000, 14, 0)</f>
        <v>17778919.704575717</v>
      </c>
      <c r="J13" s="116"/>
      <c r="K13" s="246"/>
      <c r="L13" s="163"/>
      <c r="M13" s="163"/>
      <c r="N13" s="163"/>
      <c r="O13" s="163"/>
      <c r="P13" s="163"/>
      <c r="Q13" s="163"/>
      <c r="R13" s="567"/>
    </row>
    <row r="14" spans="1:18" s="405" customFormat="1" ht="15.95" customHeight="1">
      <c r="A14" s="857"/>
      <c r="B14" s="22" t="s">
        <v>185</v>
      </c>
      <c r="C14" s="245">
        <v>88</v>
      </c>
      <c r="D14" s="271">
        <v>560964.19382027769</v>
      </c>
      <c r="E14" s="271">
        <v>525635.65437626862</v>
      </c>
      <c r="F14" s="271">
        <v>167769.44976755657</v>
      </c>
      <c r="G14" s="271">
        <v>345872.63006051077</v>
      </c>
      <c r="H14" s="271">
        <v>463920.78687777388</v>
      </c>
      <c r="I14" s="271">
        <f>VLOOKUP(C14, '2021_Internal_ModelLink'!$A$3:$Z$1000, 14, 0)</f>
        <v>3000413.3257367313</v>
      </c>
      <c r="J14" s="58"/>
      <c r="K14" s="125"/>
      <c r="L14" s="116"/>
      <c r="M14" s="116"/>
      <c r="N14" s="116"/>
      <c r="O14" s="116"/>
      <c r="P14" s="116"/>
      <c r="Q14" s="116"/>
      <c r="R14" s="567"/>
    </row>
    <row r="15" spans="1:18" s="405" customFormat="1" ht="15.95" customHeight="1">
      <c r="A15" s="857"/>
      <c r="B15" s="22" t="s">
        <v>186</v>
      </c>
      <c r="C15" s="245">
        <v>89</v>
      </c>
      <c r="D15" s="310">
        <v>371293.58326287294</v>
      </c>
      <c r="E15" s="310">
        <v>349439.29916558019</v>
      </c>
      <c r="F15" s="310">
        <v>99843.581838185171</v>
      </c>
      <c r="G15" s="310">
        <v>200510.07670012189</v>
      </c>
      <c r="H15" s="310">
        <v>447181.16146424651</v>
      </c>
      <c r="I15" s="310">
        <f>VLOOKUP(C15, '2021_Internal_ModelLink'!$A$3:$Z$1000, 14, 0)</f>
        <v>2029611.2909535102</v>
      </c>
      <c r="J15" s="116"/>
      <c r="K15" s="317"/>
      <c r="L15" s="163"/>
      <c r="M15" s="163"/>
      <c r="N15" s="163"/>
      <c r="O15" s="163"/>
      <c r="P15" s="163"/>
      <c r="Q15" s="163"/>
      <c r="R15" s="567"/>
    </row>
    <row r="16" spans="1:18" s="41" customFormat="1" ht="15.95" customHeight="1">
      <c r="A16" s="857"/>
      <c r="B16" s="385"/>
      <c r="C16" s="386"/>
      <c r="D16" s="387"/>
      <c r="E16" s="387"/>
      <c r="F16" s="387"/>
      <c r="G16" s="387"/>
      <c r="H16" s="387"/>
      <c r="I16" s="387"/>
      <c r="J16" s="388"/>
      <c r="K16" s="389"/>
      <c r="L16" s="388"/>
      <c r="M16" s="388"/>
      <c r="N16" s="388"/>
      <c r="O16" s="388"/>
      <c r="P16" s="388"/>
      <c r="Q16" s="388"/>
      <c r="R16" s="469"/>
    </row>
    <row r="17" spans="1:18" s="41" customFormat="1" ht="15.95" customHeight="1">
      <c r="A17" s="857"/>
      <c r="B17" s="22" t="s">
        <v>188</v>
      </c>
      <c r="C17" s="245">
        <v>90</v>
      </c>
      <c r="D17" s="271">
        <v>179.66311391256937</v>
      </c>
      <c r="E17" s="271">
        <v>3.2145977314806737</v>
      </c>
      <c r="F17" s="271">
        <v>0</v>
      </c>
      <c r="G17" s="271">
        <v>612.81753846723996</v>
      </c>
      <c r="H17" s="271">
        <v>473.23329797333901</v>
      </c>
      <c r="I17" s="271">
        <f>VLOOKUP(C17, '2021_Internal_ModelLink'!$A$3:$Z$1000, 14, 0)</f>
        <v>380.4376865724069</v>
      </c>
      <c r="J17" s="116"/>
      <c r="K17" s="246"/>
      <c r="L17" s="163"/>
      <c r="M17" s="163"/>
      <c r="N17" s="163"/>
      <c r="O17" s="163"/>
      <c r="P17" s="163"/>
      <c r="Q17" s="163"/>
      <c r="R17" s="567"/>
    </row>
    <row r="18" spans="1:18" s="41" customFormat="1" ht="15.95" customHeight="1">
      <c r="A18" s="857"/>
      <c r="B18" s="22" t="s">
        <v>189</v>
      </c>
      <c r="C18" s="245">
        <v>91</v>
      </c>
      <c r="D18" s="271">
        <v>136.97370720813427</v>
      </c>
      <c r="E18" s="271">
        <v>2.4964126509166493</v>
      </c>
      <c r="F18" s="271">
        <v>0</v>
      </c>
      <c r="G18" s="271">
        <v>466.77326383783571</v>
      </c>
      <c r="H18" s="271">
        <v>317.6270806321217</v>
      </c>
      <c r="I18" s="271">
        <f>VLOOKUP(C18, '2021_Internal_ModelLink'!$A$3:$Z$1000, 14, 0)</f>
        <v>276.13149284606186</v>
      </c>
      <c r="J18" s="116"/>
      <c r="K18" s="246"/>
      <c r="L18" s="163"/>
      <c r="M18" s="163"/>
      <c r="N18" s="163"/>
      <c r="O18" s="163"/>
      <c r="P18" s="163"/>
      <c r="Q18" s="163"/>
      <c r="R18" s="567"/>
    </row>
    <row r="19" spans="1:18" s="405" customFormat="1" ht="15.95" customHeight="1">
      <c r="A19" s="857"/>
      <c r="B19" s="22" t="s">
        <v>190</v>
      </c>
      <c r="C19" s="245">
        <v>92</v>
      </c>
      <c r="D19" s="271">
        <v>964484.10927345138</v>
      </c>
      <c r="E19" s="271">
        <v>75731.238205650938</v>
      </c>
      <c r="F19" s="271">
        <v>0</v>
      </c>
      <c r="G19" s="271">
        <v>1505805.4656984</v>
      </c>
      <c r="H19" s="271">
        <v>894302.95553985599</v>
      </c>
      <c r="I19" s="271">
        <f>VLOOKUP(C19, '2021_Internal_ModelLink'!$A$3:$Z$1000, 14, 0)</f>
        <v>734784.67935567826</v>
      </c>
      <c r="J19" s="116"/>
      <c r="K19" s="246"/>
      <c r="L19" s="163"/>
      <c r="M19" s="163"/>
      <c r="N19" s="163"/>
      <c r="O19" s="163"/>
      <c r="P19" s="163"/>
      <c r="Q19" s="163"/>
      <c r="R19" s="567"/>
    </row>
    <row r="20" spans="1:18" s="405" customFormat="1" ht="15.95" customHeight="1">
      <c r="A20" s="857"/>
      <c r="B20" s="22" t="s">
        <v>191</v>
      </c>
      <c r="C20" s="245">
        <v>93</v>
      </c>
      <c r="D20" s="271">
        <v>695274.22810670407</v>
      </c>
      <c r="E20" s="271">
        <v>51888.273623867812</v>
      </c>
      <c r="F20" s="271">
        <v>0</v>
      </c>
      <c r="G20" s="271">
        <v>996265.9581351541</v>
      </c>
      <c r="H20" s="271">
        <v>597915.3801314208</v>
      </c>
      <c r="I20" s="271">
        <f>VLOOKUP(C20, '2021_Internal_ModelLink'!$A$3:$Z$1000, 14, 0)</f>
        <v>529642.82233990915</v>
      </c>
      <c r="J20" s="116"/>
      <c r="K20" s="246"/>
      <c r="L20" s="163"/>
      <c r="M20" s="163"/>
      <c r="N20" s="163"/>
      <c r="O20" s="163"/>
      <c r="P20" s="163"/>
      <c r="Q20" s="163"/>
      <c r="R20" s="567"/>
    </row>
    <row r="21" spans="1:18" s="405" customFormat="1" ht="15.95" customHeight="1">
      <c r="A21" s="857"/>
      <c r="B21" s="22" t="s">
        <v>192</v>
      </c>
      <c r="C21" s="245">
        <v>94</v>
      </c>
      <c r="D21" s="271">
        <v>8792.2766963747308</v>
      </c>
      <c r="E21" s="271">
        <v>340.85037339717735</v>
      </c>
      <c r="F21" s="271">
        <v>0</v>
      </c>
      <c r="G21" s="271">
        <v>47831.746023068205</v>
      </c>
      <c r="H21" s="271">
        <v>24000.382445871961</v>
      </c>
      <c r="I21" s="271">
        <f>VLOOKUP(C21, '2021_Internal_ModelLink'!$A$3:$Z$1000, 14, 0)</f>
        <v>99922.819398759253</v>
      </c>
      <c r="J21" s="116"/>
      <c r="K21" s="246"/>
      <c r="L21" s="163"/>
      <c r="M21" s="163"/>
      <c r="N21" s="163"/>
      <c r="O21" s="163"/>
      <c r="P21" s="163"/>
      <c r="Q21" s="163"/>
      <c r="R21" s="567"/>
    </row>
    <row r="22" spans="1:18" s="405" customFormat="1" ht="15.95" customHeight="1">
      <c r="A22" s="857"/>
      <c r="B22" s="22" t="s">
        <v>193</v>
      </c>
      <c r="C22" s="245">
        <v>95</v>
      </c>
      <c r="D22" s="271">
        <v>5543.2893819244573</v>
      </c>
      <c r="E22" s="271">
        <v>246.90576695026056</v>
      </c>
      <c r="F22" s="271">
        <v>0</v>
      </c>
      <c r="G22" s="271">
        <v>29610.004248709818</v>
      </c>
      <c r="H22" s="271">
        <v>16742.97437430673</v>
      </c>
      <c r="I22" s="271">
        <f>VLOOKUP(C22, '2021_Internal_ModelLink'!$A$3:$Z$1000, 14, 0)</f>
        <v>66405.244734060951</v>
      </c>
      <c r="J22" s="116"/>
      <c r="K22" s="246"/>
      <c r="L22" s="163"/>
      <c r="M22" s="163"/>
      <c r="N22" s="163"/>
      <c r="O22" s="163"/>
      <c r="P22" s="163"/>
      <c r="Q22" s="163"/>
      <c r="R22" s="567"/>
    </row>
    <row r="23" spans="1:18" s="405" customFormat="1" ht="15.95" customHeight="1">
      <c r="A23" s="857"/>
      <c r="B23" s="22" t="s">
        <v>194</v>
      </c>
      <c r="C23" s="245">
        <v>96</v>
      </c>
      <c r="D23" s="271">
        <v>1816.6152161294369</v>
      </c>
      <c r="E23" s="271">
        <v>22.772752313722378</v>
      </c>
      <c r="F23" s="271">
        <v>0</v>
      </c>
      <c r="G23" s="271">
        <v>2334.8742633611901</v>
      </c>
      <c r="H23" s="271">
        <v>1911.6941065122201</v>
      </c>
      <c r="I23" s="271">
        <f>VLOOKUP(C23, '2021_Internal_ModelLink'!$A$3:$Z$1000, 14, 0)</f>
        <v>2459.6443148865246</v>
      </c>
      <c r="J23" s="116"/>
      <c r="K23" s="246"/>
      <c r="L23" s="163"/>
      <c r="M23" s="163"/>
      <c r="N23" s="163"/>
      <c r="O23" s="163"/>
      <c r="P23" s="163"/>
      <c r="Q23" s="163"/>
      <c r="R23" s="567"/>
    </row>
    <row r="24" spans="1:18" s="405" customFormat="1" ht="15.95" customHeight="1">
      <c r="A24" s="857"/>
      <c r="B24" s="22" t="s">
        <v>195</v>
      </c>
      <c r="C24" s="245">
        <v>97</v>
      </c>
      <c r="D24" s="271">
        <v>1316.9663351064876</v>
      </c>
      <c r="E24" s="271">
        <v>19.052256035260427</v>
      </c>
      <c r="F24" s="271">
        <v>0</v>
      </c>
      <c r="G24" s="271">
        <v>1697.2428099729545</v>
      </c>
      <c r="H24" s="271">
        <v>1273.0910692480127</v>
      </c>
      <c r="I24" s="271">
        <f>VLOOKUP(C24, '2021_Internal_ModelLink'!$A$3:$Z$1000, 14, 0)</f>
        <v>1849.8460068207728</v>
      </c>
      <c r="J24" s="116"/>
      <c r="K24" s="246"/>
      <c r="L24" s="163"/>
      <c r="M24" s="163"/>
      <c r="N24" s="163"/>
      <c r="O24" s="163"/>
      <c r="P24" s="163"/>
      <c r="Q24" s="163"/>
      <c r="R24" s="567"/>
    </row>
    <row r="25" spans="1:18" s="41" customFormat="1" ht="15.95" customHeight="1">
      <c r="A25" s="857"/>
      <c r="B25" s="22" t="s">
        <v>196</v>
      </c>
      <c r="C25" s="245">
        <v>98</v>
      </c>
      <c r="D25" s="271">
        <v>10981626.05236597</v>
      </c>
      <c r="E25" s="271">
        <v>931764.26533041103</v>
      </c>
      <c r="F25" s="271">
        <v>0</v>
      </c>
      <c r="G25" s="271">
        <v>9862738.1381028295</v>
      </c>
      <c r="H25" s="271">
        <v>4947734.3823678801</v>
      </c>
      <c r="I25" s="271">
        <f>VLOOKUP(C25, '2021_Internal_ModelLink'!$A$3:$Z$1000, 14, 0)</f>
        <v>5040107.4109395761</v>
      </c>
      <c r="J25" s="116"/>
      <c r="K25" s="125"/>
      <c r="L25" s="116"/>
      <c r="M25" s="116"/>
      <c r="N25" s="116"/>
      <c r="O25" s="116"/>
      <c r="P25" s="116"/>
      <c r="Q25" s="116"/>
      <c r="R25" s="567"/>
    </row>
    <row r="26" spans="1:18" s="41" customFormat="1" ht="15.95" customHeight="1">
      <c r="A26" s="857"/>
      <c r="B26" s="22" t="s">
        <v>197</v>
      </c>
      <c r="C26" s="245">
        <v>99</v>
      </c>
      <c r="D26" s="271">
        <v>7486838.00215948</v>
      </c>
      <c r="E26" s="271">
        <v>629953.80776272097</v>
      </c>
      <c r="F26" s="271">
        <v>0</v>
      </c>
      <c r="G26" s="271">
        <v>6193583.0252720006</v>
      </c>
      <c r="H26" s="271">
        <v>3292261.1533036013</v>
      </c>
      <c r="I26" s="271">
        <f>VLOOKUP(C26, '2021_Internal_ModelLink'!$A$3:$Z$1000, 14, 0)</f>
        <v>3790112.9030206748</v>
      </c>
      <c r="J26" s="116"/>
      <c r="K26" s="246"/>
      <c r="L26" s="163"/>
      <c r="M26" s="163"/>
      <c r="N26" s="163"/>
      <c r="O26" s="163"/>
      <c r="P26" s="163"/>
      <c r="Q26" s="163"/>
      <c r="R26" s="567"/>
    </row>
    <row r="27" spans="1:18" s="41" customFormat="1" ht="15.95" customHeight="1">
      <c r="A27" s="857"/>
      <c r="B27" s="22" t="s">
        <v>198</v>
      </c>
      <c r="C27" s="245">
        <v>100</v>
      </c>
      <c r="D27" s="271">
        <v>89746.586656676416</v>
      </c>
      <c r="E27" s="271">
        <v>-288.13398167120465</v>
      </c>
      <c r="F27" s="271">
        <v>0</v>
      </c>
      <c r="G27" s="271">
        <v>491198.30008748802</v>
      </c>
      <c r="H27" s="271">
        <v>174837.23265558452</v>
      </c>
      <c r="I27" s="271">
        <f>VLOOKUP(C27, '2021_Internal_ModelLink'!$A$3:$Z$1000, 14, 0)</f>
        <v>519048.23540548346</v>
      </c>
      <c r="J27" s="58"/>
      <c r="K27" s="125"/>
      <c r="L27" s="116"/>
      <c r="M27" s="116"/>
      <c r="N27" s="116"/>
      <c r="O27" s="116"/>
      <c r="P27" s="116"/>
      <c r="Q27" s="116"/>
      <c r="R27" s="567"/>
    </row>
    <row r="28" spans="1:18" s="41" customFormat="1" ht="15.95" customHeight="1">
      <c r="A28" s="857"/>
      <c r="B28" s="22" t="s">
        <v>199</v>
      </c>
      <c r="C28" s="245">
        <v>101</v>
      </c>
      <c r="D28" s="310">
        <v>63474.740110751896</v>
      </c>
      <c r="E28" s="310">
        <v>-432.3494416749736</v>
      </c>
      <c r="F28" s="310">
        <v>0</v>
      </c>
      <c r="G28" s="310">
        <v>300691.72016428836</v>
      </c>
      <c r="H28" s="310">
        <v>117291.16209752079</v>
      </c>
      <c r="I28" s="310">
        <f>VLOOKUP(C28, '2021_Internal_ModelLink'!$A$3:$Z$1000, 14, 0)</f>
        <v>345284.15011361399</v>
      </c>
      <c r="J28" s="116"/>
      <c r="K28" s="447"/>
      <c r="L28" s="163"/>
      <c r="M28" s="163"/>
      <c r="N28" s="163"/>
      <c r="O28" s="163"/>
      <c r="P28" s="163"/>
      <c r="Q28" s="163"/>
      <c r="R28" s="567"/>
    </row>
    <row r="29" spans="1:18" s="41" customFormat="1" ht="15.95" customHeight="1">
      <c r="A29" s="857"/>
      <c r="B29" s="385"/>
      <c r="C29" s="386"/>
      <c r="D29" s="387"/>
      <c r="E29" s="387"/>
      <c r="F29" s="387"/>
      <c r="G29" s="387"/>
      <c r="H29" s="387"/>
      <c r="I29" s="387"/>
      <c r="J29" s="388"/>
      <c r="K29" s="389"/>
      <c r="L29" s="388"/>
      <c r="M29" s="388"/>
      <c r="N29" s="388"/>
      <c r="O29" s="388"/>
      <c r="P29" s="388"/>
      <c r="Q29" s="388"/>
      <c r="R29" s="469"/>
    </row>
    <row r="30" spans="1:18" s="405" customFormat="1" ht="15.95" customHeight="1">
      <c r="A30" s="857"/>
      <c r="B30" s="22" t="s">
        <v>201</v>
      </c>
      <c r="C30" s="245">
        <v>102</v>
      </c>
      <c r="D30" s="432">
        <v>2.2948559936257622</v>
      </c>
      <c r="E30" s="432">
        <v>759.07662427382411</v>
      </c>
      <c r="F30" s="432">
        <v>532.70939885066502</v>
      </c>
      <c r="G30" s="432">
        <v>295.83382005334192</v>
      </c>
      <c r="H30" s="432">
        <v>44.203631837464549</v>
      </c>
      <c r="I30" s="432">
        <f>VLOOKUP(C30, '2021_Internal_ModelLink'!$A$3:$Z$1000, 14, 0)</f>
        <v>3.8511714363621001</v>
      </c>
      <c r="J30" s="116"/>
      <c r="K30" s="125"/>
      <c r="L30" s="116"/>
      <c r="M30" s="116"/>
      <c r="N30" s="116"/>
      <c r="O30" s="116"/>
      <c r="P30" s="116"/>
      <c r="Q30" s="116"/>
      <c r="R30" s="567"/>
    </row>
    <row r="31" spans="1:18" s="405" customFormat="1" ht="15.95" customHeight="1">
      <c r="A31" s="857"/>
      <c r="B31" s="22" t="s">
        <v>202</v>
      </c>
      <c r="C31" s="245">
        <v>103</v>
      </c>
      <c r="D31" s="432">
        <v>1.8141154684596772</v>
      </c>
      <c r="E31" s="432">
        <v>549.99555323302025</v>
      </c>
      <c r="F31" s="432">
        <v>404.66758912006918</v>
      </c>
      <c r="G31" s="432">
        <v>239.66784916986686</v>
      </c>
      <c r="H31" s="432">
        <v>26.522179629427182</v>
      </c>
      <c r="I31" s="432">
        <f>VLOOKUP(C31, '2021_Internal_ModelLink'!$A$3:$Z$1000, 14, 0)</f>
        <v>2.3336229086375644</v>
      </c>
      <c r="J31" s="116"/>
      <c r="K31" s="125"/>
      <c r="L31" s="116"/>
      <c r="M31" s="116"/>
      <c r="N31" s="116"/>
      <c r="O31" s="116"/>
      <c r="P31" s="116"/>
      <c r="Q31" s="116"/>
      <c r="R31" s="567"/>
    </row>
    <row r="32" spans="1:18" s="405" customFormat="1" ht="15.95" customHeight="1">
      <c r="A32" s="857"/>
      <c r="B32" s="22" t="s">
        <v>203</v>
      </c>
      <c r="C32" s="245">
        <v>104</v>
      </c>
      <c r="D32" s="432">
        <v>9437.3598381299926</v>
      </c>
      <c r="E32" s="432">
        <v>7483086.972370836</v>
      </c>
      <c r="F32" s="432">
        <v>1810305.6616795</v>
      </c>
      <c r="G32" s="432">
        <v>945388.48241063219</v>
      </c>
      <c r="H32" s="432">
        <v>142106.93686552515</v>
      </c>
      <c r="I32" s="432">
        <f>VLOOKUP(C32, '2021_Internal_ModelLink'!$A$3:$Z$1000, 14, 0)</f>
        <v>101612.7068885472</v>
      </c>
      <c r="J32" s="116"/>
      <c r="K32" s="125"/>
      <c r="L32" s="116"/>
      <c r="M32" s="116"/>
      <c r="N32" s="116"/>
      <c r="O32" s="116"/>
      <c r="P32" s="116"/>
      <c r="Q32" s="116"/>
      <c r="R32" s="567"/>
    </row>
    <row r="33" spans="1:18" s="405" customFormat="1" ht="15.95" customHeight="1">
      <c r="A33" s="857"/>
      <c r="B33" s="22" t="s">
        <v>204</v>
      </c>
      <c r="C33" s="245">
        <v>105</v>
      </c>
      <c r="D33" s="432">
        <v>7067.957955825831</v>
      </c>
      <c r="E33" s="432">
        <v>5348025.2220682688</v>
      </c>
      <c r="F33" s="432">
        <v>1229103.758879758</v>
      </c>
      <c r="G33" s="432">
        <v>683328.81799301051</v>
      </c>
      <c r="H33" s="432">
        <v>85264.163813361665</v>
      </c>
      <c r="I33" s="432">
        <f>VLOOKUP(C33, '2021_Internal_ModelLink'!$A$3:$Z$1000, 14, 0)</f>
        <v>62569.561244542812</v>
      </c>
      <c r="J33" s="116"/>
      <c r="K33" s="125"/>
      <c r="L33" s="116"/>
      <c r="M33" s="116"/>
      <c r="N33" s="116"/>
      <c r="O33" s="116"/>
      <c r="P33" s="116"/>
      <c r="Q33" s="116"/>
      <c r="R33" s="567"/>
    </row>
    <row r="34" spans="1:18" s="405" customFormat="1" ht="15.95" customHeight="1">
      <c r="A34" s="857"/>
      <c r="B34" s="22" t="s">
        <v>205</v>
      </c>
      <c r="C34" s="245">
        <v>106</v>
      </c>
      <c r="D34" s="432">
        <v>347.53545859703235</v>
      </c>
      <c r="E34" s="432">
        <v>62430.278941530822</v>
      </c>
      <c r="F34" s="432">
        <v>183358.90166458068</v>
      </c>
      <c r="G34" s="432">
        <v>15979.783781101989</v>
      </c>
      <c r="H34" s="432">
        <v>5203.5126562540627</v>
      </c>
      <c r="I34" s="432">
        <f>VLOOKUP(C34, '2021_Internal_ModelLink'!$A$3:$Z$1000, 14, 0)</f>
        <v>1103036.3876590251</v>
      </c>
      <c r="J34" s="116"/>
      <c r="K34" s="125"/>
      <c r="L34" s="116"/>
      <c r="M34" s="116"/>
      <c r="N34" s="116"/>
      <c r="O34" s="116"/>
      <c r="P34" s="116"/>
      <c r="Q34" s="116"/>
      <c r="R34" s="567"/>
    </row>
    <row r="35" spans="1:18" s="405" customFormat="1" ht="15.95" customHeight="1">
      <c r="A35" s="857"/>
      <c r="B35" s="22" t="s">
        <v>206</v>
      </c>
      <c r="C35" s="245">
        <v>107</v>
      </c>
      <c r="D35" s="432">
        <v>205.89504009842426</v>
      </c>
      <c r="E35" s="432">
        <v>41800.438527461592</v>
      </c>
      <c r="F35" s="432">
        <v>114802.08959769846</v>
      </c>
      <c r="G35" s="432">
        <v>10023.095131716365</v>
      </c>
      <c r="H35" s="432">
        <v>3525.9652979913144</v>
      </c>
      <c r="I35" s="432">
        <f>VLOOKUP(C35, '2021_Internal_ModelLink'!$A$3:$Z$1000, 14, 0)</f>
        <v>695116.59612550982</v>
      </c>
      <c r="J35" s="116"/>
      <c r="K35" s="125"/>
      <c r="L35" s="116"/>
      <c r="M35" s="116"/>
      <c r="N35" s="116"/>
      <c r="O35" s="116"/>
      <c r="P35" s="116"/>
      <c r="Q35" s="116"/>
      <c r="R35" s="567"/>
    </row>
    <row r="36" spans="1:18" s="405" customFormat="1" ht="15.95" customHeight="1">
      <c r="A36" s="857"/>
      <c r="B36" s="22" t="s">
        <v>207</v>
      </c>
      <c r="C36" s="245">
        <v>108</v>
      </c>
      <c r="D36" s="432">
        <v>21.021047825213778</v>
      </c>
      <c r="E36" s="432">
        <v>5467.4462053439074</v>
      </c>
      <c r="F36" s="432">
        <v>3226.0769265078825</v>
      </c>
      <c r="G36" s="432">
        <v>927.19700802013165</v>
      </c>
      <c r="H36" s="432">
        <v>175.62397211619006</v>
      </c>
      <c r="I36" s="432">
        <f>VLOOKUP(C36, '2021_Internal_ModelLink'!$A$3:$Z$1000, 14, 0)</f>
        <v>14.635914309086299</v>
      </c>
      <c r="J36" s="116"/>
      <c r="K36" s="125"/>
      <c r="L36" s="116"/>
      <c r="M36" s="116"/>
      <c r="N36" s="116"/>
      <c r="O36" s="116"/>
      <c r="P36" s="116"/>
      <c r="Q36" s="116"/>
      <c r="R36" s="567"/>
    </row>
    <row r="37" spans="1:18" s="405" customFormat="1" ht="15.95" customHeight="1">
      <c r="A37" s="857"/>
      <c r="B37" s="22" t="s">
        <v>208</v>
      </c>
      <c r="C37" s="245">
        <v>109</v>
      </c>
      <c r="D37" s="432">
        <v>15.484829734260011</v>
      </c>
      <c r="E37" s="432">
        <v>4077.0401928630044</v>
      </c>
      <c r="F37" s="432">
        <v>2224.0404643668626</v>
      </c>
      <c r="G37" s="432">
        <v>744.71766701418085</v>
      </c>
      <c r="H37" s="432">
        <v>105.37438536331554</v>
      </c>
      <c r="I37" s="432">
        <f>VLOOKUP(C37, '2021_Internal_ModelLink'!$A$3:$Z$1000, 14, 0)</f>
        <v>8.8961487644792818</v>
      </c>
      <c r="J37" s="116"/>
      <c r="K37" s="125"/>
      <c r="L37" s="116"/>
      <c r="M37" s="116"/>
      <c r="N37" s="116"/>
      <c r="O37" s="116"/>
      <c r="P37" s="116"/>
      <c r="Q37" s="116"/>
      <c r="R37" s="567"/>
    </row>
    <row r="38" spans="1:18" s="405" customFormat="1" ht="15.95" customHeight="1">
      <c r="A38" s="857"/>
      <c r="B38" s="22" t="s">
        <v>209</v>
      </c>
      <c r="C38" s="245">
        <v>110</v>
      </c>
      <c r="D38" s="432">
        <v>88531.347012777289</v>
      </c>
      <c r="E38" s="432">
        <v>90435276.594303176</v>
      </c>
      <c r="F38" s="432">
        <v>15192873.811917851</v>
      </c>
      <c r="G38" s="432">
        <v>5200166.6123276148</v>
      </c>
      <c r="H38" s="432">
        <v>872214.08680340752</v>
      </c>
      <c r="I38" s="432">
        <f>VLOOKUP(C38, '2021_Internal_ModelLink'!$A$3:$Z$1000, 14, 0)</f>
        <v>508730.49386977201</v>
      </c>
      <c r="J38" s="116"/>
      <c r="K38" s="125"/>
      <c r="L38" s="116"/>
      <c r="M38" s="116"/>
      <c r="N38" s="116"/>
      <c r="O38" s="116"/>
      <c r="P38" s="116"/>
      <c r="Q38" s="116"/>
      <c r="R38" s="567"/>
    </row>
    <row r="39" spans="1:18" s="405" customFormat="1" ht="15.95" customHeight="1">
      <c r="A39" s="857"/>
      <c r="B39" s="22" t="s">
        <v>210</v>
      </c>
      <c r="C39" s="245">
        <v>111</v>
      </c>
      <c r="D39" s="432">
        <v>57968.140250054239</v>
      </c>
      <c r="E39" s="432">
        <v>63306957.689823508</v>
      </c>
      <c r="F39" s="432">
        <v>9857099.3366330154</v>
      </c>
      <c r="G39" s="432">
        <v>3609567.1005901182</v>
      </c>
      <c r="H39" s="432">
        <v>523328.46247964632</v>
      </c>
      <c r="I39" s="432">
        <f>VLOOKUP(C39, '2021_Internal_ModelLink'!$A$3:$Z$1000, 14, 0)</f>
        <v>313639.69526830676</v>
      </c>
      <c r="J39" s="116"/>
      <c r="K39" s="125"/>
      <c r="L39" s="116"/>
      <c r="M39" s="116"/>
      <c r="N39" s="116"/>
      <c r="O39" s="116"/>
      <c r="P39" s="116"/>
      <c r="Q39" s="116"/>
      <c r="R39" s="567"/>
    </row>
    <row r="40" spans="1:18" s="405" customFormat="1" ht="15.95" customHeight="1">
      <c r="A40" s="857"/>
      <c r="B40" s="22" t="s">
        <v>211</v>
      </c>
      <c r="C40" s="245">
        <v>112</v>
      </c>
      <c r="D40" s="432">
        <v>3071.8387393744697</v>
      </c>
      <c r="E40" s="432">
        <v>893955.50610527652</v>
      </c>
      <c r="F40" s="432">
        <v>2695915.4186337399</v>
      </c>
      <c r="G40" s="432">
        <v>124550.1004654429</v>
      </c>
      <c r="H40" s="432">
        <v>26231.327729491735</v>
      </c>
      <c r="I40" s="432">
        <f>VLOOKUP(C40, '2021_Internal_ModelLink'!$A$3:$Z$1000, 14, 0)</f>
        <v>6041462.1890219823</v>
      </c>
      <c r="J40" s="116"/>
      <c r="K40" s="125"/>
      <c r="L40" s="116"/>
      <c r="M40" s="116"/>
      <c r="N40" s="116"/>
      <c r="O40" s="116"/>
      <c r="P40" s="116"/>
      <c r="Q40" s="116"/>
      <c r="R40" s="567"/>
    </row>
    <row r="41" spans="1:18" s="405" customFormat="1" ht="15.95" customHeight="1">
      <c r="A41" s="857"/>
      <c r="B41" s="22" t="s">
        <v>212</v>
      </c>
      <c r="C41" s="245">
        <v>113</v>
      </c>
      <c r="D41" s="432">
        <v>1843.4718773657135</v>
      </c>
      <c r="E41" s="432">
        <v>584625.52379133052</v>
      </c>
      <c r="F41" s="432">
        <v>1668568.3275053771</v>
      </c>
      <c r="G41" s="432">
        <v>74877.554785553308</v>
      </c>
      <c r="H41" s="432">
        <v>17232.474361115539</v>
      </c>
      <c r="I41" s="432">
        <f>VLOOKUP(C41, '2021_Internal_ModelLink'!$A$3:$Z$1000, 14, 0)</f>
        <v>3736840.4938877062</v>
      </c>
      <c r="J41" s="116"/>
      <c r="K41" s="125"/>
      <c r="L41" s="116"/>
      <c r="M41" s="116"/>
      <c r="N41" s="116"/>
      <c r="O41" s="116"/>
      <c r="P41" s="116"/>
      <c r="Q41" s="116"/>
      <c r="R41" s="567"/>
    </row>
    <row r="42" spans="1:18" s="405" customFormat="1" ht="15.95" customHeight="1">
      <c r="A42" s="857"/>
      <c r="B42" s="244"/>
      <c r="C42" s="245"/>
      <c r="D42" s="432"/>
      <c r="E42" s="432"/>
      <c r="F42" s="432"/>
      <c r="G42" s="432"/>
      <c r="H42" s="432"/>
      <c r="I42" s="432"/>
      <c r="J42" s="116"/>
      <c r="K42" s="125"/>
      <c r="L42" s="116"/>
      <c r="M42" s="116"/>
      <c r="N42" s="116"/>
      <c r="O42" s="116"/>
      <c r="P42" s="116"/>
      <c r="Q42" s="116"/>
      <c r="R42" s="567"/>
    </row>
    <row r="43" spans="1:18" s="41" customFormat="1">
      <c r="A43" s="859"/>
      <c r="B43" s="253"/>
      <c r="C43" s="71"/>
      <c r="D43" s="272"/>
      <c r="E43" s="272"/>
      <c r="F43" s="272"/>
      <c r="G43" s="272"/>
      <c r="H43" s="272"/>
      <c r="I43" s="272"/>
      <c r="J43" s="98"/>
      <c r="K43" s="47"/>
      <c r="L43" s="47"/>
      <c r="M43" s="47"/>
      <c r="N43" s="47"/>
      <c r="O43" s="47"/>
      <c r="P43" s="47"/>
      <c r="Q43" s="47"/>
      <c r="R43" s="475"/>
    </row>
    <row r="44" spans="1:18" s="41" customFormat="1" ht="15" customHeight="1">
      <c r="A44" s="405"/>
      <c r="B44" s="405"/>
      <c r="C44" s="42"/>
      <c r="D44" s="64"/>
      <c r="E44" s="273"/>
      <c r="F44" s="273"/>
      <c r="G44" s="273"/>
      <c r="H44" s="273"/>
      <c r="I44" s="273"/>
      <c r="J44" s="405"/>
      <c r="K44" s="405"/>
      <c r="L44" s="405"/>
      <c r="M44" s="405"/>
      <c r="N44" s="405"/>
      <c r="O44" s="405"/>
      <c r="P44" s="405"/>
      <c r="Q44" s="405"/>
      <c r="R44" s="130"/>
    </row>
    <row r="45" spans="1:18" s="41" customFormat="1" ht="15.95" customHeight="1">
      <c r="A45" s="856" t="s">
        <v>44</v>
      </c>
      <c r="B45" s="893" t="s">
        <v>1865</v>
      </c>
      <c r="C45" s="893"/>
      <c r="D45" s="893"/>
      <c r="E45" s="893"/>
      <c r="F45" s="115"/>
      <c r="G45" s="602"/>
      <c r="H45" s="602"/>
      <c r="I45" s="602"/>
      <c r="J45" s="114"/>
      <c r="K45" s="114"/>
      <c r="L45" s="122"/>
      <c r="M45" s="122"/>
      <c r="N45" s="122"/>
      <c r="O45" s="605"/>
      <c r="P45" s="605"/>
      <c r="Q45" s="605"/>
      <c r="R45" s="918"/>
    </row>
    <row r="46" spans="1:18" s="41" customFormat="1" ht="15.95" customHeight="1">
      <c r="A46" s="859"/>
      <c r="B46" s="161"/>
      <c r="C46" s="48">
        <v>114</v>
      </c>
      <c r="D46" s="54">
        <f>(D7*0.000707) + (D9*0.0053) + (D20*0.000707) + (D22*0.0053) + (D33*0.000707) + (D35*0.0053)</f>
        <v>2517.0776141727811</v>
      </c>
      <c r="E46" s="54">
        <f>(E7*0.000707) + (E9*0.0053) + (E20*0.000707) + (E22*0.0053) + (E33*0.000707) + (E35*0.0053)</f>
        <v>5096.8419351586581</v>
      </c>
      <c r="F46" s="54">
        <f>(F7*0.000707) + (F9*0.0053) + (F20*0.000707) + (F22*0.0053) + (F33*0.000707) + (F35*0.0053)</f>
        <v>2092.4401557868309</v>
      </c>
      <c r="G46" s="54">
        <f>(G7*0.000707) + (G9*0.0053) + (G20*0.000707) + (G22*0.0053) + (G33*0.000707) + (G35*0.0053)</f>
        <v>2649.622900475184</v>
      </c>
      <c r="H46" s="54">
        <f>(H7*0.000707) + (H9*0.0053) + (H20*0.000707) + (H22*0.0053) + (H33*0.000707) + (H35*0.0053)</f>
        <v>13879.125282212352</v>
      </c>
      <c r="I46" s="54">
        <v>3238.4277409938304</v>
      </c>
      <c r="J46" s="161"/>
      <c r="K46" s="47"/>
      <c r="L46" s="117"/>
      <c r="M46" s="117"/>
      <c r="N46" s="117"/>
      <c r="O46" s="117"/>
      <c r="P46" s="117"/>
      <c r="Q46" s="117"/>
      <c r="R46" s="919"/>
    </row>
    <row r="47" spans="1:18" s="405" customFormat="1">
      <c r="A47" s="49"/>
      <c r="C47" s="64"/>
      <c r="D47" s="64"/>
      <c r="E47" s="64"/>
      <c r="F47" s="64"/>
      <c r="G47" s="64"/>
      <c r="H47" s="64"/>
      <c r="I47" s="64"/>
      <c r="L47" s="74"/>
      <c r="M47" s="118"/>
      <c r="N47" s="118"/>
      <c r="O47" s="118"/>
      <c r="P47" s="118"/>
      <c r="Q47" s="118"/>
      <c r="R47" s="203"/>
    </row>
    <row r="48" spans="1:18" s="405" customFormat="1">
      <c r="A48" s="856" t="s">
        <v>1638</v>
      </c>
      <c r="B48" s="145" t="s">
        <v>1639</v>
      </c>
      <c r="C48" s="270"/>
      <c r="D48" s="115"/>
      <c r="E48" s="115"/>
      <c r="F48" s="115"/>
      <c r="G48" s="602"/>
      <c r="H48" s="602"/>
      <c r="I48" s="602"/>
      <c r="J48" s="114"/>
      <c r="K48" s="115"/>
      <c r="L48" s="122"/>
      <c r="M48" s="122"/>
      <c r="N48" s="122"/>
      <c r="O48" s="605"/>
      <c r="P48" s="605"/>
      <c r="Q48" s="605"/>
      <c r="R48" s="565"/>
    </row>
    <row r="49" spans="1:20" s="405" customFormat="1" ht="15.95" customHeight="1">
      <c r="A49" s="857"/>
      <c r="B49" s="850" t="s">
        <v>221</v>
      </c>
      <c r="C49" s="852">
        <v>115</v>
      </c>
      <c r="D49" s="900">
        <f t="shared" ref="D49:I49" si="0">L49/L50</f>
        <v>1.4341758820431807</v>
      </c>
      <c r="E49" s="900">
        <f t="shared" si="0"/>
        <v>3.3838585700631554</v>
      </c>
      <c r="F49" s="900">
        <f t="shared" si="0"/>
        <v>2.3069873997709047</v>
      </c>
      <c r="G49" s="900">
        <f t="shared" si="0"/>
        <v>0.26884430299462286</v>
      </c>
      <c r="H49" s="900">
        <f t="shared" si="0"/>
        <v>0.26225631959406365</v>
      </c>
      <c r="I49" s="900">
        <f t="shared" si="0"/>
        <v>0.40996382645139579</v>
      </c>
      <c r="J49" s="242" t="s">
        <v>1044</v>
      </c>
      <c r="K49" s="399" t="s">
        <v>1640</v>
      </c>
      <c r="L49" s="211">
        <v>10894</v>
      </c>
      <c r="M49" s="211">
        <v>8435.9594151674464</v>
      </c>
      <c r="N49" s="211">
        <v>4028</v>
      </c>
      <c r="O49" s="211">
        <v>6015.1224352016916</v>
      </c>
      <c r="P49" s="211">
        <v>5015.6521122364675</v>
      </c>
      <c r="Q49" s="211">
        <f>VLOOKUP(C49, '2021_Internal_ModelLink'!$A$3:$Z$1000, 15, 0)</f>
        <v>5353.7176096287776</v>
      </c>
      <c r="R49" s="884"/>
    </row>
    <row r="50" spans="1:20" s="405" customFormat="1" ht="15.95" customHeight="1">
      <c r="A50" s="857"/>
      <c r="B50" s="851"/>
      <c r="C50" s="852"/>
      <c r="D50" s="900"/>
      <c r="E50" s="900"/>
      <c r="F50" s="900"/>
      <c r="G50" s="900"/>
      <c r="H50" s="900"/>
      <c r="I50" s="900"/>
      <c r="J50" s="242" t="s">
        <v>1045</v>
      </c>
      <c r="K50" s="407" t="s">
        <v>1641</v>
      </c>
      <c r="L50" s="458">
        <v>7596</v>
      </c>
      <c r="M50" s="458">
        <v>2493</v>
      </c>
      <c r="N50" s="493">
        <v>1746</v>
      </c>
      <c r="O50" s="493">
        <v>22374</v>
      </c>
      <c r="P50" s="493">
        <v>19125</v>
      </c>
      <c r="Q50" s="493">
        <f>VLOOKUP(C49, '2021_Internal_ModelLink'!$A$3:$Z$1000, 16, 0)</f>
        <v>13059</v>
      </c>
      <c r="R50" s="853"/>
      <c r="S50" s="337"/>
      <c r="T50" s="337"/>
    </row>
    <row r="51" spans="1:20" s="405" customFormat="1" ht="15.95" customHeight="1">
      <c r="A51" s="857"/>
      <c r="B51" s="58"/>
      <c r="C51" s="58"/>
      <c r="D51" s="57"/>
      <c r="E51" s="57"/>
      <c r="F51" s="57"/>
      <c r="G51" s="57"/>
      <c r="H51" s="57"/>
      <c r="I51" s="57"/>
      <c r="J51" s="58"/>
      <c r="K51" s="116"/>
      <c r="L51" s="459"/>
      <c r="M51" s="188"/>
      <c r="N51" s="188"/>
      <c r="O51" s="188"/>
      <c r="P51" s="188"/>
      <c r="Q51" s="188"/>
      <c r="R51" s="567"/>
      <c r="S51" s="337"/>
      <c r="T51" s="337"/>
    </row>
    <row r="52" spans="1:20" s="405" customFormat="1" ht="15.95" customHeight="1">
      <c r="A52" s="857"/>
      <c r="B52" s="850" t="s">
        <v>222</v>
      </c>
      <c r="C52" s="852">
        <v>116</v>
      </c>
      <c r="D52" s="901">
        <f t="shared" ref="D52:I52" si="1">L52/L53</f>
        <v>5359.3141126908895</v>
      </c>
      <c r="E52" s="901">
        <f t="shared" si="1"/>
        <v>32280.702379432401</v>
      </c>
      <c r="F52" s="901">
        <f t="shared" si="1"/>
        <v>11554.678835533767</v>
      </c>
      <c r="G52" s="901">
        <f t="shared" si="1"/>
        <v>1365.2271913067175</v>
      </c>
      <c r="H52" s="901">
        <f t="shared" si="1"/>
        <v>1185.0003295766467</v>
      </c>
      <c r="I52" s="901">
        <f t="shared" si="1"/>
        <v>1675.6774870100851</v>
      </c>
      <c r="J52" s="242" t="s">
        <v>1046</v>
      </c>
      <c r="K52" s="399" t="s">
        <v>1642</v>
      </c>
      <c r="L52" s="460">
        <v>40709350</v>
      </c>
      <c r="M52" s="211">
        <v>80475791.031924978</v>
      </c>
      <c r="N52" s="211">
        <v>20174469.246841956</v>
      </c>
      <c r="O52" s="211">
        <v>30545593.178296495</v>
      </c>
      <c r="P52" s="211">
        <v>22663131.303153366</v>
      </c>
      <c r="Q52" s="211">
        <f>VLOOKUP(C52, '2021_Internal_ModelLink'!$A$3:$Z$1000, 15, 0)</f>
        <v>21882672.302864701</v>
      </c>
      <c r="R52" s="567"/>
      <c r="S52" s="337"/>
      <c r="T52" s="337"/>
    </row>
    <row r="53" spans="1:20" s="405" customFormat="1" ht="15.95" customHeight="1">
      <c r="A53" s="857"/>
      <c r="B53" s="851"/>
      <c r="C53" s="852"/>
      <c r="D53" s="901"/>
      <c r="E53" s="901"/>
      <c r="F53" s="901"/>
      <c r="G53" s="901"/>
      <c r="H53" s="901"/>
      <c r="I53" s="901"/>
      <c r="J53" s="242" t="s">
        <v>1047</v>
      </c>
      <c r="K53" s="407" t="s">
        <v>1641</v>
      </c>
      <c r="L53" s="458">
        <f>L50</f>
        <v>7596</v>
      </c>
      <c r="M53" s="458">
        <v>2493</v>
      </c>
      <c r="N53" s="458">
        <f t="shared" ref="N53" si="2">N50</f>
        <v>1746</v>
      </c>
      <c r="O53" s="458">
        <v>22374</v>
      </c>
      <c r="P53" s="458">
        <v>19125</v>
      </c>
      <c r="Q53" s="458">
        <f>VLOOKUP(C52, '2021_Internal_ModelLink'!$A$3:$Z$1000, 16, 0)</f>
        <v>13059</v>
      </c>
      <c r="R53" s="567"/>
      <c r="S53" s="337"/>
      <c r="T53" s="337"/>
    </row>
    <row r="54" spans="1:20" s="405" customFormat="1" ht="13.5" customHeight="1">
      <c r="A54" s="857"/>
      <c r="B54" s="116"/>
      <c r="C54" s="116"/>
      <c r="D54" s="494"/>
      <c r="E54" s="494"/>
      <c r="F54" s="494"/>
      <c r="G54" s="494"/>
      <c r="H54" s="494"/>
      <c r="I54" s="494"/>
      <c r="J54" s="58"/>
      <c r="K54" s="116"/>
      <c r="L54" s="459"/>
      <c r="M54" s="188"/>
      <c r="N54" s="188"/>
      <c r="O54" s="188"/>
      <c r="P54" s="188"/>
      <c r="Q54" s="188"/>
      <c r="R54" s="567"/>
      <c r="S54" s="337"/>
      <c r="T54" s="337"/>
    </row>
    <row r="55" spans="1:20" s="405" customFormat="1" ht="16.5" customHeight="1">
      <c r="A55" s="857"/>
      <c r="B55" s="850" t="s">
        <v>1643</v>
      </c>
      <c r="C55" s="882">
        <v>117</v>
      </c>
      <c r="D55" s="901">
        <f t="shared" ref="D55:I55" si="3">L55/L56</f>
        <v>57.479199578725648</v>
      </c>
      <c r="E55" s="901">
        <f t="shared" si="3"/>
        <v>374.50159386892693</v>
      </c>
      <c r="F55" s="901">
        <f t="shared" si="3"/>
        <v>1012.8361450994053</v>
      </c>
      <c r="G55" s="901">
        <f t="shared" si="3"/>
        <v>38.795446822207033</v>
      </c>
      <c r="H55" s="901">
        <f t="shared" si="3"/>
        <v>30.415937146294521</v>
      </c>
      <c r="I55" s="901">
        <f t="shared" si="3"/>
        <v>468.00949038631063</v>
      </c>
      <c r="J55" s="242" t="s">
        <v>1048</v>
      </c>
      <c r="K55" s="399" t="s">
        <v>1644</v>
      </c>
      <c r="L55" s="460">
        <v>436612</v>
      </c>
      <c r="M55" s="211">
        <v>933632.47351523489</v>
      </c>
      <c r="N55" s="211">
        <v>1768411.9093435616</v>
      </c>
      <c r="O55" s="211">
        <v>868009.32720006013</v>
      </c>
      <c r="P55" s="211">
        <v>581704.79792288272</v>
      </c>
      <c r="Q55" s="211">
        <f>VLOOKUP(C55, '2021_Internal_ModelLink'!$A$3:$Z$1000, 15, 0)</f>
        <v>6111735.9349548304</v>
      </c>
      <c r="R55" s="567"/>
      <c r="S55" s="337"/>
      <c r="T55" s="337"/>
    </row>
    <row r="56" spans="1:20" s="405" customFormat="1" ht="17.100000000000001" customHeight="1">
      <c r="A56" s="859"/>
      <c r="B56" s="865"/>
      <c r="C56" s="885"/>
      <c r="D56" s="902"/>
      <c r="E56" s="902"/>
      <c r="F56" s="902"/>
      <c r="G56" s="902"/>
      <c r="H56" s="902"/>
      <c r="I56" s="902"/>
      <c r="J56" s="250" t="s">
        <v>1049</v>
      </c>
      <c r="K56" s="457" t="s">
        <v>1641</v>
      </c>
      <c r="L56" s="465">
        <f>L50</f>
        <v>7596</v>
      </c>
      <c r="M56" s="465">
        <v>2493</v>
      </c>
      <c r="N56" s="465">
        <f t="shared" ref="N56" si="4">N50</f>
        <v>1746</v>
      </c>
      <c r="O56" s="465">
        <v>22374</v>
      </c>
      <c r="P56" s="465">
        <v>19125</v>
      </c>
      <c r="Q56" s="465">
        <f>VLOOKUP(C55, '2021_Internal_ModelLink'!$A$3:$Z$1000, 16, 0)</f>
        <v>13059</v>
      </c>
      <c r="R56" s="228"/>
    </row>
    <row r="57" spans="1:20" s="405" customFormat="1">
      <c r="A57" s="62"/>
      <c r="B57" s="72"/>
      <c r="J57" s="73"/>
      <c r="K57" s="58"/>
      <c r="L57" s="125"/>
      <c r="M57" s="125"/>
      <c r="N57" s="125"/>
      <c r="O57" s="125"/>
      <c r="P57" s="125"/>
      <c r="Q57" s="125"/>
      <c r="R57" s="203"/>
    </row>
    <row r="58" spans="1:20" s="41" customFormat="1">
      <c r="A58" s="49"/>
      <c r="B58" s="405"/>
      <c r="C58" s="64"/>
      <c r="D58" s="64"/>
      <c r="E58" s="64"/>
      <c r="F58" s="64"/>
      <c r="G58" s="64"/>
      <c r="H58" s="64"/>
      <c r="I58" s="64"/>
      <c r="J58" s="405"/>
      <c r="K58" s="405"/>
      <c r="L58" s="74"/>
      <c r="M58" s="118"/>
      <c r="N58" s="118"/>
      <c r="O58" s="118"/>
      <c r="P58" s="118"/>
      <c r="Q58" s="118"/>
      <c r="R58" s="203"/>
      <c r="S58" s="405"/>
      <c r="T58" s="405"/>
    </row>
    <row r="59" spans="1:20" s="41" customFormat="1">
      <c r="A59" s="856" t="s">
        <v>1645</v>
      </c>
      <c r="B59" s="709" t="s">
        <v>1866</v>
      </c>
      <c r="C59" s="270"/>
      <c r="D59" s="115"/>
      <c r="E59" s="115"/>
      <c r="F59" s="115"/>
      <c r="G59" s="602"/>
      <c r="H59" s="602"/>
      <c r="I59" s="602"/>
      <c r="J59" s="114"/>
      <c r="K59" s="115"/>
      <c r="L59" s="122"/>
      <c r="M59" s="122"/>
      <c r="N59" s="122"/>
      <c r="O59" s="605"/>
      <c r="P59" s="605"/>
      <c r="Q59" s="605"/>
      <c r="R59" s="565"/>
      <c r="S59" s="405"/>
      <c r="T59" s="405"/>
    </row>
    <row r="60" spans="1:20" s="41" customFormat="1" ht="15.95" customHeight="1">
      <c r="A60" s="857"/>
      <c r="B60" s="850" t="s">
        <v>229</v>
      </c>
      <c r="C60" s="852">
        <v>118</v>
      </c>
      <c r="D60" s="903">
        <f t="shared" ref="D60:I60" si="5">L60/L61</f>
        <v>11.26777251184834</v>
      </c>
      <c r="E60" s="903">
        <f t="shared" si="5"/>
        <v>17.906423626106665</v>
      </c>
      <c r="F60" s="903">
        <f t="shared" si="5"/>
        <v>12.24668734474648</v>
      </c>
      <c r="G60" s="903">
        <f t="shared" si="5"/>
        <v>2.438675637506734</v>
      </c>
      <c r="H60" s="903">
        <f t="shared" si="5"/>
        <v>2.3603068763465731</v>
      </c>
      <c r="I60" s="903">
        <f t="shared" si="5"/>
        <v>3.6896744380625619</v>
      </c>
      <c r="J60" s="242" t="s">
        <v>1050</v>
      </c>
      <c r="K60" s="399" t="s">
        <v>1640</v>
      </c>
      <c r="L60" s="211">
        <v>9510</v>
      </c>
      <c r="M60" s="211">
        <v>4960.0793444315459</v>
      </c>
      <c r="N60" s="211">
        <v>2375.857344880817</v>
      </c>
      <c r="O60" s="211">
        <v>6062.5476348417405</v>
      </c>
      <c r="P60" s="211">
        <v>5015.6521122364675</v>
      </c>
      <c r="Q60" s="211">
        <f>VLOOKUP(C60, '2021_Internal_ModelLink'!$A$3:$Z$1000, 15, 0)</f>
        <v>5353.7176096287776</v>
      </c>
      <c r="R60" s="567"/>
      <c r="S60" s="405"/>
      <c r="T60" s="405"/>
    </row>
    <row r="61" spans="1:20" s="41" customFormat="1" ht="15.95" customHeight="1">
      <c r="A61" s="857"/>
      <c r="B61" s="851"/>
      <c r="C61" s="852"/>
      <c r="D61" s="903"/>
      <c r="E61" s="903"/>
      <c r="F61" s="903"/>
      <c r="G61" s="903"/>
      <c r="H61" s="903"/>
      <c r="I61" s="903"/>
      <c r="J61" s="242" t="s">
        <v>1051</v>
      </c>
      <c r="K61" s="407" t="s">
        <v>1646</v>
      </c>
      <c r="L61" s="458">
        <f>844</f>
        <v>844</v>
      </c>
      <c r="M61" s="458">
        <v>277</v>
      </c>
      <c r="N61" s="493">
        <v>194</v>
      </c>
      <c r="O61" s="493">
        <v>2486</v>
      </c>
      <c r="P61" s="493">
        <v>2125</v>
      </c>
      <c r="Q61" s="493">
        <f>VLOOKUP(C60, '2021_Internal_ModelLink'!$A$3:$Z$1000, 16, 0)</f>
        <v>1451</v>
      </c>
      <c r="R61" s="567"/>
      <c r="S61" s="337"/>
      <c r="T61" s="337"/>
    </row>
    <row r="62" spans="1:20" s="41" customFormat="1" ht="15.95" customHeight="1">
      <c r="A62" s="857"/>
      <c r="B62" s="58"/>
      <c r="C62" s="58"/>
      <c r="D62" s="58"/>
      <c r="E62" s="58"/>
      <c r="F62" s="58"/>
      <c r="G62" s="58"/>
      <c r="H62" s="58"/>
      <c r="I62" s="58"/>
      <c r="J62" s="58"/>
      <c r="K62" s="116"/>
      <c r="L62" s="459"/>
      <c r="M62" s="188"/>
      <c r="N62" s="188"/>
      <c r="O62" s="188"/>
      <c r="P62" s="188"/>
      <c r="Q62" s="188"/>
      <c r="R62" s="567"/>
      <c r="S62" s="337"/>
      <c r="T62" s="337"/>
    </row>
    <row r="63" spans="1:20" s="41" customFormat="1" ht="15.95" customHeight="1">
      <c r="A63" s="857"/>
      <c r="B63" s="850" t="s">
        <v>230</v>
      </c>
      <c r="C63" s="852">
        <v>119</v>
      </c>
      <c r="D63" s="901">
        <f t="shared" ref="D63:I63" si="6">L63/L64</f>
        <v>42129.538929510527</v>
      </c>
      <c r="E63" s="901">
        <f t="shared" si="6"/>
        <v>264147.81464039435</v>
      </c>
      <c r="F63" s="901">
        <f t="shared" si="6"/>
        <v>60820.487255878936</v>
      </c>
      <c r="G63" s="901">
        <f t="shared" si="6"/>
        <v>11858.389836685174</v>
      </c>
      <c r="H63" s="901">
        <f t="shared" si="6"/>
        <v>10665.002966189819</v>
      </c>
      <c r="I63" s="901">
        <f t="shared" si="6"/>
        <v>15081.097383090766</v>
      </c>
      <c r="J63" s="242" t="s">
        <v>1052</v>
      </c>
      <c r="K63" s="399" t="s">
        <v>1642</v>
      </c>
      <c r="L63" s="460">
        <v>35557330.856506884</v>
      </c>
      <c r="M63" s="211">
        <v>73168944.655389234</v>
      </c>
      <c r="N63" s="211">
        <v>11799174.527640514</v>
      </c>
      <c r="O63" s="211">
        <v>29479957.13399934</v>
      </c>
      <c r="P63" s="211">
        <v>22663131.303153366</v>
      </c>
      <c r="Q63" s="211">
        <f>VLOOKUP(C63, '2021_Internal_ModelLink'!$A$3:$Z$1000, 15, 0)</f>
        <v>21882672.302864701</v>
      </c>
      <c r="R63" s="567"/>
      <c r="S63" s="337"/>
      <c r="T63" s="337"/>
    </row>
    <row r="64" spans="1:20" s="41" customFormat="1" ht="15.95" customHeight="1">
      <c r="A64" s="857"/>
      <c r="B64" s="851"/>
      <c r="C64" s="852"/>
      <c r="D64" s="901"/>
      <c r="E64" s="901"/>
      <c r="F64" s="901"/>
      <c r="G64" s="901"/>
      <c r="H64" s="901"/>
      <c r="I64" s="901"/>
      <c r="J64" s="242" t="s">
        <v>1053</v>
      </c>
      <c r="K64" s="407" t="s">
        <v>1646</v>
      </c>
      <c r="L64" s="458">
        <f>L61</f>
        <v>844</v>
      </c>
      <c r="M64" s="458">
        <v>277</v>
      </c>
      <c r="N64" s="458">
        <f t="shared" ref="N64" si="7">N61</f>
        <v>194</v>
      </c>
      <c r="O64" s="458">
        <v>2486</v>
      </c>
      <c r="P64" s="458">
        <v>2125</v>
      </c>
      <c r="Q64" s="458">
        <f>VLOOKUP(C63, '2021_Internal_ModelLink'!$A$3:$Z$1000, 16, 0)</f>
        <v>1451</v>
      </c>
      <c r="R64" s="567"/>
      <c r="S64" s="337"/>
      <c r="T64" s="337"/>
    </row>
    <row r="65" spans="1:20" s="41" customFormat="1" ht="15.95" customHeight="1">
      <c r="A65" s="857"/>
      <c r="B65" s="116"/>
      <c r="C65" s="116"/>
      <c r="D65" s="146"/>
      <c r="E65" s="146"/>
      <c r="F65" s="146"/>
      <c r="G65" s="146"/>
      <c r="H65" s="146"/>
      <c r="I65" s="146"/>
      <c r="J65" s="58"/>
      <c r="K65" s="116"/>
      <c r="L65" s="459"/>
      <c r="M65" s="188"/>
      <c r="N65" s="188"/>
      <c r="O65" s="188"/>
      <c r="P65" s="188"/>
      <c r="Q65" s="188"/>
      <c r="R65" s="567"/>
      <c r="S65" s="337"/>
      <c r="T65" s="337"/>
    </row>
    <row r="66" spans="1:20" s="41" customFormat="1" ht="15.95" customHeight="1">
      <c r="A66" s="857"/>
      <c r="B66" s="850" t="s">
        <v>1647</v>
      </c>
      <c r="C66" s="882">
        <v>120</v>
      </c>
      <c r="D66" s="904">
        <f>L66/L67</f>
        <v>304.37886208823659</v>
      </c>
      <c r="E66" s="904">
        <f>M66/M67</f>
        <v>2683.0776137754438</v>
      </c>
      <c r="F66" s="904">
        <f t="shared" ref="F66" si="8">N66/N67</f>
        <v>9099.5842183728782</v>
      </c>
      <c r="G66" s="904">
        <f>O66/O67</f>
        <v>310.47414957462883</v>
      </c>
      <c r="H66" s="904">
        <f>P66/P67</f>
        <v>273.74343431665068</v>
      </c>
      <c r="I66" s="904">
        <f>Q66/Q67</f>
        <v>4212.085413476796</v>
      </c>
      <c r="J66" s="242" t="s">
        <v>1054</v>
      </c>
      <c r="K66" s="399" t="s">
        <v>1644</v>
      </c>
      <c r="L66" s="460">
        <v>256895.75960247169</v>
      </c>
      <c r="M66" s="211">
        <v>743212.49901579786</v>
      </c>
      <c r="N66" s="211">
        <v>1765319.3383643385</v>
      </c>
      <c r="O66" s="211">
        <v>771838.73584252724</v>
      </c>
      <c r="P66" s="211">
        <v>581704.79792288272</v>
      </c>
      <c r="Q66" s="211">
        <f>VLOOKUP(C66, '2021_Internal_ModelLink'!$A$3:$Z$1000, 15, 0)</f>
        <v>6111735.9349548304</v>
      </c>
      <c r="R66" s="567"/>
      <c r="S66" s="337"/>
      <c r="T66" s="337"/>
    </row>
    <row r="67" spans="1:20" s="41" customFormat="1" ht="16.5" customHeight="1">
      <c r="A67" s="859"/>
      <c r="B67" s="865"/>
      <c r="C67" s="885"/>
      <c r="D67" s="905"/>
      <c r="E67" s="905"/>
      <c r="F67" s="905"/>
      <c r="G67" s="905"/>
      <c r="H67" s="905"/>
      <c r="I67" s="905"/>
      <c r="J67" s="250" t="s">
        <v>1055</v>
      </c>
      <c r="K67" s="282" t="s">
        <v>1646</v>
      </c>
      <c r="L67" s="465">
        <f>L61</f>
        <v>844</v>
      </c>
      <c r="M67" s="465">
        <v>277</v>
      </c>
      <c r="N67" s="465">
        <f t="shared" ref="N67" si="9">N61</f>
        <v>194</v>
      </c>
      <c r="O67" s="465">
        <v>2486</v>
      </c>
      <c r="P67" s="465">
        <v>2125</v>
      </c>
      <c r="Q67" s="465">
        <f>VLOOKUP(C66, '2021_Internal_ModelLink'!$A$3:$Z$1000, 16, 0)</f>
        <v>1451</v>
      </c>
      <c r="R67" s="228"/>
      <c r="S67" s="405"/>
      <c r="T67" s="405"/>
    </row>
    <row r="68" spans="1:20" s="405" customFormat="1">
      <c r="A68" s="415"/>
      <c r="B68" s="226"/>
      <c r="C68" s="199"/>
      <c r="D68" s="201"/>
      <c r="E68" s="201"/>
      <c r="F68" s="201"/>
      <c r="G68" s="201"/>
      <c r="H68" s="201"/>
      <c r="I68" s="201"/>
      <c r="J68" s="263"/>
      <c r="K68" s="462"/>
      <c r="L68" s="463"/>
      <c r="M68" s="463"/>
      <c r="N68" s="463"/>
      <c r="O68" s="463"/>
      <c r="P68" s="463"/>
      <c r="Q68" s="463"/>
      <c r="R68" s="173"/>
    </row>
    <row r="69" spans="1:20" s="405" customFormat="1">
      <c r="A69" s="856" t="s">
        <v>1648</v>
      </c>
      <c r="B69" s="709" t="s">
        <v>1867</v>
      </c>
      <c r="C69" s="270"/>
      <c r="D69" s="115"/>
      <c r="E69" s="115"/>
      <c r="F69" s="115"/>
      <c r="G69" s="602"/>
      <c r="H69" s="602"/>
      <c r="I69" s="602"/>
      <c r="J69" s="114"/>
      <c r="K69" s="115"/>
      <c r="L69" s="122"/>
      <c r="M69" s="122"/>
      <c r="N69" s="122"/>
      <c r="O69" s="605"/>
      <c r="P69" s="605"/>
      <c r="Q69" s="605"/>
      <c r="R69" s="565"/>
    </row>
    <row r="70" spans="1:20" s="405" customFormat="1" ht="15.95" customHeight="1">
      <c r="A70" s="857"/>
      <c r="B70" s="850" t="s">
        <v>237</v>
      </c>
      <c r="C70" s="852">
        <v>121</v>
      </c>
      <c r="D70" s="903">
        <f>L70/L71</f>
        <v>1.3624876072368007E-2</v>
      </c>
      <c r="E70" s="903">
        <f>M70/M71</f>
        <v>2.1652265569657395E-2</v>
      </c>
      <c r="F70" s="903">
        <f t="shared" ref="F70" si="10">N70/N71</f>
        <v>1.4808569945279902E-2</v>
      </c>
      <c r="G70" s="903">
        <f>O70/O71</f>
        <v>2.948821810769932E-3</v>
      </c>
      <c r="H70" s="903">
        <f>P70/P71</f>
        <v>2.8540591007818294E-3</v>
      </c>
      <c r="I70" s="903">
        <f>Q70/Q71</f>
        <v>4.4615168537636783E-3</v>
      </c>
      <c r="J70" s="242" t="s">
        <v>1056</v>
      </c>
      <c r="K70" s="399" t="s">
        <v>1640</v>
      </c>
      <c r="L70" s="211">
        <v>9510</v>
      </c>
      <c r="M70" s="211">
        <v>4960.0793444315459</v>
      </c>
      <c r="N70" s="211">
        <v>2375.857344880817</v>
      </c>
      <c r="O70" s="211">
        <v>6062.5476348417405</v>
      </c>
      <c r="P70" s="211">
        <v>5015.6521122364675</v>
      </c>
      <c r="Q70" s="211">
        <f>VLOOKUP(C70, '2021_Internal_ModelLink'!$A$3:$Z$1000, 15, 0)</f>
        <v>5353.7176096287776</v>
      </c>
      <c r="R70" s="567"/>
    </row>
    <row r="71" spans="1:20" s="405" customFormat="1" ht="15.95" customHeight="1">
      <c r="A71" s="857"/>
      <c r="B71" s="851"/>
      <c r="C71" s="852"/>
      <c r="D71" s="903"/>
      <c r="E71" s="903"/>
      <c r="F71" s="903"/>
      <c r="G71" s="903"/>
      <c r="H71" s="903"/>
      <c r="I71" s="903"/>
      <c r="J71" s="242" t="s">
        <v>1057</v>
      </c>
      <c r="K71" s="461" t="s">
        <v>1649</v>
      </c>
      <c r="L71" s="458">
        <f>844*827</f>
        <v>697988</v>
      </c>
      <c r="M71" s="458">
        <v>229079</v>
      </c>
      <c r="N71" s="493">
        <v>160438</v>
      </c>
      <c r="O71" s="493">
        <v>2055922</v>
      </c>
      <c r="P71" s="493">
        <v>1757375</v>
      </c>
      <c r="Q71" s="493">
        <f>VLOOKUP(C70, '2021_Internal_ModelLink'!$A$3:$Z$1000, 16, 0)</f>
        <v>1199977</v>
      </c>
      <c r="R71" s="567"/>
      <c r="S71" s="337"/>
      <c r="T71" s="337"/>
    </row>
    <row r="72" spans="1:20" s="405" customFormat="1" ht="15.95" customHeight="1">
      <c r="A72" s="857"/>
      <c r="B72" s="58"/>
      <c r="C72" s="58"/>
      <c r="D72" s="58"/>
      <c r="E72" s="58"/>
      <c r="F72" s="58"/>
      <c r="G72" s="58"/>
      <c r="H72" s="58"/>
      <c r="I72" s="58"/>
      <c r="J72" s="58"/>
      <c r="K72" s="116"/>
      <c r="L72" s="188"/>
      <c r="M72" s="188"/>
      <c r="N72" s="188"/>
      <c r="O72" s="188"/>
      <c r="P72" s="188"/>
      <c r="Q72" s="188"/>
      <c r="R72" s="567"/>
      <c r="S72" s="337"/>
      <c r="T72" s="337"/>
    </row>
    <row r="73" spans="1:20" s="405" customFormat="1" ht="15.95" customHeight="1">
      <c r="A73" s="857"/>
      <c r="B73" s="850" t="s">
        <v>238</v>
      </c>
      <c r="C73" s="852">
        <v>122</v>
      </c>
      <c r="D73" s="906">
        <f>L73/L74</f>
        <v>50.942610555635461</v>
      </c>
      <c r="E73" s="906">
        <f>M73/M74</f>
        <v>319.40485446238733</v>
      </c>
      <c r="F73" s="906">
        <f t="shared" ref="F73" si="11">N73/N74</f>
        <v>73.543515424279249</v>
      </c>
      <c r="G73" s="906">
        <f>O73/O74</f>
        <v>14.339044542545555</v>
      </c>
      <c r="H73" s="906">
        <f>P73/P74</f>
        <v>12.896013260205343</v>
      </c>
      <c r="I73" s="906">
        <f>Q73/Q74</f>
        <v>18.235909773991253</v>
      </c>
      <c r="J73" s="242" t="s">
        <v>1058</v>
      </c>
      <c r="K73" s="399" t="s">
        <v>1642</v>
      </c>
      <c r="L73" s="211">
        <v>35557330.856506884</v>
      </c>
      <c r="M73" s="211">
        <v>73168944.655389234</v>
      </c>
      <c r="N73" s="211">
        <v>11799174.527640514</v>
      </c>
      <c r="O73" s="211">
        <v>29479957.13399934</v>
      </c>
      <c r="P73" s="211">
        <v>22663131.303153366</v>
      </c>
      <c r="Q73" s="211">
        <f>VLOOKUP(C73, '2021_Internal_ModelLink'!$A$3:$Z$1000, 15, 0)</f>
        <v>21882672.302864701</v>
      </c>
      <c r="R73" s="567"/>
      <c r="S73" s="337"/>
      <c r="T73" s="337"/>
    </row>
    <row r="74" spans="1:20" s="405" customFormat="1" ht="15.95" customHeight="1">
      <c r="A74" s="857"/>
      <c r="B74" s="851"/>
      <c r="C74" s="852"/>
      <c r="D74" s="906"/>
      <c r="E74" s="906"/>
      <c r="F74" s="906"/>
      <c r="G74" s="906"/>
      <c r="H74" s="906"/>
      <c r="I74" s="906"/>
      <c r="J74" s="242" t="s">
        <v>1059</v>
      </c>
      <c r="K74" s="461" t="s">
        <v>1649</v>
      </c>
      <c r="L74" s="458">
        <f>L71</f>
        <v>697988</v>
      </c>
      <c r="M74" s="493">
        <v>229079</v>
      </c>
      <c r="N74" s="493">
        <f>N71</f>
        <v>160438</v>
      </c>
      <c r="O74" s="493">
        <v>2055922</v>
      </c>
      <c r="P74" s="493">
        <v>1757375</v>
      </c>
      <c r="Q74" s="493">
        <f>VLOOKUP(C73, '2021_Internal_ModelLink'!$A$3:$Z$1000, 16, 0)</f>
        <v>1199977</v>
      </c>
      <c r="R74" s="567"/>
      <c r="S74" s="337"/>
      <c r="T74" s="337"/>
    </row>
    <row r="75" spans="1:20" s="405" customFormat="1" ht="15.95" customHeight="1">
      <c r="A75" s="857"/>
      <c r="B75" s="116"/>
      <c r="C75" s="116"/>
      <c r="D75" s="146"/>
      <c r="E75" s="146"/>
      <c r="F75" s="146"/>
      <c r="G75" s="146"/>
      <c r="H75" s="146"/>
      <c r="I75" s="146"/>
      <c r="J75" s="58"/>
      <c r="K75" s="116"/>
      <c r="L75" s="188"/>
      <c r="M75" s="188"/>
      <c r="N75" s="188"/>
      <c r="O75" s="188"/>
      <c r="P75" s="188"/>
      <c r="Q75" s="188"/>
      <c r="R75" s="567"/>
      <c r="S75" s="337"/>
      <c r="T75" s="337"/>
    </row>
    <row r="76" spans="1:20" s="405" customFormat="1" ht="15.95" customHeight="1">
      <c r="A76" s="857"/>
      <c r="B76" s="850" t="s">
        <v>1650</v>
      </c>
      <c r="C76" s="882">
        <v>123</v>
      </c>
      <c r="D76" s="904">
        <f t="shared" ref="D76:I76" si="12">L76/L77</f>
        <v>0.36805217281672464</v>
      </c>
      <c r="E76" s="904">
        <f t="shared" si="12"/>
        <v>3.2443501980356029</v>
      </c>
      <c r="F76" s="904">
        <f t="shared" si="12"/>
        <v>11.003124810608076</v>
      </c>
      <c r="G76" s="904">
        <f t="shared" si="12"/>
        <v>0.37542218811926098</v>
      </c>
      <c r="H76" s="904">
        <f t="shared" si="12"/>
        <v>0.33100778031033939</v>
      </c>
      <c r="I76" s="904">
        <f t="shared" si="12"/>
        <v>5.0932108990045899</v>
      </c>
      <c r="J76" s="242" t="s">
        <v>1060</v>
      </c>
      <c r="K76" s="398" t="s">
        <v>1651</v>
      </c>
      <c r="L76" s="211">
        <v>256896</v>
      </c>
      <c r="M76" s="211">
        <v>743212.49901579786</v>
      </c>
      <c r="N76" s="211">
        <v>1765319.3383643385</v>
      </c>
      <c r="O76" s="211">
        <v>771838.73584252724</v>
      </c>
      <c r="P76" s="211">
        <v>581704.79792288272</v>
      </c>
      <c r="Q76" s="211">
        <f>VLOOKUP(C76, '2021_Internal_ModelLink'!$A$3:$Z$1000, 15, 0)</f>
        <v>6111735.9349548304</v>
      </c>
      <c r="R76" s="567"/>
      <c r="S76" s="337"/>
      <c r="T76" s="337"/>
    </row>
    <row r="77" spans="1:20" s="405" customFormat="1" ht="17.45" customHeight="1">
      <c r="A77" s="859"/>
      <c r="B77" s="865"/>
      <c r="C77" s="885"/>
      <c r="D77" s="905"/>
      <c r="E77" s="905"/>
      <c r="F77" s="905"/>
      <c r="G77" s="905"/>
      <c r="H77" s="905"/>
      <c r="I77" s="905"/>
      <c r="J77" s="250" t="s">
        <v>1061</v>
      </c>
      <c r="K77" s="408" t="s">
        <v>1649</v>
      </c>
      <c r="L77" s="465">
        <f>L71</f>
        <v>697988</v>
      </c>
      <c r="M77" s="402">
        <v>229079</v>
      </c>
      <c r="N77" s="402">
        <f>N74</f>
        <v>160438</v>
      </c>
      <c r="O77" s="402">
        <v>2055922</v>
      </c>
      <c r="P77" s="402">
        <v>1757375</v>
      </c>
      <c r="Q77" s="402">
        <f>VLOOKUP(C76, '2021_Internal_ModelLink'!$A$3:$Z$1000, 16, 0)</f>
        <v>1199977</v>
      </c>
      <c r="R77" s="475"/>
    </row>
    <row r="78" spans="1:20" s="405" customFormat="1">
      <c r="A78" s="415"/>
      <c r="B78" s="226"/>
      <c r="C78" s="199"/>
      <c r="D78" s="201"/>
      <c r="E78" s="201"/>
      <c r="F78" s="201"/>
      <c r="G78" s="201"/>
      <c r="H78" s="201"/>
      <c r="I78" s="201"/>
      <c r="J78" s="263"/>
      <c r="K78" s="462"/>
      <c r="L78" s="463"/>
      <c r="M78" s="463"/>
      <c r="N78" s="463"/>
      <c r="O78" s="463"/>
      <c r="P78" s="463"/>
      <c r="Q78" s="463"/>
      <c r="R78" s="173"/>
    </row>
    <row r="79" spans="1:20" s="41" customFormat="1" ht="15.95" customHeight="1">
      <c r="A79" s="856" t="s">
        <v>1652</v>
      </c>
      <c r="B79" s="147" t="s">
        <v>1653</v>
      </c>
      <c r="C79" s="114"/>
      <c r="D79" s="115"/>
      <c r="E79" s="115"/>
      <c r="F79" s="115"/>
      <c r="G79" s="602"/>
      <c r="H79" s="602"/>
      <c r="I79" s="602"/>
      <c r="J79" s="114"/>
      <c r="K79" s="114"/>
      <c r="L79" s="187"/>
      <c r="M79" s="187"/>
      <c r="N79" s="187"/>
      <c r="O79" s="608"/>
      <c r="P79" s="608"/>
      <c r="Q79" s="608"/>
      <c r="R79" s="249"/>
      <c r="S79" s="405"/>
      <c r="T79" s="405"/>
    </row>
    <row r="80" spans="1:20" s="41" customFormat="1" ht="15.95" customHeight="1">
      <c r="A80" s="857"/>
      <c r="B80" s="912" t="s">
        <v>1654</v>
      </c>
      <c r="C80" s="882">
        <v>124</v>
      </c>
      <c r="D80" s="896">
        <f t="shared" ref="D80:I80" si="13">L80/L81</f>
        <v>1.784727291138386E-3</v>
      </c>
      <c r="E80" s="896">
        <f t="shared" si="13"/>
        <v>5.7633289986996103E-4</v>
      </c>
      <c r="F80" s="896">
        <f t="shared" si="13"/>
        <v>3.4948027582373115E-4</v>
      </c>
      <c r="G80" s="896">
        <f t="shared" si="13"/>
        <v>5.1885327214244914E-3</v>
      </c>
      <c r="H80" s="896">
        <f t="shared" si="13"/>
        <v>4.2100299754134251E-3</v>
      </c>
      <c r="I80" s="896">
        <f t="shared" si="13"/>
        <v>2.8891433122604409E-3</v>
      </c>
      <c r="J80" s="242" t="s">
        <v>1062</v>
      </c>
      <c r="K80" s="215" t="s">
        <v>1655</v>
      </c>
      <c r="L80" s="183">
        <v>846</v>
      </c>
      <c r="M80" s="184">
        <v>277</v>
      </c>
      <c r="N80" s="410">
        <v>171</v>
      </c>
      <c r="O80" s="410">
        <v>2589</v>
      </c>
      <c r="P80" s="410">
        <v>2125</v>
      </c>
      <c r="Q80" s="410">
        <f>VLOOKUP(C80, '2021_Internal_ModelLink'!$A$3:$Z$1000, 15, 0)</f>
        <v>1451</v>
      </c>
      <c r="R80" s="567"/>
      <c r="S80" s="405"/>
      <c r="T80" s="405"/>
    </row>
    <row r="81" spans="1:19" s="41" customFormat="1" ht="15.95" customHeight="1">
      <c r="A81" s="857"/>
      <c r="B81" s="913"/>
      <c r="C81" s="882"/>
      <c r="D81" s="896"/>
      <c r="E81" s="896"/>
      <c r="F81" s="896"/>
      <c r="G81" s="896"/>
      <c r="H81" s="896"/>
      <c r="I81" s="896"/>
      <c r="J81" s="242" t="s">
        <v>1063</v>
      </c>
      <c r="K81" s="407" t="s">
        <v>1656</v>
      </c>
      <c r="L81" s="185">
        <v>474022</v>
      </c>
      <c r="M81" s="185">
        <v>480625</v>
      </c>
      <c r="N81" s="185">
        <v>489298</v>
      </c>
      <c r="O81" s="185">
        <v>498985</v>
      </c>
      <c r="P81" s="185">
        <v>504747</v>
      </c>
      <c r="Q81" s="185">
        <f>VLOOKUP(C80, '2021_Internal_ModelLink'!$A$3:$Z$1000, 16, 0)</f>
        <v>502225</v>
      </c>
      <c r="R81" s="567"/>
      <c r="S81" s="405"/>
    </row>
    <row r="82" spans="1:19" s="41" customFormat="1" ht="15.95" customHeight="1">
      <c r="A82" s="857"/>
      <c r="B82" s="58"/>
      <c r="C82" s="119"/>
      <c r="D82" s="476"/>
      <c r="E82" s="119"/>
      <c r="F82" s="119"/>
      <c r="G82" s="119"/>
      <c r="H82" s="119"/>
      <c r="I82" s="119"/>
      <c r="J82" s="58"/>
      <c r="K82" s="116"/>
      <c r="L82" s="186"/>
      <c r="M82" s="186"/>
      <c r="N82" s="186"/>
      <c r="O82" s="186"/>
      <c r="P82" s="186"/>
      <c r="Q82" s="186"/>
      <c r="R82" s="567"/>
      <c r="S82" s="405"/>
    </row>
    <row r="83" spans="1:19" s="41" customFormat="1" ht="17.100000000000001" customHeight="1">
      <c r="A83" s="857"/>
      <c r="B83" s="912" t="s">
        <v>1657</v>
      </c>
      <c r="C83" s="882">
        <v>125</v>
      </c>
      <c r="D83" s="896">
        <f t="shared" ref="D83:I83" si="14">L83/L84</f>
        <v>1.5543325580859833E-3</v>
      </c>
      <c r="E83" s="896">
        <f t="shared" si="14"/>
        <v>1.6561512406387753E-4</v>
      </c>
      <c r="F83" s="896">
        <f t="shared" si="14"/>
        <v>8.2360588010079149E-5</v>
      </c>
      <c r="G83" s="896">
        <f t="shared" si="14"/>
        <v>4.6253895407677584E-3</v>
      </c>
      <c r="H83" s="896">
        <f t="shared" si="14"/>
        <v>3.9306821041036402E-3</v>
      </c>
      <c r="I83" s="896">
        <f t="shared" si="14"/>
        <v>1.9772014535317834E-3</v>
      </c>
      <c r="J83" s="242" t="s">
        <v>1064</v>
      </c>
      <c r="K83" s="215" t="s">
        <v>1658</v>
      </c>
      <c r="L83" s="403">
        <f>675</f>
        <v>675</v>
      </c>
      <c r="M83" s="403">
        <v>73</v>
      </c>
      <c r="N83" s="410">
        <v>37</v>
      </c>
      <c r="O83" s="410">
        <v>2308</v>
      </c>
      <c r="P83" s="410">
        <v>1984</v>
      </c>
      <c r="Q83" s="410">
        <f>VLOOKUP(C83, '2021_Internal_ModelLink'!$A$3:$Z$1000, 15, 0)</f>
        <v>993</v>
      </c>
      <c r="R83" s="497"/>
      <c r="S83" s="405"/>
    </row>
    <row r="84" spans="1:19" s="41" customFormat="1">
      <c r="A84" s="857"/>
      <c r="B84" s="913"/>
      <c r="C84" s="882"/>
      <c r="D84" s="896"/>
      <c r="E84" s="896"/>
      <c r="F84" s="896"/>
      <c r="G84" s="896"/>
      <c r="H84" s="896"/>
      <c r="I84" s="896"/>
      <c r="J84" s="242" t="s">
        <v>1065</v>
      </c>
      <c r="K84" s="407" t="s">
        <v>1659</v>
      </c>
      <c r="L84" s="496">
        <v>434270</v>
      </c>
      <c r="M84" s="409">
        <v>440781</v>
      </c>
      <c r="N84" s="495">
        <v>449244</v>
      </c>
      <c r="O84" s="495">
        <v>498985</v>
      </c>
      <c r="P84" s="495">
        <v>504747</v>
      </c>
      <c r="Q84" s="495">
        <f>VLOOKUP(C83, '2021_Internal_ModelLink'!$A$3:$Z$1000, 16, 0)</f>
        <v>502225</v>
      </c>
      <c r="R84" s="470"/>
      <c r="S84" s="404"/>
    </row>
    <row r="85" spans="1:19" s="41" customFormat="1" ht="15.95" customHeight="1">
      <c r="A85" s="857"/>
      <c r="B85" s="226"/>
      <c r="C85" s="226"/>
      <c r="D85" s="148"/>
      <c r="E85" s="148"/>
      <c r="F85" s="148"/>
      <c r="G85" s="148"/>
      <c r="H85" s="148"/>
      <c r="I85" s="148"/>
      <c r="J85" s="116"/>
      <c r="K85" s="58"/>
      <c r="L85" s="186"/>
      <c r="M85" s="186"/>
      <c r="N85" s="186"/>
      <c r="O85" s="186"/>
      <c r="P85" s="186"/>
      <c r="Q85" s="186"/>
      <c r="R85" s="567"/>
      <c r="S85" s="337"/>
    </row>
    <row r="86" spans="1:19" s="41" customFormat="1" ht="17.25">
      <c r="A86" s="857"/>
      <c r="B86" s="912" t="s">
        <v>1660</v>
      </c>
      <c r="C86" s="882">
        <v>126</v>
      </c>
      <c r="D86" s="896">
        <f t="shared" ref="D86:I86" si="15">L86/L87</f>
        <v>1.4239845408019038E-3</v>
      </c>
      <c r="E86" s="896">
        <f t="shared" si="15"/>
        <v>1.6561512406387753E-4</v>
      </c>
      <c r="F86" s="896">
        <f t="shared" si="15"/>
        <v>8.2360588010079149E-5</v>
      </c>
      <c r="G86" s="896">
        <f t="shared" si="15"/>
        <v>4.6253895407677584E-3</v>
      </c>
      <c r="H86" s="896">
        <f t="shared" si="15"/>
        <v>3.9306821041036402E-3</v>
      </c>
      <c r="I86" s="896">
        <f t="shared" si="15"/>
        <v>1.9772014535317834E-3</v>
      </c>
      <c r="J86" s="242" t="s">
        <v>1066</v>
      </c>
      <c r="K86" s="215" t="s">
        <v>1661</v>
      </c>
      <c r="L86" s="184">
        <f>675*827</f>
        <v>558225</v>
      </c>
      <c r="M86" s="184">
        <v>60371</v>
      </c>
      <c r="N86" s="184">
        <v>30599</v>
      </c>
      <c r="O86" s="184">
        <v>1908716</v>
      </c>
      <c r="P86" s="184">
        <v>1640768</v>
      </c>
      <c r="Q86" s="184">
        <f>VLOOKUP(C86, '2021_Internal_ModelLink'!$A$3:$Z$1000, 15, 0)</f>
        <v>821211</v>
      </c>
      <c r="R86" s="567"/>
      <c r="S86" s="337"/>
    </row>
    <row r="87" spans="1:19" s="41" customFormat="1">
      <c r="A87" s="857"/>
      <c r="B87" s="851"/>
      <c r="C87" s="882"/>
      <c r="D87" s="896"/>
      <c r="E87" s="896"/>
      <c r="F87" s="896"/>
      <c r="G87" s="896"/>
      <c r="H87" s="896"/>
      <c r="I87" s="896"/>
      <c r="J87" s="242" t="s">
        <v>1067</v>
      </c>
      <c r="K87" s="407" t="s">
        <v>1662</v>
      </c>
      <c r="L87" s="185">
        <f>L81*827</f>
        <v>392016194</v>
      </c>
      <c r="M87" s="185">
        <v>364525887</v>
      </c>
      <c r="N87" s="185">
        <v>371524788</v>
      </c>
      <c r="O87" s="185">
        <v>412660595</v>
      </c>
      <c r="P87" s="185">
        <v>417425769</v>
      </c>
      <c r="Q87" s="185">
        <f>VLOOKUP(C86, '2021_Internal_ModelLink'!$A$3:$Z$1000, 16, 0)</f>
        <v>415340075</v>
      </c>
      <c r="R87" s="567"/>
      <c r="S87" s="337"/>
    </row>
    <row r="88" spans="1:19" s="41" customFormat="1" ht="15.95" customHeight="1">
      <c r="A88" s="857"/>
      <c r="B88" s="226"/>
      <c r="C88" s="199"/>
      <c r="D88" s="148"/>
      <c r="E88" s="148"/>
      <c r="F88" s="148"/>
      <c r="G88" s="148"/>
      <c r="H88" s="148"/>
      <c r="I88" s="148"/>
      <c r="J88" s="116"/>
      <c r="K88" s="58"/>
      <c r="L88" s="186"/>
      <c r="M88" s="186"/>
      <c r="N88" s="186"/>
      <c r="O88" s="186"/>
      <c r="P88" s="186"/>
      <c r="Q88" s="186"/>
      <c r="R88" s="567"/>
      <c r="S88" s="405"/>
    </row>
    <row r="89" spans="1:19" s="41" customFormat="1" ht="17.25">
      <c r="A89" s="857"/>
      <c r="B89" s="851" t="s">
        <v>1621</v>
      </c>
      <c r="C89" s="882">
        <v>127</v>
      </c>
      <c r="D89" s="896">
        <f t="shared" ref="D89:I89" si="16">L89/L90</f>
        <v>2.4184587227923395E-3</v>
      </c>
      <c r="E89" s="896">
        <f t="shared" si="16"/>
        <v>3.2623234267445275E-4</v>
      </c>
      <c r="F89" s="896">
        <f t="shared" si="16"/>
        <v>2.6106252447461169E-4</v>
      </c>
      <c r="G89" s="896">
        <f t="shared" si="16"/>
        <v>2.9874009611637873E-3</v>
      </c>
      <c r="H89" s="896">
        <f t="shared" si="16"/>
        <v>3.2559502490801943E-5</v>
      </c>
      <c r="I89" s="896">
        <f t="shared" si="16"/>
        <v>0</v>
      </c>
      <c r="J89" s="242" t="s">
        <v>1068</v>
      </c>
      <c r="K89" s="215" t="s">
        <v>1663</v>
      </c>
      <c r="L89" s="184">
        <v>74</v>
      </c>
      <c r="M89" s="184">
        <v>10</v>
      </c>
      <c r="N89" s="184">
        <v>8</v>
      </c>
      <c r="O89" s="184">
        <v>92</v>
      </c>
      <c r="P89" s="184">
        <v>1</v>
      </c>
      <c r="Q89" s="184">
        <f>VLOOKUP(C89, '2021_Internal_ModelLink'!$A$3:$Z$1000, 15, 0)</f>
        <v>0</v>
      </c>
      <c r="R89" s="567"/>
      <c r="S89" s="405"/>
    </row>
    <row r="90" spans="1:19" s="41" customFormat="1" ht="15.95" customHeight="1">
      <c r="A90" s="857"/>
      <c r="B90" s="851"/>
      <c r="C90" s="882"/>
      <c r="D90" s="896"/>
      <c r="E90" s="896"/>
      <c r="F90" s="896"/>
      <c r="G90" s="896"/>
      <c r="H90" s="896"/>
      <c r="I90" s="896"/>
      <c r="J90" s="242" t="s">
        <v>1069</v>
      </c>
      <c r="K90" s="407" t="s">
        <v>1664</v>
      </c>
      <c r="L90" s="185">
        <v>30598</v>
      </c>
      <c r="M90" s="185">
        <v>30653</v>
      </c>
      <c r="N90" s="185">
        <v>30644</v>
      </c>
      <c r="O90" s="185">
        <v>30796</v>
      </c>
      <c r="P90" s="185">
        <v>30713</v>
      </c>
      <c r="Q90" s="185">
        <f>VLOOKUP(C89, '2021_Internal_ModelLink'!$A$3:$Z$1000, 16, 0)</f>
        <v>33083</v>
      </c>
      <c r="R90" s="567"/>
      <c r="S90" s="405"/>
    </row>
    <row r="91" spans="1:19" s="41" customFormat="1" ht="15.95" customHeight="1">
      <c r="A91" s="857"/>
      <c r="B91" s="226"/>
      <c r="C91" s="226"/>
      <c r="D91" s="148"/>
      <c r="E91" s="148"/>
      <c r="F91" s="148"/>
      <c r="G91" s="148"/>
      <c r="H91" s="148"/>
      <c r="I91" s="148"/>
      <c r="J91" s="58"/>
      <c r="K91" s="116"/>
      <c r="L91" s="186"/>
      <c r="M91" s="186"/>
      <c r="N91" s="186"/>
      <c r="O91" s="186"/>
      <c r="P91" s="186"/>
      <c r="Q91" s="186"/>
      <c r="R91" s="567"/>
      <c r="S91" s="405"/>
    </row>
    <row r="92" spans="1:19" s="41" customFormat="1" ht="17.25">
      <c r="A92" s="857"/>
      <c r="B92" s="851" t="s">
        <v>1665</v>
      </c>
      <c r="C92" s="882">
        <v>128</v>
      </c>
      <c r="D92" s="896">
        <f t="shared" ref="D92:I92" si="17">L92/L93</f>
        <v>1.7736248999632297E-3</v>
      </c>
      <c r="E92" s="896">
        <f t="shared" si="17"/>
        <v>1.5955749388362939E-4</v>
      </c>
      <c r="F92" s="896">
        <f t="shared" si="17"/>
        <v>1.0761366693570084E-4</v>
      </c>
      <c r="G92" s="896">
        <f t="shared" si="17"/>
        <v>2.2228448678434671E-3</v>
      </c>
      <c r="H92" s="896">
        <f t="shared" si="17"/>
        <v>5.8146036005814602E-3</v>
      </c>
      <c r="I92" s="896">
        <f t="shared" si="17"/>
        <v>1.106681074635764E-2</v>
      </c>
      <c r="J92" s="242" t="s">
        <v>1070</v>
      </c>
      <c r="K92" s="215" t="s">
        <v>1666</v>
      </c>
      <c r="L92" s="184">
        <v>82</v>
      </c>
      <c r="M92" s="184">
        <v>9</v>
      </c>
      <c r="N92" s="184">
        <v>6</v>
      </c>
      <c r="O92" s="184">
        <v>119</v>
      </c>
      <c r="P92" s="184">
        <v>312</v>
      </c>
      <c r="Q92" s="184">
        <f>VLOOKUP(C92, '2021_Internal_ModelLink'!$A$3:$Z$1000, 15, 0)</f>
        <v>594</v>
      </c>
      <c r="R92" s="567"/>
      <c r="S92" s="405"/>
    </row>
    <row r="93" spans="1:19" s="41" customFormat="1" ht="15.95" customHeight="1">
      <c r="A93" s="859"/>
      <c r="B93" s="865"/>
      <c r="C93" s="885"/>
      <c r="D93" s="897"/>
      <c r="E93" s="897"/>
      <c r="F93" s="897"/>
      <c r="G93" s="897"/>
      <c r="H93" s="897"/>
      <c r="I93" s="897"/>
      <c r="J93" s="250" t="s">
        <v>1071</v>
      </c>
      <c r="K93" s="282" t="s">
        <v>1667</v>
      </c>
      <c r="L93" s="196">
        <v>46233</v>
      </c>
      <c r="M93" s="196">
        <v>56406</v>
      </c>
      <c r="N93" s="196">
        <v>55755</v>
      </c>
      <c r="O93" s="196">
        <v>53535</v>
      </c>
      <c r="P93" s="196">
        <v>53658</v>
      </c>
      <c r="Q93" s="196">
        <f>VLOOKUP(C92, '2021_Internal_ModelLink'!$A$3:$Z$1000, 16, 0)</f>
        <v>53674</v>
      </c>
      <c r="R93" s="475"/>
      <c r="S93" s="405"/>
    </row>
    <row r="94" spans="1:19" s="41" customFormat="1" ht="15.95" customHeight="1">
      <c r="A94" s="252"/>
      <c r="B94" s="198"/>
      <c r="C94" s="199"/>
      <c r="D94" s="201"/>
      <c r="E94" s="201"/>
      <c r="F94" s="201"/>
      <c r="G94" s="201"/>
      <c r="H94" s="201"/>
      <c r="I94" s="201"/>
      <c r="J94" s="116"/>
      <c r="K94" s="58"/>
      <c r="L94" s="129"/>
      <c r="M94" s="129"/>
      <c r="N94" s="129"/>
      <c r="O94" s="129"/>
      <c r="P94" s="129"/>
      <c r="Q94" s="129"/>
      <c r="R94" s="203"/>
      <c r="S94" s="405"/>
    </row>
    <row r="95" spans="1:19" s="41" customFormat="1" ht="30.75" customHeight="1">
      <c r="A95" s="856" t="s">
        <v>1668</v>
      </c>
      <c r="B95" s="144" t="s">
        <v>1669</v>
      </c>
      <c r="C95" s="149"/>
      <c r="D95" s="115"/>
      <c r="E95" s="115"/>
      <c r="F95" s="115"/>
      <c r="G95" s="602"/>
      <c r="H95" s="602"/>
      <c r="I95" s="602"/>
      <c r="J95" s="115"/>
      <c r="K95" s="114"/>
      <c r="L95" s="187"/>
      <c r="M95" s="187"/>
      <c r="N95" s="187"/>
      <c r="O95" s="608"/>
      <c r="P95" s="608"/>
      <c r="Q95" s="608"/>
      <c r="R95" s="285"/>
      <c r="S95" s="405"/>
    </row>
    <row r="96" spans="1:19" s="41" customFormat="1" ht="15.95" customHeight="1">
      <c r="A96" s="857"/>
      <c r="B96" s="908" t="s">
        <v>1670</v>
      </c>
      <c r="C96" s="882">
        <v>129</v>
      </c>
      <c r="D96" s="898">
        <f t="shared" ref="D96:I96" si="18">L96/L97</f>
        <v>2.3909472531483848E-2</v>
      </c>
      <c r="E96" s="898">
        <f t="shared" si="18"/>
        <v>2.3909472531483848E-2</v>
      </c>
      <c r="F96" s="898">
        <f t="shared" si="18"/>
        <v>4.7545172476729333E-2</v>
      </c>
      <c r="G96" s="898">
        <f t="shared" si="18"/>
        <v>8.2588063515240007E-2</v>
      </c>
      <c r="H96" s="898">
        <f t="shared" si="18"/>
        <v>1.1589706150757438E-2</v>
      </c>
      <c r="I96" s="898">
        <f t="shared" si="18"/>
        <v>6.6527950619742149E-2</v>
      </c>
      <c r="J96" s="242" t="s">
        <v>1072</v>
      </c>
      <c r="K96" s="176" t="s">
        <v>1671</v>
      </c>
      <c r="L96" s="182">
        <v>262</v>
      </c>
      <c r="M96" s="182">
        <v>262</v>
      </c>
      <c r="N96" s="182">
        <v>521</v>
      </c>
      <c r="O96" s="645">
        <v>905</v>
      </c>
      <c r="P96" s="645">
        <v>127</v>
      </c>
      <c r="Q96" s="645">
        <f>VLOOKUP(C96, '2021_Internal_ModelLink'!$A$3:$Z$1000, 15, 0)</f>
        <v>729.01328289113451</v>
      </c>
      <c r="R96" s="647"/>
      <c r="S96" s="405"/>
    </row>
    <row r="97" spans="1:30" s="41" customFormat="1" ht="15.95" customHeight="1">
      <c r="A97" s="859"/>
      <c r="B97" s="909"/>
      <c r="C97" s="885"/>
      <c r="D97" s="899"/>
      <c r="E97" s="899"/>
      <c r="F97" s="899"/>
      <c r="G97" s="899"/>
      <c r="H97" s="899"/>
      <c r="I97" s="899"/>
      <c r="J97" s="250" t="s">
        <v>1073</v>
      </c>
      <c r="K97" s="282" t="s">
        <v>1672</v>
      </c>
      <c r="L97" s="128">
        <v>10958</v>
      </c>
      <c r="M97" s="128">
        <v>10958</v>
      </c>
      <c r="N97" s="128">
        <v>10958</v>
      </c>
      <c r="O97" s="646">
        <v>10958</v>
      </c>
      <c r="P97" s="646">
        <v>10958</v>
      </c>
      <c r="Q97" s="646">
        <f>VLOOKUP(C96, '2021_Internal_ModelLink'!$A$3:$Z$1000, 16, 0)</f>
        <v>10958</v>
      </c>
      <c r="R97" s="286"/>
      <c r="S97" s="405"/>
      <c r="T97" s="405"/>
      <c r="U97" s="405"/>
      <c r="V97" s="405"/>
      <c r="W97" s="405"/>
      <c r="X97" s="405"/>
      <c r="Y97" s="405"/>
      <c r="Z97" s="405"/>
      <c r="AA97" s="405"/>
      <c r="AB97" s="405"/>
      <c r="AC97" s="405"/>
      <c r="AD97" s="405"/>
    </row>
    <row r="98" spans="1:30" s="41" customFormat="1" ht="15.95" customHeight="1">
      <c r="A98" s="405"/>
      <c r="B98" s="49"/>
      <c r="C98" s="65"/>
      <c r="D98" s="498"/>
      <c r="E98" s="75"/>
      <c r="F98" s="75"/>
      <c r="G98" s="75"/>
      <c r="H98" s="75"/>
      <c r="I98" s="75"/>
      <c r="J98" s="42"/>
      <c r="K98" s="58"/>
      <c r="L98" s="129"/>
      <c r="M98" s="129"/>
      <c r="N98" s="129"/>
      <c r="O98" s="129"/>
      <c r="P98" s="129"/>
      <c r="Q98" s="129"/>
      <c r="R98" s="284"/>
      <c r="S98" s="405"/>
      <c r="T98" s="405"/>
      <c r="U98" s="405"/>
      <c r="V98" s="405"/>
      <c r="W98" s="405"/>
      <c r="X98" s="405"/>
      <c r="Y98" s="405"/>
      <c r="Z98" s="405"/>
      <c r="AA98" s="405"/>
      <c r="AB98" s="405"/>
      <c r="AC98" s="405"/>
      <c r="AD98" s="405"/>
    </row>
    <row r="99" spans="1:30" s="41" customFormat="1" ht="30">
      <c r="A99" s="856" t="s">
        <v>271</v>
      </c>
      <c r="B99" s="144" t="s">
        <v>1673</v>
      </c>
      <c r="C99" s="149"/>
      <c r="D99" s="499"/>
      <c r="E99" s="115"/>
      <c r="F99" s="115"/>
      <c r="G99" s="602"/>
      <c r="H99" s="602"/>
      <c r="I99" s="602"/>
      <c r="J99" s="115"/>
      <c r="K99" s="114"/>
      <c r="L99" s="187"/>
      <c r="M99" s="187"/>
      <c r="N99" s="187"/>
      <c r="O99" s="608"/>
      <c r="P99" s="608"/>
      <c r="Q99" s="608"/>
      <c r="R99" s="283"/>
      <c r="S99" s="405"/>
      <c r="T99" s="405"/>
      <c r="U99" s="405"/>
      <c r="V99" s="405"/>
      <c r="W99" s="405"/>
      <c r="X99" s="405"/>
      <c r="Y99" s="405"/>
      <c r="Z99" s="405"/>
      <c r="AA99" s="405"/>
      <c r="AB99" s="405"/>
      <c r="AC99" s="405"/>
      <c r="AD99" s="405"/>
    </row>
    <row r="100" spans="1:30" s="41" customFormat="1" ht="16.5" customHeight="1">
      <c r="A100" s="857"/>
      <c r="B100" s="908" t="s">
        <v>1674</v>
      </c>
      <c r="C100" s="882">
        <v>130</v>
      </c>
      <c r="D100" s="898">
        <f t="shared" ref="D100:I100" si="19">L100/L101</f>
        <v>3.1512605042016806E-2</v>
      </c>
      <c r="E100" s="898">
        <f t="shared" si="19"/>
        <v>6.9961977186311794E-2</v>
      </c>
      <c r="F100" s="898">
        <f t="shared" si="19"/>
        <v>8.2892255277727075E-2</v>
      </c>
      <c r="G100" s="898">
        <f t="shared" si="19"/>
        <v>9.2415464143912537E-2</v>
      </c>
      <c r="H100" s="898">
        <f t="shared" si="19"/>
        <v>1.2875536480686695E-2</v>
      </c>
      <c r="I100" s="898">
        <f t="shared" si="19"/>
        <v>1.2808383679580681E-2</v>
      </c>
      <c r="J100" s="242" t="s">
        <v>1074</v>
      </c>
      <c r="K100" s="215" t="s">
        <v>1675</v>
      </c>
      <c r="L100" s="182">
        <v>45</v>
      </c>
      <c r="M100" s="182">
        <v>92</v>
      </c>
      <c r="N100" s="182">
        <v>109</v>
      </c>
      <c r="O100" s="645">
        <v>108.65072615595268</v>
      </c>
      <c r="P100" s="645">
        <v>15</v>
      </c>
      <c r="Q100" s="645">
        <f>VLOOKUP(C100, '2021_Internal_ModelLink'!$A$3:$Z$1000, 15, 0)</f>
        <v>15</v>
      </c>
      <c r="R100" s="471"/>
      <c r="S100" s="405"/>
      <c r="T100" s="405"/>
      <c r="U100" s="405"/>
      <c r="V100" s="405"/>
      <c r="W100" s="405"/>
      <c r="X100" s="405"/>
      <c r="Y100" s="405"/>
      <c r="Z100" s="405"/>
      <c r="AA100" s="405"/>
      <c r="AB100" s="405"/>
      <c r="AC100" s="405"/>
      <c r="AD100" s="405"/>
    </row>
    <row r="101" spans="1:30" s="41" customFormat="1">
      <c r="A101" s="859"/>
      <c r="B101" s="909"/>
      <c r="C101" s="885"/>
      <c r="D101" s="899"/>
      <c r="E101" s="899"/>
      <c r="F101" s="899"/>
      <c r="G101" s="899"/>
      <c r="H101" s="899"/>
      <c r="I101" s="899"/>
      <c r="J101" s="250" t="s">
        <v>1075</v>
      </c>
      <c r="K101" s="282" t="s">
        <v>1676</v>
      </c>
      <c r="L101" s="128">
        <v>1428</v>
      </c>
      <c r="M101" s="128">
        <v>1315</v>
      </c>
      <c r="N101" s="128">
        <f>N97*12%</f>
        <v>1314.96</v>
      </c>
      <c r="O101" s="646">
        <v>1175.6768973941205</v>
      </c>
      <c r="P101" s="646">
        <v>1165</v>
      </c>
      <c r="Q101" s="646">
        <f>VLOOKUP(C100, '2021_Internal_ModelLink'!$A$3:$Z$1000, 16, 0)</f>
        <v>1171.1079536064512</v>
      </c>
      <c r="R101" s="286"/>
      <c r="S101" s="405"/>
      <c r="T101" s="405"/>
      <c r="U101" s="405"/>
      <c r="V101" s="405"/>
      <c r="W101" s="405"/>
      <c r="X101" s="405"/>
      <c r="Y101" s="405"/>
      <c r="Z101" s="405"/>
      <c r="AA101" s="405"/>
      <c r="AB101" s="405"/>
      <c r="AC101" s="405"/>
      <c r="AD101" s="405"/>
    </row>
    <row r="102" spans="1:30" s="41" customFormat="1">
      <c r="A102" s="405"/>
      <c r="B102" s="49"/>
      <c r="C102" s="65"/>
      <c r="D102" s="75"/>
      <c r="E102" s="75"/>
      <c r="F102" s="75"/>
      <c r="G102" s="75"/>
      <c r="H102" s="75"/>
      <c r="I102" s="75"/>
      <c r="J102" s="42"/>
      <c r="K102" s="405"/>
      <c r="L102" s="53"/>
      <c r="M102" s="53"/>
      <c r="N102" s="53"/>
      <c r="O102" s="53"/>
      <c r="P102" s="53"/>
      <c r="Q102" s="53"/>
      <c r="R102" s="203"/>
      <c r="S102" s="405"/>
      <c r="T102" s="405"/>
      <c r="U102" s="405"/>
      <c r="V102" s="405"/>
      <c r="W102" s="405"/>
      <c r="X102" s="405"/>
      <c r="Y102" s="405"/>
      <c r="Z102" s="405"/>
      <c r="AA102" s="405"/>
      <c r="AB102" s="405"/>
      <c r="AC102" s="405"/>
      <c r="AD102" s="405"/>
    </row>
    <row r="103" spans="1:30" s="405" customFormat="1" ht="30" customHeight="1">
      <c r="A103" s="856" t="s">
        <v>1568</v>
      </c>
      <c r="B103" s="650" t="s">
        <v>1569</v>
      </c>
      <c r="C103" s="650"/>
      <c r="D103" s="650"/>
      <c r="E103" s="650"/>
      <c r="F103" s="594"/>
      <c r="G103" s="594"/>
      <c r="H103" s="594"/>
      <c r="I103" s="594"/>
      <c r="J103" s="626"/>
      <c r="K103" s="626"/>
      <c r="L103" s="605"/>
      <c r="M103" s="596"/>
      <c r="N103" s="596"/>
      <c r="O103" s="596"/>
      <c r="P103" s="596"/>
      <c r="Q103" s="596"/>
      <c r="R103" s="229"/>
      <c r="S103" s="43"/>
      <c r="T103" s="453"/>
      <c r="U103" s="44"/>
      <c r="V103" s="44"/>
      <c r="W103" s="44"/>
      <c r="X103" s="44"/>
      <c r="Y103" s="44"/>
      <c r="Z103" s="44"/>
      <c r="AA103" s="44"/>
      <c r="AB103" s="44"/>
      <c r="AC103" s="44"/>
      <c r="AD103" s="44"/>
    </row>
    <row r="104" spans="1:30" s="405" customFormat="1" ht="18.75" customHeight="1">
      <c r="A104" s="857"/>
      <c r="B104" s="850" t="s">
        <v>1571</v>
      </c>
      <c r="C104" s="852">
        <v>131</v>
      </c>
      <c r="D104" s="849">
        <f t="shared" ref="D104:I104" si="20">L104/L105</f>
        <v>562.91022488755902</v>
      </c>
      <c r="E104" s="849">
        <f t="shared" si="20"/>
        <v>1143.591522911428</v>
      </c>
      <c r="F104" s="849">
        <f t="shared" si="20"/>
        <v>1065.2143373617291</v>
      </c>
      <c r="G104" s="849">
        <f t="shared" si="20"/>
        <v>792.43577081304625</v>
      </c>
      <c r="H104" s="849">
        <f t="shared" si="20"/>
        <v>568.14453336652525</v>
      </c>
      <c r="I104" s="849">
        <f t="shared" si="20"/>
        <v>314.51790204819781</v>
      </c>
      <c r="J104" s="242" t="s">
        <v>1076</v>
      </c>
      <c r="K104" s="235" t="s">
        <v>1572</v>
      </c>
      <c r="L104" s="212">
        <v>6132094.9760652361</v>
      </c>
      <c r="M104" s="634">
        <v>9647291.674810309</v>
      </c>
      <c r="N104" s="634">
        <v>4290265.2904259609</v>
      </c>
      <c r="O104" s="634">
        <v>4766598.1834739</v>
      </c>
      <c r="P104" s="634">
        <v>2849812.9793664906</v>
      </c>
      <c r="Q104" s="634">
        <f>VLOOKUP(C104, '2021_Internal_ModelLink'!$A$3:$Z$1000, 15, 0)</f>
        <v>1683840.0307389351</v>
      </c>
      <c r="R104" s="853"/>
      <c r="S104" s="424"/>
      <c r="T104" s="453"/>
      <c r="U104" s="44"/>
      <c r="V104" s="44"/>
      <c r="W104" s="44"/>
      <c r="X104" s="44"/>
      <c r="Y104" s="44"/>
      <c r="Z104" s="44"/>
      <c r="AA104" s="44"/>
      <c r="AB104" s="44"/>
      <c r="AC104" s="44"/>
      <c r="AD104" s="44"/>
    </row>
    <row r="105" spans="1:30" s="405" customFormat="1" ht="18.75" customHeight="1">
      <c r="A105" s="857"/>
      <c r="B105" s="851"/>
      <c r="C105" s="852"/>
      <c r="D105" s="849"/>
      <c r="E105" s="849"/>
      <c r="F105" s="849"/>
      <c r="G105" s="849"/>
      <c r="H105" s="849"/>
      <c r="I105" s="849"/>
      <c r="J105" s="242" t="s">
        <v>1077</v>
      </c>
      <c r="K105" s="295" t="s">
        <v>1573</v>
      </c>
      <c r="L105" s="206">
        <v>10893.557631308116</v>
      </c>
      <c r="M105" s="635">
        <v>8435.9594151674191</v>
      </c>
      <c r="N105" s="635">
        <v>4027.6075339465301</v>
      </c>
      <c r="O105" s="635">
        <v>6015.1224352016916</v>
      </c>
      <c r="P105" s="635">
        <v>5016</v>
      </c>
      <c r="Q105" s="635">
        <f>VLOOKUP(C104, '2021_Internal_ModelLink'!$A$3:$Z$1000, 16, 0)</f>
        <v>5353.7176096287758</v>
      </c>
      <c r="R105" s="853"/>
      <c r="S105" s="424"/>
      <c r="T105" s="453"/>
      <c r="U105" s="44"/>
      <c r="V105" s="44"/>
      <c r="W105" s="44"/>
      <c r="X105" s="44"/>
      <c r="Y105" s="44"/>
      <c r="Z105" s="44"/>
      <c r="AA105" s="44"/>
      <c r="AB105" s="44"/>
      <c r="AC105" s="44"/>
      <c r="AD105" s="44"/>
    </row>
    <row r="106" spans="1:30" s="405" customFormat="1" ht="18.75" customHeight="1">
      <c r="A106" s="857"/>
      <c r="B106" s="58"/>
      <c r="C106" s="644"/>
      <c r="D106" s="207"/>
      <c r="E106" s="207"/>
      <c r="F106" s="380"/>
      <c r="G106" s="380"/>
      <c r="H106" s="380"/>
      <c r="I106" s="380"/>
      <c r="J106" s="263"/>
      <c r="K106" s="58"/>
      <c r="L106" s="125"/>
      <c r="M106" s="632"/>
      <c r="N106" s="459"/>
      <c r="O106" s="459"/>
      <c r="P106" s="459"/>
      <c r="Q106" s="459"/>
      <c r="R106" s="643"/>
      <c r="S106" s="424"/>
      <c r="T106" s="453"/>
      <c r="U106" s="44"/>
      <c r="V106" s="44"/>
      <c r="W106" s="44"/>
      <c r="X106" s="44"/>
      <c r="Y106" s="44"/>
      <c r="Z106" s="44"/>
      <c r="AA106" s="44"/>
      <c r="AB106" s="44"/>
      <c r="AC106" s="44"/>
      <c r="AD106" s="44"/>
    </row>
    <row r="107" spans="1:30" s="405" customFormat="1" ht="18.75" customHeight="1">
      <c r="A107" s="857"/>
      <c r="B107" s="850" t="s">
        <v>1574</v>
      </c>
      <c r="C107" s="852">
        <v>132</v>
      </c>
      <c r="D107" s="849">
        <f t="shared" ref="D107:I107" si="21">L107/L108</f>
        <v>0.15063111798501147</v>
      </c>
      <c r="E107" s="849">
        <f t="shared" si="21"/>
        <v>0.11987818387498918</v>
      </c>
      <c r="F107" s="849">
        <f t="shared" si="21"/>
        <v>0.21265814916531481</v>
      </c>
      <c r="G107" s="849">
        <f t="shared" si="21"/>
        <v>0.15604863705382885</v>
      </c>
      <c r="H107" s="849">
        <f t="shared" si="21"/>
        <v>0.12574665615470207</v>
      </c>
      <c r="I107" s="849">
        <f t="shared" si="21"/>
        <v>7.6948555799489851E-2</v>
      </c>
      <c r="J107" s="242" t="s">
        <v>1078</v>
      </c>
      <c r="K107" s="235" t="s">
        <v>1572</v>
      </c>
      <c r="L107" s="212">
        <v>6132094.9760652361</v>
      </c>
      <c r="M107" s="634">
        <v>9647291.674810309</v>
      </c>
      <c r="N107" s="634">
        <f>N104</f>
        <v>4290265.2904259609</v>
      </c>
      <c r="O107" s="634">
        <v>4766598.1834739</v>
      </c>
      <c r="P107" s="634">
        <v>2849812.9793664906</v>
      </c>
      <c r="Q107" s="634">
        <f>VLOOKUP(C107, '2021_Internal_ModelLink'!$A$3:$Z$1000, 15, 0)</f>
        <v>1683840.0307389351</v>
      </c>
      <c r="R107" s="853"/>
      <c r="S107" s="424"/>
      <c r="T107" s="453"/>
      <c r="U107" s="44"/>
      <c r="V107" s="44"/>
      <c r="W107" s="44"/>
      <c r="X107" s="44"/>
      <c r="Y107" s="44"/>
      <c r="Z107" s="44"/>
      <c r="AA107" s="44"/>
      <c r="AB107" s="44"/>
      <c r="AC107" s="44"/>
      <c r="AD107" s="44"/>
    </row>
    <row r="108" spans="1:30" s="405" customFormat="1" ht="15" customHeight="1">
      <c r="A108" s="857"/>
      <c r="B108" s="851"/>
      <c r="C108" s="852"/>
      <c r="D108" s="849"/>
      <c r="E108" s="849"/>
      <c r="F108" s="849"/>
      <c r="G108" s="849"/>
      <c r="H108" s="849"/>
      <c r="I108" s="849"/>
      <c r="J108" s="242" t="s">
        <v>1079</v>
      </c>
      <c r="K108" s="295" t="s">
        <v>1575</v>
      </c>
      <c r="L108" s="206">
        <v>40709350.485438272</v>
      </c>
      <c r="M108" s="635">
        <v>80475791.031924993</v>
      </c>
      <c r="N108" s="635">
        <v>20174469.2468419</v>
      </c>
      <c r="O108" s="635">
        <v>30545593.178296492</v>
      </c>
      <c r="P108" s="635">
        <v>22663131.303153358</v>
      </c>
      <c r="Q108" s="635">
        <f>VLOOKUP(C107, '2021_Internal_ModelLink'!$A$3:$Z$1000, 16, 0)</f>
        <v>21882672.302864697</v>
      </c>
      <c r="R108" s="853"/>
      <c r="S108" s="424"/>
      <c r="T108" s="453"/>
      <c r="U108" s="44"/>
      <c r="V108" s="44"/>
      <c r="W108" s="44"/>
      <c r="X108" s="44"/>
      <c r="Y108" s="44"/>
      <c r="Z108" s="44"/>
      <c r="AA108" s="44"/>
      <c r="AB108" s="44"/>
      <c r="AC108" s="44"/>
      <c r="AD108" s="44"/>
    </row>
    <row r="109" spans="1:30" s="44" customFormat="1" ht="15" customHeight="1">
      <c r="A109" s="651"/>
      <c r="B109" s="418"/>
      <c r="C109" s="644"/>
      <c r="D109" s="419"/>
      <c r="E109" s="419"/>
      <c r="F109" s="419"/>
      <c r="G109" s="419"/>
      <c r="H109" s="419"/>
      <c r="I109" s="419"/>
      <c r="J109" s="420"/>
      <c r="K109" s="421"/>
      <c r="L109" s="422"/>
      <c r="M109" s="422"/>
      <c r="N109" s="422"/>
      <c r="O109" s="422"/>
      <c r="P109" s="422"/>
      <c r="Q109" s="422"/>
      <c r="R109" s="642"/>
      <c r="S109" s="424"/>
      <c r="T109" s="453"/>
    </row>
    <row r="110" spans="1:30" s="405" customFormat="1" ht="15" customHeight="1">
      <c r="A110" s="641"/>
      <c r="B110" s="850" t="s">
        <v>1576</v>
      </c>
      <c r="C110" s="852">
        <v>133</v>
      </c>
      <c r="D110" s="849">
        <f t="shared" ref="D110:I110" si="22">L110/L111</f>
        <v>0.95696816915946536</v>
      </c>
      <c r="E110" s="849">
        <f t="shared" si="22"/>
        <v>0.96858686993274801</v>
      </c>
      <c r="F110" s="849">
        <f t="shared" si="22"/>
        <v>-5.9101710527065938</v>
      </c>
      <c r="G110" s="849">
        <f t="shared" si="22"/>
        <v>1.5369808598382564</v>
      </c>
      <c r="H110" s="849">
        <f t="shared" si="22"/>
        <v>1.0939585071675992</v>
      </c>
      <c r="I110" s="849">
        <f t="shared" si="22"/>
        <v>0.76782934028676175</v>
      </c>
      <c r="J110" s="242" t="s">
        <v>1080</v>
      </c>
      <c r="K110" s="235" t="s">
        <v>1572</v>
      </c>
      <c r="L110" s="212">
        <v>417823.59033476323</v>
      </c>
      <c r="M110" s="634">
        <v>904304.15518969169</v>
      </c>
      <c r="N110" s="634">
        <v>-10451616.875863906</v>
      </c>
      <c r="O110" s="634">
        <v>1334113.7220675752</v>
      </c>
      <c r="P110" s="634">
        <v>636360.9123479469</v>
      </c>
      <c r="Q110" s="634">
        <f>VLOOKUP(C110, '2021_Internal_ModelLink'!$A$3:$Z$1000, 15, 0)</f>
        <v>4692770.1709432621</v>
      </c>
      <c r="R110" s="640"/>
      <c r="S110" s="424"/>
      <c r="T110" s="453"/>
      <c r="U110" s="44"/>
      <c r="V110" s="44"/>
      <c r="W110" s="44"/>
      <c r="X110" s="44"/>
      <c r="Y110" s="44"/>
      <c r="Z110" s="44"/>
      <c r="AA110" s="44"/>
      <c r="AB110" s="44"/>
      <c r="AC110" s="44"/>
      <c r="AD110" s="44"/>
    </row>
    <row r="111" spans="1:30" s="405" customFormat="1" ht="15" customHeight="1">
      <c r="A111" s="641"/>
      <c r="B111" s="851"/>
      <c r="C111" s="852"/>
      <c r="D111" s="849"/>
      <c r="E111" s="849"/>
      <c r="F111" s="849"/>
      <c r="G111" s="849"/>
      <c r="H111" s="849"/>
      <c r="I111" s="849"/>
      <c r="J111" s="242" t="s">
        <v>1081</v>
      </c>
      <c r="K111" s="295" t="s">
        <v>1577</v>
      </c>
      <c r="L111" s="206">
        <v>436611.79525098577</v>
      </c>
      <c r="M111" s="635">
        <v>933632.47351523605</v>
      </c>
      <c r="N111" s="635">
        <v>1768411.90934356</v>
      </c>
      <c r="O111" s="635">
        <v>868009.32720006036</v>
      </c>
      <c r="P111" s="635">
        <v>581704.79792288283</v>
      </c>
      <c r="Q111" s="635">
        <f>VLOOKUP(C110, '2021_Internal_ModelLink'!$A$3:$Z$1000, 16, 0)</f>
        <v>6111735.9349548295</v>
      </c>
      <c r="R111" s="640"/>
      <c r="S111" s="424"/>
      <c r="T111" s="453"/>
      <c r="U111" s="44"/>
      <c r="V111" s="44"/>
      <c r="W111" s="44"/>
      <c r="X111" s="44"/>
      <c r="Y111" s="44"/>
      <c r="Z111" s="44"/>
      <c r="AA111" s="44"/>
      <c r="AB111" s="44"/>
      <c r="AC111" s="44"/>
      <c r="AD111" s="44"/>
    </row>
    <row r="112" spans="1:30" s="405" customFormat="1" ht="15.75">
      <c r="A112" s="652"/>
      <c r="B112" s="161"/>
      <c r="C112" s="48"/>
      <c r="D112" s="47"/>
      <c r="E112" s="47"/>
      <c r="F112" s="47"/>
      <c r="G112" s="47"/>
      <c r="H112" s="47"/>
      <c r="I112" s="47"/>
      <c r="J112" s="47"/>
      <c r="K112" s="47"/>
      <c r="L112" s="47"/>
      <c r="M112" s="653"/>
      <c r="N112" s="653"/>
      <c r="O112" s="653"/>
      <c r="P112" s="653"/>
      <c r="Q112" s="653"/>
      <c r="R112" s="468"/>
      <c r="S112" s="43"/>
      <c r="T112" s="453"/>
      <c r="U112" s="44"/>
      <c r="V112" s="44"/>
      <c r="W112" s="44"/>
      <c r="X112" s="44"/>
      <c r="Y112" s="44"/>
      <c r="Z112" s="44"/>
      <c r="AA112" s="44"/>
      <c r="AB112" s="44"/>
      <c r="AC112" s="44"/>
      <c r="AD112" s="44"/>
    </row>
    <row r="113" spans="1:30" s="405" customFormat="1">
      <c r="B113" s="49"/>
      <c r="C113" s="65"/>
      <c r="D113" s="75"/>
      <c r="E113" s="75"/>
      <c r="F113" s="75"/>
      <c r="G113" s="75"/>
      <c r="H113" s="75"/>
      <c r="I113" s="75"/>
      <c r="J113" s="42"/>
      <c r="L113" s="53"/>
      <c r="M113" s="648"/>
      <c r="N113" s="648"/>
      <c r="O113" s="648"/>
      <c r="P113" s="648"/>
      <c r="Q113" s="648"/>
      <c r="R113" s="203"/>
    </row>
    <row r="114" spans="1:30" s="405" customFormat="1" ht="30" customHeight="1">
      <c r="A114" s="856" t="s">
        <v>1578</v>
      </c>
      <c r="B114" s="170" t="s">
        <v>1579</v>
      </c>
      <c r="C114" s="170"/>
      <c r="D114" s="170"/>
      <c r="E114" s="170"/>
      <c r="F114" s="381"/>
      <c r="G114" s="594"/>
      <c r="H114" s="594"/>
      <c r="I114" s="594"/>
      <c r="J114" s="114"/>
      <c r="K114" s="114"/>
      <c r="L114" s="122"/>
      <c r="M114" s="636"/>
      <c r="N114" s="636"/>
      <c r="O114" s="637"/>
      <c r="P114" s="637"/>
      <c r="Q114" s="637"/>
      <c r="R114" s="229"/>
      <c r="S114" s="43"/>
      <c r="T114" s="454"/>
      <c r="U114" s="44"/>
      <c r="V114" s="44"/>
      <c r="W114" s="44"/>
      <c r="X114" s="44"/>
      <c r="Y114" s="44"/>
      <c r="Z114" s="44"/>
      <c r="AA114" s="44"/>
      <c r="AB114" s="44"/>
      <c r="AC114" s="44"/>
      <c r="AD114" s="44"/>
    </row>
    <row r="115" spans="1:30" s="405" customFormat="1" ht="18.75" customHeight="1">
      <c r="A115" s="857"/>
      <c r="B115" s="850" t="s">
        <v>97</v>
      </c>
      <c r="C115" s="852">
        <v>134</v>
      </c>
      <c r="D115" s="849">
        <f t="shared" ref="D115:I115" si="23">L115/L116</f>
        <v>694.25857685114306</v>
      </c>
      <c r="E115" s="849">
        <f t="shared" si="23"/>
        <v>1404.4703619909544</v>
      </c>
      <c r="F115" s="849">
        <f t="shared" si="23"/>
        <v>1217.9598725917929</v>
      </c>
      <c r="G115" s="849">
        <f t="shared" si="23"/>
        <v>825.28937287500628</v>
      </c>
      <c r="H115" s="849">
        <f t="shared" si="23"/>
        <v>584.35540495313512</v>
      </c>
      <c r="I115" s="849">
        <f t="shared" si="23"/>
        <v>325.70631405801606</v>
      </c>
      <c r="J115" s="242" t="str">
        <f>"N"&amp;C115</f>
        <v>N134</v>
      </c>
      <c r="K115" s="235" t="s">
        <v>1580</v>
      </c>
      <c r="L115" s="212">
        <v>7562945.8179578818</v>
      </c>
      <c r="M115" s="634">
        <v>11848054.973561184</v>
      </c>
      <c r="N115" s="634">
        <v>4905464.3588952608</v>
      </c>
      <c r="O115" s="634">
        <v>4964216.6223139847</v>
      </c>
      <c r="P115" s="634">
        <v>2930923.4211499877</v>
      </c>
      <c r="Q115" s="634">
        <f>VLOOKUP(C115, '2021_Internal_ModelLink'!$A$3:$Z$1000, 15, 0)</f>
        <v>1743739.6291396811</v>
      </c>
      <c r="R115" s="853"/>
      <c r="S115" s="424"/>
      <c r="T115" s="454"/>
      <c r="U115" s="44"/>
      <c r="V115" s="44"/>
      <c r="W115" s="44"/>
      <c r="X115" s="44"/>
      <c r="Y115" s="44"/>
      <c r="Z115" s="44"/>
      <c r="AA115" s="44"/>
      <c r="AB115" s="44"/>
      <c r="AC115" s="44"/>
      <c r="AD115" s="44"/>
    </row>
    <row r="116" spans="1:30" s="405" customFormat="1" ht="18.75" customHeight="1">
      <c r="A116" s="857"/>
      <c r="B116" s="851"/>
      <c r="C116" s="852"/>
      <c r="D116" s="849"/>
      <c r="E116" s="849"/>
      <c r="F116" s="849"/>
      <c r="G116" s="849"/>
      <c r="H116" s="849"/>
      <c r="I116" s="849"/>
      <c r="J116" s="242" t="str">
        <f>"D"&amp;C115</f>
        <v>D134</v>
      </c>
      <c r="K116" s="629" t="s">
        <v>1784</v>
      </c>
      <c r="L116" s="206">
        <v>10893.557631308116</v>
      </c>
      <c r="M116" s="635">
        <v>8435.9594151674191</v>
      </c>
      <c r="N116" s="635">
        <f>N105</f>
        <v>4027.6075339465301</v>
      </c>
      <c r="O116" s="635">
        <v>6015.1224352016916</v>
      </c>
      <c r="P116" s="635">
        <v>5015.6521122364666</v>
      </c>
      <c r="Q116" s="635">
        <f>VLOOKUP(C115, '2021_Internal_ModelLink'!$A$3:$Z$1000, 16, 0)</f>
        <v>5353.7176096287758</v>
      </c>
      <c r="R116" s="853"/>
      <c r="S116" s="424"/>
      <c r="T116" s="454"/>
      <c r="U116" s="44"/>
      <c r="V116" s="44"/>
      <c r="W116" s="44"/>
      <c r="X116" s="44"/>
      <c r="Y116" s="44"/>
      <c r="Z116" s="44"/>
      <c r="AA116" s="44"/>
      <c r="AB116" s="44"/>
      <c r="AC116" s="44"/>
      <c r="AD116" s="44"/>
    </row>
    <row r="117" spans="1:30" s="44" customFormat="1" ht="15" customHeight="1">
      <c r="A117" s="857"/>
      <c r="B117" s="418"/>
      <c r="C117" s="573"/>
      <c r="D117" s="419"/>
      <c r="E117" s="419"/>
      <c r="F117" s="419"/>
      <c r="G117" s="419"/>
      <c r="H117" s="419"/>
      <c r="I117" s="419"/>
      <c r="J117" s="420"/>
      <c r="K117" s="421"/>
      <c r="L117" s="422"/>
      <c r="M117" s="422"/>
      <c r="N117" s="459"/>
      <c r="O117" s="459"/>
      <c r="P117" s="459"/>
      <c r="Q117" s="459"/>
      <c r="R117" s="642"/>
      <c r="S117" s="424"/>
      <c r="T117" s="453"/>
    </row>
    <row r="118" spans="1:30" s="405" customFormat="1" ht="18.75" customHeight="1">
      <c r="A118" s="857"/>
      <c r="B118" s="850" t="s">
        <v>98</v>
      </c>
      <c r="C118" s="852">
        <v>135</v>
      </c>
      <c r="D118" s="849">
        <f t="shared" ref="D118:I118" si="24">L118/L119</f>
        <v>0.18577908337454674</v>
      </c>
      <c r="E118" s="849">
        <f t="shared" si="24"/>
        <v>0.14722508249544294</v>
      </c>
      <c r="F118" s="849">
        <f t="shared" si="24"/>
        <v>0.24315208984559331</v>
      </c>
      <c r="G118" s="849">
        <f t="shared" si="24"/>
        <v>0.16251825896251382</v>
      </c>
      <c r="H118" s="849">
        <f t="shared" si="24"/>
        <v>0.12932561621536287</v>
      </c>
      <c r="I118" s="849">
        <f t="shared" si="24"/>
        <v>7.9685863088641382E-2</v>
      </c>
      <c r="J118" s="242" t="str">
        <f>"N"&amp;C118</f>
        <v>N135</v>
      </c>
      <c r="K118" s="235" t="s">
        <v>1580</v>
      </c>
      <c r="L118" s="212">
        <v>7562945.8179578818</v>
      </c>
      <c r="M118" s="635">
        <v>11848054.973561184</v>
      </c>
      <c r="N118" s="634">
        <f>N115</f>
        <v>4905464.3588952608</v>
      </c>
      <c r="O118" s="634">
        <v>4964216.6223139847</v>
      </c>
      <c r="P118" s="634">
        <v>2930923.4211499877</v>
      </c>
      <c r="Q118" s="634">
        <f>VLOOKUP(C118, '2021_Internal_ModelLink'!$A$3:$Z$1000, 15, 0)</f>
        <v>1743739.6291396811</v>
      </c>
      <c r="R118" s="560"/>
      <c r="S118" s="424"/>
      <c r="T118" s="453"/>
      <c r="U118" s="44"/>
      <c r="V118" s="44"/>
      <c r="W118" s="44"/>
      <c r="X118" s="44"/>
      <c r="Y118" s="44"/>
      <c r="Z118" s="44"/>
      <c r="AA118" s="44"/>
      <c r="AB118" s="44"/>
      <c r="AC118" s="44"/>
      <c r="AD118" s="44"/>
    </row>
    <row r="119" spans="1:30" s="405" customFormat="1" ht="18.75" customHeight="1">
      <c r="A119" s="857"/>
      <c r="B119" s="851"/>
      <c r="C119" s="852"/>
      <c r="D119" s="849"/>
      <c r="E119" s="849"/>
      <c r="F119" s="849"/>
      <c r="G119" s="849"/>
      <c r="H119" s="849"/>
      <c r="I119" s="849"/>
      <c r="J119" s="242" t="str">
        <f>"D"&amp;C118</f>
        <v>D135</v>
      </c>
      <c r="K119" s="629" t="s">
        <v>1849</v>
      </c>
      <c r="L119" s="206">
        <v>40709350.485438272</v>
      </c>
      <c r="M119" s="635">
        <v>80475791.031924993</v>
      </c>
      <c r="N119" s="635">
        <f>N108</f>
        <v>20174469.2468419</v>
      </c>
      <c r="O119" s="635">
        <v>30545593.178296492</v>
      </c>
      <c r="P119" s="635">
        <v>22663131.303153358</v>
      </c>
      <c r="Q119" s="635">
        <f>VLOOKUP(C118, '2021_Internal_ModelLink'!$A$3:$Z$1000, 16, 0)</f>
        <v>21882672.302864697</v>
      </c>
      <c r="R119" s="560"/>
      <c r="S119" s="424"/>
      <c r="T119" s="453"/>
      <c r="U119" s="44"/>
      <c r="V119" s="44"/>
      <c r="W119" s="44"/>
      <c r="X119" s="44"/>
      <c r="Y119" s="44"/>
      <c r="Z119" s="44"/>
      <c r="AA119" s="44"/>
      <c r="AB119" s="44"/>
      <c r="AC119" s="44"/>
      <c r="AD119" s="44"/>
    </row>
    <row r="120" spans="1:30" s="405" customFormat="1" ht="18.75" customHeight="1">
      <c r="A120" s="857"/>
      <c r="B120" s="58"/>
      <c r="C120" s="573"/>
      <c r="D120" s="207"/>
      <c r="E120" s="207"/>
      <c r="F120" s="380"/>
      <c r="G120" s="380"/>
      <c r="H120" s="380"/>
      <c r="I120" s="380"/>
      <c r="J120" s="263"/>
      <c r="K120" s="58"/>
      <c r="L120" s="125"/>
      <c r="M120" s="632"/>
      <c r="N120" s="422"/>
      <c r="O120" s="422"/>
      <c r="P120" s="422"/>
      <c r="Q120" s="422"/>
      <c r="R120" s="568"/>
      <c r="S120" s="424"/>
      <c r="T120" s="453"/>
      <c r="U120" s="44"/>
      <c r="V120" s="44"/>
      <c r="W120" s="44"/>
      <c r="X120" s="44"/>
      <c r="Y120" s="44"/>
      <c r="Z120" s="44"/>
      <c r="AA120" s="44"/>
      <c r="AB120" s="44"/>
      <c r="AC120" s="44"/>
      <c r="AD120" s="44"/>
    </row>
    <row r="121" spans="1:30" s="405" customFormat="1" ht="18.75" customHeight="1">
      <c r="A121" s="857"/>
      <c r="B121" s="850" t="s">
        <v>99</v>
      </c>
      <c r="C121" s="852">
        <v>136</v>
      </c>
      <c r="D121" s="849">
        <f t="shared" ref="D121:I121" si="25">L121/L122</f>
        <v>1.1802652178599251</v>
      </c>
      <c r="E121" s="849">
        <f t="shared" si="25"/>
        <v>1.1895432281369684</v>
      </c>
      <c r="F121" s="849">
        <f t="shared" si="25"/>
        <v>1.626305568224182</v>
      </c>
      <c r="G121" s="849">
        <f t="shared" si="25"/>
        <v>1.6007025637363108</v>
      </c>
      <c r="H121" s="849">
        <f t="shared" si="25"/>
        <v>1.1250943951895929</v>
      </c>
      <c r="I121" s="849">
        <f t="shared" si="25"/>
        <v>0.79514349619461455</v>
      </c>
      <c r="J121" s="242" t="str">
        <f>"N"&amp;C121</f>
        <v>N136</v>
      </c>
      <c r="K121" s="235" t="s">
        <v>1580</v>
      </c>
      <c r="L121" s="212">
        <v>515317.71564211778</v>
      </c>
      <c r="M121" s="634">
        <v>1110596.1864388166</v>
      </c>
      <c r="N121" s="634">
        <v>2875978.135079389</v>
      </c>
      <c r="O121" s="634">
        <v>1389424.7553961668</v>
      </c>
      <c r="P121" s="634">
        <v>654472.8077979302</v>
      </c>
      <c r="Q121" s="634">
        <f>VLOOKUP(C121, '2021_Internal_ModelLink'!$A$3:$Z$1000, 15, 0)</f>
        <v>4859707.0791382445</v>
      </c>
      <c r="R121" s="853"/>
      <c r="S121" s="424"/>
      <c r="T121" s="453"/>
      <c r="U121" s="44"/>
      <c r="V121" s="44"/>
      <c r="W121" s="44"/>
      <c r="X121" s="44"/>
      <c r="Y121" s="44"/>
      <c r="Z121" s="44"/>
      <c r="AA121" s="44"/>
      <c r="AB121" s="44"/>
      <c r="AC121" s="44"/>
      <c r="AD121" s="44"/>
    </row>
    <row r="122" spans="1:30" s="405" customFormat="1" ht="15" customHeight="1">
      <c r="A122" s="859"/>
      <c r="B122" s="865"/>
      <c r="C122" s="866"/>
      <c r="D122" s="854"/>
      <c r="E122" s="854"/>
      <c r="F122" s="854"/>
      <c r="G122" s="854"/>
      <c r="H122" s="854"/>
      <c r="I122" s="854"/>
      <c r="J122" s="242" t="str">
        <f>"D"&amp;C121</f>
        <v>D136</v>
      </c>
      <c r="K122" s="296" t="s">
        <v>1581</v>
      </c>
      <c r="L122" s="289">
        <v>436611.79525098577</v>
      </c>
      <c r="M122" s="638">
        <v>933632.47351523605</v>
      </c>
      <c r="N122" s="638">
        <f>N111</f>
        <v>1768411.90934356</v>
      </c>
      <c r="O122" s="638">
        <v>868009.32720006036</v>
      </c>
      <c r="P122" s="638">
        <v>581704.79792288283</v>
      </c>
      <c r="Q122" s="638">
        <f>VLOOKUP(C121, '2021_Internal_ModelLink'!$A$3:$Z$1000, 16, 0)</f>
        <v>6111735.9349548295</v>
      </c>
      <c r="R122" s="855"/>
      <c r="S122" s="424"/>
      <c r="T122" s="453"/>
      <c r="U122" s="44"/>
      <c r="V122" s="44"/>
      <c r="W122" s="44"/>
      <c r="X122" s="44"/>
      <c r="Y122" s="44"/>
      <c r="Z122" s="44"/>
      <c r="AA122" s="44"/>
      <c r="AB122" s="44"/>
      <c r="AC122" s="44"/>
      <c r="AD122" s="44"/>
    </row>
    <row r="123" spans="1:30" s="405" customFormat="1" ht="15.95" customHeight="1">
      <c r="A123" s="49"/>
      <c r="D123" s="118"/>
      <c r="E123" s="118"/>
      <c r="F123" s="118"/>
      <c r="G123" s="118"/>
      <c r="H123" s="118"/>
      <c r="I123" s="118"/>
      <c r="J123" s="59"/>
      <c r="K123" s="238"/>
      <c r="L123" s="208"/>
      <c r="M123" s="649"/>
      <c r="N123" s="649"/>
      <c r="O123" s="649"/>
      <c r="P123" s="649"/>
      <c r="Q123" s="649"/>
      <c r="R123" s="173"/>
      <c r="T123" s="452"/>
    </row>
    <row r="124" spans="1:30" s="41" customFormat="1" ht="30.75" customHeight="1">
      <c r="A124" s="914" t="s">
        <v>1677</v>
      </c>
      <c r="B124" s="126" t="s">
        <v>1678</v>
      </c>
      <c r="C124" s="114"/>
      <c r="D124" s="115"/>
      <c r="E124" s="115"/>
      <c r="F124" s="115"/>
      <c r="G124" s="602"/>
      <c r="H124" s="602"/>
      <c r="I124" s="602"/>
      <c r="J124" s="114"/>
      <c r="K124" s="114"/>
      <c r="L124" s="187"/>
      <c r="M124" s="695"/>
      <c r="N124" s="695"/>
      <c r="O124" s="696"/>
      <c r="P124" s="696"/>
      <c r="Q124" s="696"/>
      <c r="R124" s="921"/>
      <c r="S124" s="405"/>
      <c r="T124" s="405"/>
      <c r="U124" s="405"/>
      <c r="V124" s="405"/>
      <c r="W124" s="405"/>
      <c r="X124" s="405"/>
      <c r="Y124" s="405"/>
      <c r="Z124" s="405"/>
      <c r="AA124" s="405"/>
      <c r="AB124" s="405"/>
      <c r="AC124" s="405"/>
      <c r="AD124" s="405"/>
    </row>
    <row r="125" spans="1:30" s="41" customFormat="1" ht="17.25">
      <c r="A125" s="915"/>
      <c r="B125" s="886" t="s">
        <v>1679</v>
      </c>
      <c r="C125" s="888">
        <v>137</v>
      </c>
      <c r="D125" s="890" t="s">
        <v>1680</v>
      </c>
      <c r="E125" s="894">
        <f>M125/M126</f>
        <v>11637.730820685565</v>
      </c>
      <c r="F125" s="894">
        <f>N125/N126</f>
        <v>11337.076056072163</v>
      </c>
      <c r="G125" s="894">
        <f>O125/O126</f>
        <v>19111.341880527707</v>
      </c>
      <c r="H125" s="894">
        <f>P125/P126</f>
        <v>20105.600659819589</v>
      </c>
      <c r="I125" s="894">
        <f>Q125/Q126</f>
        <v>23727.45633042348</v>
      </c>
      <c r="J125" s="242" t="str">
        <f>"N"&amp;C125</f>
        <v>N137</v>
      </c>
      <c r="K125" s="697" t="s">
        <v>1868</v>
      </c>
      <c r="L125" s="890" t="s">
        <v>59</v>
      </c>
      <c r="M125" s="698">
        <v>5593384375.6919994</v>
      </c>
      <c r="N125" s="698">
        <f>+(5547439502811.69/3412.142)*3.412</f>
        <v>5547208640.0839968</v>
      </c>
      <c r="O125" s="698">
        <v>8787280328.6153564</v>
      </c>
      <c r="P125" s="698">
        <v>9355296831.819334</v>
      </c>
      <c r="Q125" s="698">
        <f>VLOOKUP(C125, '2021_Internal_ModelLink'!$A$3:$Z$1000, 15, 0)</f>
        <v>10948892358.935932</v>
      </c>
      <c r="R125" s="922"/>
      <c r="S125" s="405"/>
      <c r="T125" s="405"/>
      <c r="U125" s="405"/>
      <c r="V125" s="405"/>
      <c r="W125" s="405"/>
      <c r="X125" s="405"/>
      <c r="Y125" s="405"/>
      <c r="Z125" s="405"/>
      <c r="AA125" s="405"/>
      <c r="AB125" s="405"/>
      <c r="AC125" s="405"/>
      <c r="AD125" s="405"/>
    </row>
    <row r="126" spans="1:30" s="41" customFormat="1" ht="15.95" customHeight="1">
      <c r="A126" s="915"/>
      <c r="B126" s="886"/>
      <c r="C126" s="917"/>
      <c r="D126" s="920"/>
      <c r="E126" s="894"/>
      <c r="F126" s="894"/>
      <c r="G126" s="894"/>
      <c r="H126" s="894"/>
      <c r="I126" s="894"/>
      <c r="J126" s="242" t="str">
        <f>"D"&amp;C125</f>
        <v>D137</v>
      </c>
      <c r="K126" s="244" t="s">
        <v>1681</v>
      </c>
      <c r="L126" s="920"/>
      <c r="M126" s="699">
        <v>480625</v>
      </c>
      <c r="N126" s="699">
        <v>489298</v>
      </c>
      <c r="O126" s="699">
        <v>459794</v>
      </c>
      <c r="P126" s="699">
        <v>465308</v>
      </c>
      <c r="Q126" s="699">
        <f>VLOOKUP(C125, '2021_Internal_ModelLink'!$A$3:$Z$1000, 16, 0)</f>
        <v>461444</v>
      </c>
      <c r="R126" s="910"/>
      <c r="S126" s="405"/>
      <c r="T126" s="405"/>
      <c r="U126" s="405"/>
      <c r="V126" s="405"/>
      <c r="W126" s="405"/>
      <c r="X126" s="405"/>
      <c r="Y126" s="405"/>
      <c r="Z126" s="405"/>
      <c r="AA126" s="405"/>
      <c r="AB126" s="405"/>
      <c r="AC126" s="405"/>
      <c r="AD126" s="405"/>
    </row>
    <row r="127" spans="1:30" s="41" customFormat="1" ht="15.95" customHeight="1">
      <c r="A127" s="915"/>
      <c r="B127" s="58"/>
      <c r="C127" s="58"/>
      <c r="D127" s="700"/>
      <c r="E127" s="700"/>
      <c r="F127" s="700"/>
      <c r="G127" s="700"/>
      <c r="H127" s="700"/>
      <c r="I127" s="700"/>
      <c r="J127" s="58"/>
      <c r="K127" s="58"/>
      <c r="L127" s="129"/>
      <c r="M127" s="699"/>
      <c r="N127" s="699"/>
      <c r="O127" s="699"/>
      <c r="P127" s="699"/>
      <c r="Q127" s="699"/>
      <c r="R127" s="911"/>
      <c r="S127" s="405"/>
      <c r="T127" s="405"/>
      <c r="U127" s="405"/>
      <c r="V127" s="405"/>
      <c r="W127" s="405"/>
      <c r="X127" s="405"/>
      <c r="Y127" s="405"/>
      <c r="Z127" s="405"/>
      <c r="AA127" s="405"/>
      <c r="AB127" s="405"/>
      <c r="AC127" s="405"/>
      <c r="AD127" s="405"/>
    </row>
    <row r="128" spans="1:30" s="41" customFormat="1" ht="27.6" customHeight="1">
      <c r="A128" s="915"/>
      <c r="B128" s="685" t="s">
        <v>1682</v>
      </c>
      <c r="C128" s="888">
        <v>138</v>
      </c>
      <c r="D128" s="890" t="s">
        <v>1680</v>
      </c>
      <c r="E128" s="894">
        <f>M128/M129</f>
        <v>11637.730820685565</v>
      </c>
      <c r="F128" s="894">
        <f>N128/N129</f>
        <v>13.708677214113861</v>
      </c>
      <c r="G128" s="894">
        <f>O128/O129</f>
        <v>23.109240484314036</v>
      </c>
      <c r="H128" s="894">
        <f>P128/P129</f>
        <v>24.311488101353799</v>
      </c>
      <c r="I128" s="894">
        <f>Q128/Q129</f>
        <v>2.1653090281459644</v>
      </c>
      <c r="J128" s="242" t="str">
        <f>"N"&amp;C128</f>
        <v>N138</v>
      </c>
      <c r="K128" s="697" t="s">
        <v>1863</v>
      </c>
      <c r="L128" s="890" t="s">
        <v>59</v>
      </c>
      <c r="M128" s="698">
        <v>5593384375.6919994</v>
      </c>
      <c r="N128" s="698">
        <f>N125</f>
        <v>5547208640.0839968</v>
      </c>
      <c r="O128" s="698">
        <v>8787280328.6153564</v>
      </c>
      <c r="P128" s="698">
        <v>9355296831.819334</v>
      </c>
      <c r="Q128" s="698">
        <f>VLOOKUP(C128, '2021_Internal_ModelLink'!$A$3:$Z$1000, 15, 0)</f>
        <v>10948892358.935932</v>
      </c>
      <c r="R128" s="701"/>
      <c r="S128" s="405"/>
      <c r="T128" s="405"/>
      <c r="U128" s="405"/>
      <c r="V128" s="405"/>
      <c r="W128" s="405"/>
      <c r="X128" s="405"/>
      <c r="Y128" s="405"/>
      <c r="Z128" s="405"/>
      <c r="AA128" s="405"/>
      <c r="AB128" s="405"/>
      <c r="AC128" s="405"/>
      <c r="AD128" s="405"/>
    </row>
    <row r="129" spans="1:18" s="405" customFormat="1" ht="22.5" customHeight="1">
      <c r="A129" s="916"/>
      <c r="B129" s="686"/>
      <c r="C129" s="889"/>
      <c r="D129" s="891"/>
      <c r="E129" s="895"/>
      <c r="F129" s="895"/>
      <c r="G129" s="895"/>
      <c r="H129" s="895"/>
      <c r="I129" s="895"/>
      <c r="J129" s="242" t="str">
        <f>"D"&amp;C128</f>
        <v>D138</v>
      </c>
      <c r="K129" s="253" t="s">
        <v>1683</v>
      </c>
      <c r="L129" s="891"/>
      <c r="M129" s="682">
        <v>480625</v>
      </c>
      <c r="N129" s="682">
        <v>404649446</v>
      </c>
      <c r="O129" s="682">
        <v>380249638</v>
      </c>
      <c r="P129" s="682">
        <v>384809716</v>
      </c>
      <c r="Q129" s="682">
        <f>VLOOKUP(C128, '2021_Internal_ModelLink'!$A$3:$Z$1000, 16, 0)</f>
        <v>5056503352</v>
      </c>
      <c r="R129" s="406"/>
    </row>
    <row r="130" spans="1:18" s="405" customFormat="1" ht="30" customHeight="1">
      <c r="F130" s="557"/>
      <c r="G130" s="584"/>
      <c r="H130" s="690"/>
      <c r="I130" s="736"/>
      <c r="J130" s="42"/>
      <c r="R130" s="203"/>
    </row>
    <row r="131" spans="1:18" s="405" customFormat="1" ht="14.1" customHeight="1">
      <c r="F131" s="557"/>
      <c r="G131" s="584"/>
      <c r="H131" s="690"/>
      <c r="I131" s="736"/>
      <c r="J131" s="42"/>
      <c r="R131" s="203"/>
    </row>
    <row r="132" spans="1:18" s="405" customFormat="1" ht="14.1" customHeight="1">
      <c r="F132" s="557"/>
      <c r="G132" s="584"/>
      <c r="H132" s="690"/>
      <c r="I132" s="736"/>
      <c r="J132" s="42"/>
      <c r="R132" s="203"/>
    </row>
    <row r="133" spans="1:18" s="405" customFormat="1" ht="14.1" customHeight="1">
      <c r="F133" s="557"/>
      <c r="G133" s="584"/>
      <c r="H133" s="690"/>
      <c r="I133" s="736"/>
      <c r="J133" s="42"/>
      <c r="R133" s="203"/>
    </row>
    <row r="134" spans="1:18" s="42" customFormat="1" ht="14.1" customHeight="1">
      <c r="A134" s="306"/>
      <c r="R134" s="203"/>
    </row>
    <row r="135" spans="1:18" s="405" customFormat="1" ht="14.1" customHeight="1">
      <c r="A135" s="306" t="s">
        <v>1684</v>
      </c>
      <c r="R135" s="64"/>
    </row>
    <row r="136" spans="1:18" s="405" customFormat="1" ht="14.1" customHeight="1">
      <c r="A136" s="907" t="s">
        <v>1685</v>
      </c>
      <c r="B136" s="860"/>
      <c r="C136" s="860"/>
      <c r="D136" s="860"/>
      <c r="E136" s="860"/>
      <c r="R136" s="64"/>
    </row>
    <row r="137" spans="1:18" s="405" customFormat="1" ht="14.1" customHeight="1">
      <c r="A137" s="130"/>
      <c r="R137" s="64"/>
    </row>
    <row r="138" spans="1:18" s="405" customFormat="1" ht="14.1" customHeight="1">
      <c r="A138" s="464" t="s">
        <v>1686</v>
      </c>
      <c r="R138" s="64"/>
    </row>
    <row r="139" spans="1:18" ht="14.1" customHeight="1">
      <c r="A139" s="456" t="s">
        <v>1687</v>
      </c>
      <c r="L139" s="76"/>
      <c r="R139" s="38"/>
    </row>
    <row r="140" spans="1:18" ht="14.1" customHeight="1">
      <c r="L140" s="76"/>
      <c r="R140" s="38"/>
    </row>
    <row r="141" spans="1:18" ht="14.1" customHeight="1">
      <c r="A141" s="456" t="s">
        <v>1871</v>
      </c>
      <c r="L141" s="76"/>
      <c r="R141" s="38"/>
    </row>
    <row r="142" spans="1:18">
      <c r="A142" s="456" t="s">
        <v>1869</v>
      </c>
      <c r="L142" s="76"/>
      <c r="R142" s="38"/>
    </row>
    <row r="143" spans="1:18">
      <c r="L143" s="76"/>
      <c r="R143" s="38"/>
    </row>
    <row r="144" spans="1:18">
      <c r="L144" s="76"/>
      <c r="R144" s="38"/>
    </row>
    <row r="145" spans="12:18">
      <c r="L145" s="76"/>
      <c r="R145" s="38"/>
    </row>
    <row r="146" spans="12:18">
      <c r="L146" s="76"/>
      <c r="R146" s="38"/>
    </row>
    <row r="147" spans="12:18">
      <c r="L147" s="76"/>
      <c r="R147" s="38"/>
    </row>
    <row r="148" spans="12:18">
      <c r="L148" s="76"/>
      <c r="R148" s="38"/>
    </row>
    <row r="149" spans="12:18">
      <c r="L149" s="76"/>
      <c r="R149" s="38"/>
    </row>
    <row r="150" spans="12:18">
      <c r="L150" s="76"/>
      <c r="R150" s="38"/>
    </row>
    <row r="151" spans="12:18">
      <c r="L151" s="76"/>
      <c r="R151" s="38"/>
    </row>
    <row r="152" spans="12:18">
      <c r="L152" s="76"/>
      <c r="R152" s="38"/>
    </row>
    <row r="153" spans="12:18">
      <c r="L153" s="76"/>
      <c r="R153" s="38"/>
    </row>
  </sheetData>
  <mergeCells count="214">
    <mergeCell ref="H125:H126"/>
    <mergeCell ref="H128:H129"/>
    <mergeCell ref="H80:H81"/>
    <mergeCell ref="H83:H84"/>
    <mergeCell ref="H86:H87"/>
    <mergeCell ref="H89:H90"/>
    <mergeCell ref="H92:H93"/>
    <mergeCell ref="H96:H97"/>
    <mergeCell ref="H100:H101"/>
    <mergeCell ref="H104:H105"/>
    <mergeCell ref="H107:H108"/>
    <mergeCell ref="H49:H50"/>
    <mergeCell ref="H52:H53"/>
    <mergeCell ref="H55:H56"/>
    <mergeCell ref="H60:H61"/>
    <mergeCell ref="H63:H64"/>
    <mergeCell ref="H66:H67"/>
    <mergeCell ref="H70:H71"/>
    <mergeCell ref="H73:H74"/>
    <mergeCell ref="H76:H77"/>
    <mergeCell ref="G125:G126"/>
    <mergeCell ref="G128:G129"/>
    <mergeCell ref="G80:G81"/>
    <mergeCell ref="G83:G84"/>
    <mergeCell ref="G86:G87"/>
    <mergeCell ref="G89:G90"/>
    <mergeCell ref="G92:G93"/>
    <mergeCell ref="G96:G97"/>
    <mergeCell ref="G100:G101"/>
    <mergeCell ref="G104:G105"/>
    <mergeCell ref="G107:G108"/>
    <mergeCell ref="G49:G50"/>
    <mergeCell ref="G52:G53"/>
    <mergeCell ref="G55:G56"/>
    <mergeCell ref="G63:G64"/>
    <mergeCell ref="G66:G67"/>
    <mergeCell ref="G70:G71"/>
    <mergeCell ref="G73:G74"/>
    <mergeCell ref="G76:G77"/>
    <mergeCell ref="G60:G61"/>
    <mergeCell ref="A69:A77"/>
    <mergeCell ref="B76:B77"/>
    <mergeCell ref="C76:C77"/>
    <mergeCell ref="B80:B81"/>
    <mergeCell ref="C80:C81"/>
    <mergeCell ref="D80:D81"/>
    <mergeCell ref="A79:A93"/>
    <mergeCell ref="F80:F81"/>
    <mergeCell ref="F83:F84"/>
    <mergeCell ref="R107:R108"/>
    <mergeCell ref="A114:A122"/>
    <mergeCell ref="B115:B116"/>
    <mergeCell ref="C115:C116"/>
    <mergeCell ref="D115:D116"/>
    <mergeCell ref="E115:E116"/>
    <mergeCell ref="B121:B122"/>
    <mergeCell ref="C121:C122"/>
    <mergeCell ref="D121:D122"/>
    <mergeCell ref="E121:E122"/>
    <mergeCell ref="B118:B119"/>
    <mergeCell ref="C118:C119"/>
    <mergeCell ref="D118:D119"/>
    <mergeCell ref="E118:E119"/>
    <mergeCell ref="G110:G111"/>
    <mergeCell ref="G115:G116"/>
    <mergeCell ref="G118:G119"/>
    <mergeCell ref="G121:G122"/>
    <mergeCell ref="H110:H111"/>
    <mergeCell ref="H115:H116"/>
    <mergeCell ref="H118:H119"/>
    <mergeCell ref="H121:H122"/>
    <mergeCell ref="I110:I111"/>
    <mergeCell ref="I115:I116"/>
    <mergeCell ref="A3:A43"/>
    <mergeCell ref="B60:B61"/>
    <mergeCell ref="C60:C61"/>
    <mergeCell ref="D60:D61"/>
    <mergeCell ref="E60:E61"/>
    <mergeCell ref="A45:A46"/>
    <mergeCell ref="A59:A67"/>
    <mergeCell ref="D63:D64"/>
    <mergeCell ref="E63:E64"/>
    <mergeCell ref="B66:B67"/>
    <mergeCell ref="C66:C67"/>
    <mergeCell ref="D66:D67"/>
    <mergeCell ref="E66:E67"/>
    <mergeCell ref="B63:B64"/>
    <mergeCell ref="C63:C64"/>
    <mergeCell ref="A48:A56"/>
    <mergeCell ref="B55:B56"/>
    <mergeCell ref="B45:E45"/>
    <mergeCell ref="F49:F50"/>
    <mergeCell ref="B70:B71"/>
    <mergeCell ref="C70:C71"/>
    <mergeCell ref="D70:D71"/>
    <mergeCell ref="E70:E71"/>
    <mergeCell ref="F70:F71"/>
    <mergeCell ref="F55:F56"/>
    <mergeCell ref="F52:F53"/>
    <mergeCell ref="F60:F61"/>
    <mergeCell ref="F63:F64"/>
    <mergeCell ref="F66:F67"/>
    <mergeCell ref="C55:C56"/>
    <mergeCell ref="D55:D56"/>
    <mergeCell ref="E55:E56"/>
    <mergeCell ref="B52:B53"/>
    <mergeCell ref="C52:C53"/>
    <mergeCell ref="D52:D53"/>
    <mergeCell ref="E52:E53"/>
    <mergeCell ref="B49:B50"/>
    <mergeCell ref="C49:C50"/>
    <mergeCell ref="D49:D50"/>
    <mergeCell ref="E49:E50"/>
    <mergeCell ref="R45:R46"/>
    <mergeCell ref="D92:D93"/>
    <mergeCell ref="E92:E93"/>
    <mergeCell ref="D125:D126"/>
    <mergeCell ref="E125:E126"/>
    <mergeCell ref="D96:D97"/>
    <mergeCell ref="D86:D87"/>
    <mergeCell ref="E86:E87"/>
    <mergeCell ref="F121:F122"/>
    <mergeCell ref="R121:R122"/>
    <mergeCell ref="L125:L126"/>
    <mergeCell ref="F115:F116"/>
    <mergeCell ref="R115:R116"/>
    <mergeCell ref="F118:F119"/>
    <mergeCell ref="R124:R125"/>
    <mergeCell ref="R49:R50"/>
    <mergeCell ref="D73:D74"/>
    <mergeCell ref="E73:E74"/>
    <mergeCell ref="F73:F74"/>
    <mergeCell ref="D76:D77"/>
    <mergeCell ref="E76:E77"/>
    <mergeCell ref="F76:F77"/>
    <mergeCell ref="D104:D105"/>
    <mergeCell ref="E104:E105"/>
    <mergeCell ref="A95:A97"/>
    <mergeCell ref="B92:B93"/>
    <mergeCell ref="C92:C93"/>
    <mergeCell ref="A124:A129"/>
    <mergeCell ref="B125:B126"/>
    <mergeCell ref="C125:C126"/>
    <mergeCell ref="C128:C129"/>
    <mergeCell ref="C96:C97"/>
    <mergeCell ref="C86:C87"/>
    <mergeCell ref="B89:B90"/>
    <mergeCell ref="A103:A108"/>
    <mergeCell ref="C89:C90"/>
    <mergeCell ref="D128:D129"/>
    <mergeCell ref="E128:E129"/>
    <mergeCell ref="E80:E81"/>
    <mergeCell ref="D83:D84"/>
    <mergeCell ref="E83:E84"/>
    <mergeCell ref="F125:F126"/>
    <mergeCell ref="F128:F129"/>
    <mergeCell ref="B86:B87"/>
    <mergeCell ref="B73:B74"/>
    <mergeCell ref="C73:C74"/>
    <mergeCell ref="D107:D108"/>
    <mergeCell ref="E107:E108"/>
    <mergeCell ref="F107:F108"/>
    <mergeCell ref="F86:F87"/>
    <mergeCell ref="F89:F90"/>
    <mergeCell ref="F92:F93"/>
    <mergeCell ref="C83:C84"/>
    <mergeCell ref="D89:D90"/>
    <mergeCell ref="E89:E90"/>
    <mergeCell ref="A136:E136"/>
    <mergeCell ref="B100:B101"/>
    <mergeCell ref="C100:C101"/>
    <mergeCell ref="D100:D101"/>
    <mergeCell ref="E100:E101"/>
    <mergeCell ref="R126:R127"/>
    <mergeCell ref="B83:B84"/>
    <mergeCell ref="B96:B97"/>
    <mergeCell ref="F96:F97"/>
    <mergeCell ref="F100:F101"/>
    <mergeCell ref="L128:L129"/>
    <mergeCell ref="B104:B105"/>
    <mergeCell ref="C104:C105"/>
    <mergeCell ref="F104:F105"/>
    <mergeCell ref="E96:E97"/>
    <mergeCell ref="A99:A101"/>
    <mergeCell ref="B110:B111"/>
    <mergeCell ref="C110:C111"/>
    <mergeCell ref="D110:D111"/>
    <mergeCell ref="E110:E111"/>
    <mergeCell ref="F110:F111"/>
    <mergeCell ref="R104:R105"/>
    <mergeCell ref="B107:B108"/>
    <mergeCell ref="C107:C108"/>
    <mergeCell ref="I49:I50"/>
    <mergeCell ref="I52:I53"/>
    <mergeCell ref="I55:I56"/>
    <mergeCell ref="I60:I61"/>
    <mergeCell ref="I63:I64"/>
    <mergeCell ref="I66:I67"/>
    <mergeCell ref="I70:I71"/>
    <mergeCell ref="I73:I74"/>
    <mergeCell ref="I76:I77"/>
    <mergeCell ref="I118:I119"/>
    <mergeCell ref="I121:I122"/>
    <mergeCell ref="I125:I126"/>
    <mergeCell ref="I128:I129"/>
    <mergeCell ref="I80:I81"/>
    <mergeCell ref="I83:I84"/>
    <mergeCell ref="I86:I87"/>
    <mergeCell ref="I89:I90"/>
    <mergeCell ref="I92:I93"/>
    <mergeCell ref="I96:I97"/>
    <mergeCell ref="I100:I101"/>
    <mergeCell ref="I104:I105"/>
    <mergeCell ref="I107:I108"/>
  </mergeCells>
  <pageMargins left="0.7" right="0.7" top="0.75" bottom="0.75" header="0.3" footer="0.3"/>
  <pageSetup scale="75" fitToWidth="0" fitToHeight="0" orientation="landscape" r:id="rId1"/>
  <headerFooter>
    <oddFooter>&amp;RMay 1, 2019</oddFooter>
  </headerFooter>
  <rowBreaks count="2" manualBreakCount="2">
    <brk id="78" max="16383" man="1"/>
    <brk id="94" max="16383" man="1"/>
  </rowBreaks>
  <colBreaks count="2" manualBreakCount="2">
    <brk id="9" max="1048575" man="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7">
    <tabColor rgb="FF92D050"/>
  </sheetPr>
  <dimension ref="A1:A3"/>
  <sheetViews>
    <sheetView zoomScaleNormal="100" workbookViewId="0">
      <selection activeCell="A2" sqref="A2"/>
    </sheetView>
  </sheetViews>
  <sheetFormatPr defaultColWidth="9.140625" defaultRowHeight="15"/>
  <cols>
    <col min="1" max="1" width="90.7109375" style="1" customWidth="1"/>
    <col min="2" max="16384" width="9.140625" style="1"/>
  </cols>
  <sheetData>
    <row r="1" spans="1:1" ht="26.25">
      <c r="A1" s="553" t="s">
        <v>1688</v>
      </c>
    </row>
    <row r="2" spans="1:1" ht="18.75">
      <c r="A2" s="8" t="s">
        <v>2231</v>
      </c>
    </row>
    <row r="3" spans="1:1" ht="18.75">
      <c r="A3" s="7"/>
    </row>
  </sheetData>
  <pageMargins left="0.7" right="0.7" top="0.75" bottom="0.75" header="0.3" footer="0.3"/>
  <pageSetup fitToHeight="0" orientation="portrait" r:id="rId1"/>
  <headerFooter>
    <oddFooter>&amp;RMay 1, 2019</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D160"/>
  <sheetViews>
    <sheetView zoomScale="70" zoomScaleNormal="70" zoomScaleSheetLayoutView="90" workbookViewId="0"/>
  </sheetViews>
  <sheetFormatPr defaultColWidth="9.140625" defaultRowHeight="15"/>
  <cols>
    <col min="1" max="1" width="14" style="77" customWidth="1"/>
    <col min="2" max="2" width="77.85546875" style="77" customWidth="1"/>
    <col min="3" max="3" width="7.85546875" style="77" customWidth="1"/>
    <col min="4" max="4" width="16.5703125" style="77" customWidth="1"/>
    <col min="5" max="7" width="13.7109375" style="77" customWidth="1"/>
    <col min="8" max="8" width="16.28515625" style="77" customWidth="1"/>
    <col min="9" max="9" width="13.7109375" style="77" customWidth="1"/>
    <col min="10" max="10" width="6.85546875" style="77" customWidth="1"/>
    <col min="11" max="11" width="71.140625" style="77" customWidth="1"/>
    <col min="12" max="17" width="19.5703125" style="77" customWidth="1"/>
    <col min="18" max="18" width="70.42578125" style="131" customWidth="1"/>
    <col min="19" max="19" width="9.140625" style="77"/>
    <col min="20" max="20" width="17.85546875" style="77" customWidth="1"/>
    <col min="21" max="16384" width="9.140625" style="77"/>
  </cols>
  <sheetData>
    <row r="1" spans="1:18" s="94" customFormat="1" ht="24.95" customHeight="1">
      <c r="A1" s="256" t="s">
        <v>2232</v>
      </c>
      <c r="R1" s="99"/>
    </row>
    <row r="2" spans="1:18" s="94" customFormat="1" ht="35.1" customHeight="1">
      <c r="A2" s="220" t="s">
        <v>27</v>
      </c>
      <c r="B2" s="221" t="s">
        <v>1560</v>
      </c>
      <c r="C2" s="220" t="s">
        <v>1561</v>
      </c>
      <c r="D2" s="332">
        <v>2016</v>
      </c>
      <c r="E2" s="332">
        <v>2017</v>
      </c>
      <c r="F2" s="332">
        <v>2018</v>
      </c>
      <c r="G2" s="332">
        <v>2019</v>
      </c>
      <c r="H2" s="332">
        <v>2020</v>
      </c>
      <c r="I2" s="332">
        <v>2021</v>
      </c>
      <c r="J2" s="222" t="s">
        <v>1562</v>
      </c>
      <c r="K2" s="223"/>
      <c r="L2" s="224">
        <v>2016</v>
      </c>
      <c r="M2" s="224">
        <v>2017</v>
      </c>
      <c r="N2" s="224">
        <v>2018</v>
      </c>
      <c r="O2" s="224">
        <v>2019</v>
      </c>
      <c r="P2" s="224">
        <v>2020</v>
      </c>
      <c r="Q2" s="224">
        <v>2021</v>
      </c>
      <c r="R2" s="225" t="s">
        <v>1563</v>
      </c>
    </row>
    <row r="3" spans="1:18" ht="30">
      <c r="A3" s="940" t="s">
        <v>53</v>
      </c>
      <c r="B3" s="113" t="s">
        <v>1689</v>
      </c>
      <c r="C3" s="109"/>
      <c r="D3" s="103"/>
      <c r="E3" s="103"/>
      <c r="F3" s="103"/>
      <c r="G3" s="589"/>
      <c r="H3" s="589"/>
      <c r="I3" s="589"/>
      <c r="J3" s="109"/>
      <c r="K3" s="105"/>
      <c r="L3" s="113"/>
      <c r="M3" s="113"/>
      <c r="N3" s="113"/>
      <c r="O3" s="595"/>
      <c r="P3" s="595"/>
      <c r="Q3" s="595"/>
      <c r="R3" s="918"/>
    </row>
    <row r="4" spans="1:18">
      <c r="A4" s="941"/>
      <c r="B4" s="58" t="s">
        <v>52</v>
      </c>
      <c r="C4" s="106">
        <v>139</v>
      </c>
      <c r="D4" s="434">
        <v>20942.4105399621</v>
      </c>
      <c r="E4" s="434">
        <v>18761.921947046667</v>
      </c>
      <c r="F4" s="434">
        <v>17977.164602045003</v>
      </c>
      <c r="G4" s="434">
        <v>6510.3059570831938</v>
      </c>
      <c r="H4" s="434">
        <v>45438.025563202362</v>
      </c>
      <c r="I4" s="434">
        <f>VLOOKUP(C4, '2021_Internal_ModelLink'!$A$3:$Z$1000, 14, 0)</f>
        <v>7818.8756722617145</v>
      </c>
      <c r="J4" s="89"/>
      <c r="K4" s="168"/>
      <c r="L4" s="433"/>
      <c r="M4" s="433"/>
      <c r="N4" s="433"/>
      <c r="O4" s="433"/>
      <c r="P4" s="433"/>
      <c r="Q4" s="433"/>
      <c r="R4" s="910"/>
    </row>
    <row r="5" spans="1:18">
      <c r="A5" s="941"/>
      <c r="B5" s="58" t="s">
        <v>55</v>
      </c>
      <c r="C5" s="106">
        <v>140</v>
      </c>
      <c r="D5" s="434">
        <v>13928.8118527406</v>
      </c>
      <c r="E5" s="434">
        <v>14976.994338750063</v>
      </c>
      <c r="F5" s="434">
        <v>15325.22723764494</v>
      </c>
      <c r="G5" s="434">
        <v>4797.0181701636484</v>
      </c>
      <c r="H5" s="434">
        <v>44723.25293662685</v>
      </c>
      <c r="I5" s="434">
        <f>VLOOKUP(C5, '2021_Internal_ModelLink'!$A$3:$Z$1000, 14, 0)</f>
        <v>5481.604272008688</v>
      </c>
      <c r="J5" s="89"/>
      <c r="K5" s="168"/>
      <c r="L5" s="433"/>
      <c r="M5" s="433"/>
      <c r="N5" s="433"/>
      <c r="O5" s="433"/>
      <c r="P5" s="433"/>
      <c r="Q5" s="433"/>
      <c r="R5" s="910"/>
    </row>
    <row r="6" spans="1:18">
      <c r="A6" s="941"/>
      <c r="B6" s="58" t="s">
        <v>56</v>
      </c>
      <c r="C6" s="106">
        <v>141</v>
      </c>
      <c r="D6" s="434">
        <v>104208248.482759</v>
      </c>
      <c r="E6" s="434">
        <v>88627172.775303721</v>
      </c>
      <c r="F6" s="434">
        <v>71809803.551935911</v>
      </c>
      <c r="G6" s="434">
        <v>28749606.09597994</v>
      </c>
      <c r="H6" s="434">
        <v>218445474.01682308</v>
      </c>
      <c r="I6" s="434">
        <f>VLOOKUP(C6, '2021_Internal_ModelLink'!$A$3:$Z$1000, 14, 0)</f>
        <v>34512884.262785725</v>
      </c>
      <c r="J6" s="89"/>
      <c r="K6" s="168"/>
      <c r="L6" s="433"/>
      <c r="M6" s="433"/>
      <c r="N6" s="433"/>
      <c r="O6" s="433"/>
      <c r="P6" s="433"/>
      <c r="Q6" s="433"/>
      <c r="R6" s="910"/>
    </row>
    <row r="7" spans="1:18">
      <c r="A7" s="941"/>
      <c r="B7" s="58" t="s">
        <v>57</v>
      </c>
      <c r="C7" s="106">
        <v>142</v>
      </c>
      <c r="D7" s="434">
        <v>68461323.543331504</v>
      </c>
      <c r="E7" s="434">
        <v>68056876.459394991</v>
      </c>
      <c r="F7" s="434">
        <v>60445200.336516038</v>
      </c>
      <c r="G7" s="434">
        <v>22083697.691690225</v>
      </c>
      <c r="H7" s="434">
        <v>214485632.11924869</v>
      </c>
      <c r="I7" s="434">
        <f>VLOOKUP(C7, '2021_Internal_ModelLink'!$A$3:$Z$1000, 14, 0)</f>
        <v>25244333.751977783</v>
      </c>
      <c r="J7" s="89"/>
      <c r="K7" s="168"/>
      <c r="L7" s="433"/>
      <c r="M7" s="433"/>
      <c r="N7" s="433"/>
      <c r="O7" s="433"/>
      <c r="P7" s="433"/>
      <c r="Q7" s="433"/>
      <c r="R7" s="910"/>
    </row>
    <row r="8" spans="1:18">
      <c r="A8" s="941"/>
      <c r="B8" s="58" t="s">
        <v>58</v>
      </c>
      <c r="C8" s="106">
        <v>143</v>
      </c>
      <c r="D8" s="434">
        <v>651631.97110123001</v>
      </c>
      <c r="E8" s="434">
        <v>430579.00311940245</v>
      </c>
      <c r="F8" s="434">
        <v>197407.13417670046</v>
      </c>
      <c r="G8" s="434">
        <v>616067.34714183549</v>
      </c>
      <c r="H8" s="434">
        <v>864068.43125482777</v>
      </c>
      <c r="I8" s="434">
        <f>VLOOKUP(C8, '2021_Internal_ModelLink'!$A$3:$Z$1000, 14, 0)</f>
        <v>1087222.0832761263</v>
      </c>
      <c r="J8" s="89"/>
      <c r="K8" s="168"/>
      <c r="L8" s="433"/>
      <c r="M8" s="433"/>
      <c r="N8" s="433"/>
      <c r="O8" s="433"/>
      <c r="P8" s="433"/>
      <c r="Q8" s="433"/>
      <c r="R8" s="910"/>
    </row>
    <row r="9" spans="1:18">
      <c r="A9" s="941"/>
      <c r="B9" s="58" t="s">
        <v>60</v>
      </c>
      <c r="C9" s="106">
        <v>144</v>
      </c>
      <c r="D9" s="434">
        <v>398717.23456308001</v>
      </c>
      <c r="E9" s="434">
        <v>197874.57642467719</v>
      </c>
      <c r="F9" s="434">
        <v>38041.337353056893</v>
      </c>
      <c r="G9" s="434">
        <v>474473.34083773254</v>
      </c>
      <c r="H9" s="434">
        <v>837746.72519605723</v>
      </c>
      <c r="I9" s="434">
        <f>VLOOKUP(C9, '2021_Internal_ModelLink'!$A$3:$Z$1000, 14, 0)</f>
        <v>879420.95989366865</v>
      </c>
      <c r="J9" s="89"/>
      <c r="K9" s="168"/>
      <c r="L9" s="433"/>
      <c r="M9" s="433"/>
      <c r="N9" s="433"/>
      <c r="O9" s="433"/>
      <c r="P9" s="433"/>
      <c r="Q9" s="433"/>
      <c r="R9" s="910"/>
    </row>
    <row r="10" spans="1:18">
      <c r="A10" s="941"/>
      <c r="B10" s="58" t="s">
        <v>61</v>
      </c>
      <c r="C10" s="106">
        <v>145</v>
      </c>
      <c r="D10" s="434">
        <v>224342.18687198</v>
      </c>
      <c r="E10" s="434">
        <v>149417.58976452262</v>
      </c>
      <c r="F10" s="434">
        <v>130331.78629003785</v>
      </c>
      <c r="G10" s="434">
        <v>40559.444891439853</v>
      </c>
      <c r="H10" s="434">
        <v>615972.39399536699</v>
      </c>
      <c r="I10" s="434">
        <f>VLOOKUP(C10, '2021_Internal_ModelLink'!$A$3:$Z$1000, 14, 0)</f>
        <v>94902.195308431197</v>
      </c>
      <c r="J10" s="89"/>
      <c r="K10" s="168"/>
      <c r="L10" s="433"/>
      <c r="M10" s="433"/>
      <c r="N10" s="433"/>
      <c r="O10" s="433"/>
      <c r="P10" s="433"/>
      <c r="Q10" s="433"/>
      <c r="R10" s="910"/>
    </row>
    <row r="11" spans="1:18">
      <c r="A11" s="941"/>
      <c r="B11" s="58" t="s">
        <v>62</v>
      </c>
      <c r="C11" s="106">
        <v>146</v>
      </c>
      <c r="D11" s="434">
        <v>148324.13226125401</v>
      </c>
      <c r="E11" s="434">
        <v>120354.98574719284</v>
      </c>
      <c r="F11" s="434">
        <v>113966.1670359182</v>
      </c>
      <c r="G11" s="434">
        <v>29725.930234849329</v>
      </c>
      <c r="H11" s="434">
        <v>610341.06724811811</v>
      </c>
      <c r="I11" s="434">
        <f>VLOOKUP(C11, '2021_Internal_ModelLink'!$A$3:$Z$1000, 14, 0)</f>
        <v>66092.405864267959</v>
      </c>
      <c r="J11" s="89"/>
      <c r="K11" s="168"/>
      <c r="L11" s="433"/>
      <c r="M11" s="433"/>
      <c r="N11" s="433"/>
      <c r="O11" s="433"/>
      <c r="P11" s="433"/>
      <c r="Q11" s="433"/>
      <c r="R11" s="910"/>
    </row>
    <row r="12" spans="1:18">
      <c r="A12" s="941"/>
      <c r="B12" s="58" t="s">
        <v>63</v>
      </c>
      <c r="C12" s="106">
        <v>147</v>
      </c>
      <c r="D12" s="434">
        <v>1116254876.27507</v>
      </c>
      <c r="E12" s="434">
        <v>714402971.23290229</v>
      </c>
      <c r="F12" s="434">
        <v>550622819.52010953</v>
      </c>
      <c r="G12" s="434">
        <v>183084252.36191565</v>
      </c>
      <c r="H12" s="434">
        <v>2986538274.5260029</v>
      </c>
      <c r="I12" s="434">
        <f>VLOOKUP(C12, '2021_Internal_ModelLink'!$A$3:$Z$1000, 14, 0)</f>
        <v>300119439.34740478</v>
      </c>
      <c r="J12" s="89"/>
      <c r="K12" s="168"/>
      <c r="L12" s="433"/>
      <c r="M12" s="433"/>
      <c r="N12" s="433"/>
      <c r="O12" s="433"/>
      <c r="P12" s="433"/>
      <c r="Q12" s="433"/>
      <c r="R12" s="910"/>
    </row>
    <row r="13" spans="1:18" ht="15.95" customHeight="1">
      <c r="A13" s="941"/>
      <c r="B13" s="58" t="s">
        <v>64</v>
      </c>
      <c r="C13" s="106">
        <v>148</v>
      </c>
      <c r="D13" s="435">
        <v>731257355.60763001</v>
      </c>
      <c r="E13" s="435">
        <v>555559482.41726136</v>
      </c>
      <c r="F13" s="435">
        <v>471792053.97521979</v>
      </c>
      <c r="G13" s="435">
        <v>135568225.40911594</v>
      </c>
      <c r="H13" s="435">
        <v>2958404550.9717913</v>
      </c>
      <c r="I13" s="435">
        <f>VLOOKUP(C13, '2021_Internal_ModelLink'!$A$3:$Z$1000, 14, 0)</f>
        <v>214835353.18901137</v>
      </c>
      <c r="J13" s="108"/>
      <c r="K13" s="112"/>
      <c r="L13" s="112"/>
      <c r="M13" s="112"/>
      <c r="N13" s="112"/>
      <c r="O13" s="112"/>
      <c r="P13" s="112"/>
      <c r="Q13" s="112"/>
      <c r="R13" s="910"/>
    </row>
    <row r="14" spans="1:18" ht="15.95" customHeight="1">
      <c r="A14" s="941"/>
      <c r="B14" s="58" t="s">
        <v>65</v>
      </c>
      <c r="C14" s="106">
        <v>149</v>
      </c>
      <c r="D14" s="435">
        <v>5043399.1145049604</v>
      </c>
      <c r="E14" s="435">
        <v>6182563.9187383074</v>
      </c>
      <c r="F14" s="435">
        <v>4996277.7143258769</v>
      </c>
      <c r="G14" s="435">
        <v>5614471.9602228571</v>
      </c>
      <c r="H14" s="435">
        <v>12536115.539130589</v>
      </c>
      <c r="I14" s="435">
        <f>VLOOKUP(C14, '2021_Internal_ModelLink'!$A$3:$Z$1000, 14, 0)</f>
        <v>14767628.327879146</v>
      </c>
      <c r="J14" s="108"/>
      <c r="K14" s="108"/>
      <c r="L14" s="108"/>
      <c r="M14" s="108"/>
      <c r="N14" s="108"/>
      <c r="O14" s="108"/>
      <c r="P14" s="108"/>
      <c r="Q14" s="108"/>
      <c r="R14" s="247"/>
    </row>
    <row r="15" spans="1:18" ht="15.95" customHeight="1">
      <c r="A15" s="941"/>
      <c r="B15" s="58" t="s">
        <v>66</v>
      </c>
      <c r="C15" s="106">
        <v>150</v>
      </c>
      <c r="D15" s="435">
        <v>3035633.0210892698</v>
      </c>
      <c r="E15" s="435">
        <v>3074276.4533362603</v>
      </c>
      <c r="F15" s="435">
        <v>2254121.2592335637</v>
      </c>
      <c r="G15" s="435">
        <v>3790809.3088417328</v>
      </c>
      <c r="H15" s="435">
        <v>12209712.680286963</v>
      </c>
      <c r="I15" s="435">
        <f>VLOOKUP(C15, '2021_Internal_ModelLink'!$A$3:$Z$1000, 14, 0)</f>
        <v>10026709.644855358</v>
      </c>
      <c r="J15" s="108"/>
      <c r="K15" s="89"/>
      <c r="L15" s="89"/>
      <c r="M15" s="89"/>
      <c r="N15" s="89"/>
      <c r="O15" s="89"/>
      <c r="P15" s="89"/>
      <c r="Q15" s="89"/>
      <c r="R15" s="247"/>
    </row>
    <row r="16" spans="1:18" ht="15.95" customHeight="1">
      <c r="A16" s="942"/>
      <c r="B16" s="86"/>
      <c r="C16" s="48"/>
      <c r="D16" s="294"/>
      <c r="E16" s="294"/>
      <c r="F16" s="294"/>
      <c r="G16" s="294"/>
      <c r="H16" s="294"/>
      <c r="I16" s="294"/>
      <c r="J16" s="255"/>
      <c r="K16" s="86"/>
      <c r="L16" s="86"/>
      <c r="M16" s="86"/>
      <c r="N16" s="86"/>
      <c r="O16" s="86"/>
      <c r="P16" s="86"/>
      <c r="Q16" s="86"/>
      <c r="R16" s="248"/>
    </row>
    <row r="17" spans="1:18" ht="15.95" customHeight="1">
      <c r="A17" s="87"/>
      <c r="J17" s="84"/>
      <c r="R17" s="130"/>
    </row>
    <row r="18" spans="1:18" ht="60.95" customHeight="1">
      <c r="A18" s="940" t="s">
        <v>298</v>
      </c>
      <c r="B18" s="113" t="s">
        <v>1690</v>
      </c>
      <c r="C18" s="113"/>
      <c r="D18" s="109"/>
      <c r="E18" s="109"/>
      <c r="F18" s="109"/>
      <c r="G18" s="590"/>
      <c r="H18" s="590"/>
      <c r="I18" s="590"/>
      <c r="J18" s="109"/>
      <c r="K18" s="109"/>
      <c r="L18" s="109"/>
      <c r="M18" s="109"/>
      <c r="N18" s="109"/>
      <c r="O18" s="590"/>
      <c r="P18" s="590"/>
      <c r="Q18" s="590"/>
      <c r="R18" s="620"/>
    </row>
    <row r="19" spans="1:18" ht="15.95" customHeight="1">
      <c r="A19" s="941"/>
      <c r="B19" s="89"/>
      <c r="C19" s="89"/>
      <c r="D19" s="108"/>
      <c r="E19" s="108"/>
      <c r="F19" s="108"/>
      <c r="G19" s="108"/>
      <c r="H19" s="108"/>
      <c r="I19" s="108"/>
      <c r="J19" s="89"/>
      <c r="K19" s="108"/>
      <c r="L19" s="168"/>
      <c r="M19" s="168"/>
      <c r="N19" s="168"/>
      <c r="O19" s="168"/>
      <c r="P19" s="168"/>
      <c r="Q19" s="168"/>
      <c r="R19" s="247"/>
    </row>
    <row r="20" spans="1:18" ht="15.95" customHeight="1">
      <c r="A20" s="941"/>
      <c r="B20" s="935" t="s">
        <v>297</v>
      </c>
      <c r="C20" s="934">
        <v>151</v>
      </c>
      <c r="D20" s="928">
        <f t="shared" ref="D20:I20" si="0">L20/L21</f>
        <v>1.5334391610619742E-2</v>
      </c>
      <c r="E20" s="928">
        <f t="shared" si="0"/>
        <v>1.2124181897873013E-2</v>
      </c>
      <c r="F20" s="928">
        <f t="shared" si="0"/>
        <v>1.3093636258644636E-2</v>
      </c>
      <c r="G20" s="928">
        <f t="shared" si="0"/>
        <v>4.4015053740937993E-3</v>
      </c>
      <c r="H20" s="933">
        <f t="shared" si="0"/>
        <v>4.1220283694966046E-2</v>
      </c>
      <c r="I20" s="933">
        <f t="shared" si="0"/>
        <v>2.2100711460495599E-2</v>
      </c>
      <c r="J20" s="242" t="s">
        <v>1117</v>
      </c>
      <c r="K20" s="274" t="s">
        <v>1691</v>
      </c>
      <c r="L20" s="191">
        <f>D4</f>
        <v>20942.4105399621</v>
      </c>
      <c r="M20" s="191">
        <f>E4</f>
        <v>18761.921947046667</v>
      </c>
      <c r="N20" s="191">
        <f>F4</f>
        <v>17977.164602045003</v>
      </c>
      <c r="O20" s="191">
        <f>G4</f>
        <v>6510.3059570831938</v>
      </c>
      <c r="P20" s="191">
        <v>45438.025563202362</v>
      </c>
      <c r="Q20" s="191">
        <f>VLOOKUP(C20, '2021_Internal_ModelLink'!$A$3:$Z$1000, 15, 0)</f>
        <v>7818.8756722617145</v>
      </c>
      <c r="R20" s="247"/>
    </row>
    <row r="21" spans="1:18" ht="15.95" customHeight="1">
      <c r="A21" s="941"/>
      <c r="B21" s="938"/>
      <c r="C21" s="934"/>
      <c r="D21" s="928"/>
      <c r="E21" s="928"/>
      <c r="F21" s="928"/>
      <c r="G21" s="928"/>
      <c r="H21" s="933"/>
      <c r="I21" s="933"/>
      <c r="J21" s="242" t="s">
        <v>1118</v>
      </c>
      <c r="K21" s="138" t="s">
        <v>1692</v>
      </c>
      <c r="L21" s="181">
        <v>1365715.1240000001</v>
      </c>
      <c r="M21" s="181">
        <v>1547479.4180000001</v>
      </c>
      <c r="N21" s="181">
        <v>1372969.605</v>
      </c>
      <c r="O21" s="181">
        <v>1479108.942</v>
      </c>
      <c r="P21" s="181">
        <v>1102322</v>
      </c>
      <c r="Q21" s="181">
        <f>VLOOKUP(C20, '2021_Internal_ModelLink'!$A$3:$Z$1000, 16, 0)</f>
        <v>353783.89</v>
      </c>
      <c r="R21" s="472"/>
    </row>
    <row r="22" spans="1:18" ht="15.95" customHeight="1">
      <c r="A22" s="941"/>
      <c r="B22" s="89"/>
      <c r="C22" s="132"/>
      <c r="D22" s="300"/>
      <c r="E22" s="300"/>
      <c r="F22" s="300"/>
      <c r="G22" s="300"/>
      <c r="H22" s="300"/>
      <c r="I22" s="300"/>
      <c r="J22" s="89"/>
      <c r="K22" s="108"/>
      <c r="L22" s="190"/>
      <c r="M22" s="190"/>
      <c r="N22" s="190"/>
      <c r="O22" s="190"/>
      <c r="P22" s="190"/>
      <c r="Q22" s="190"/>
      <c r="R22" s="247"/>
    </row>
    <row r="23" spans="1:18" ht="15.95" customHeight="1">
      <c r="A23" s="941"/>
      <c r="B23" s="935" t="s">
        <v>300</v>
      </c>
      <c r="C23" s="934">
        <v>152</v>
      </c>
      <c r="D23" s="928">
        <f t="shared" ref="D23:I23" si="1">L23/L24</f>
        <v>1.0198914552505607E-2</v>
      </c>
      <c r="E23" s="928">
        <f t="shared" si="1"/>
        <v>9.6783156948909172E-3</v>
      </c>
      <c r="F23" s="928">
        <f t="shared" si="1"/>
        <v>1.116210233776074E-2</v>
      </c>
      <c r="G23" s="928">
        <f t="shared" si="1"/>
        <v>3.2431811031290812E-3</v>
      </c>
      <c r="H23" s="928">
        <f t="shared" si="1"/>
        <v>4.057185916331784E-2</v>
      </c>
      <c r="I23" s="928">
        <f t="shared" si="1"/>
        <v>1.5494216743472089E-2</v>
      </c>
      <c r="J23" s="242" t="s">
        <v>1119</v>
      </c>
      <c r="K23" s="274" t="s">
        <v>1693</v>
      </c>
      <c r="L23" s="191">
        <f>D5</f>
        <v>13928.8118527406</v>
      </c>
      <c r="M23" s="191">
        <f>E5</f>
        <v>14976.994338750063</v>
      </c>
      <c r="N23" s="191">
        <f>F5</f>
        <v>15325.22723764494</v>
      </c>
      <c r="O23" s="191">
        <f>G5</f>
        <v>4797.0181701636484</v>
      </c>
      <c r="P23" s="191">
        <v>44723.25293662685</v>
      </c>
      <c r="Q23" s="191">
        <f>VLOOKUP(C23, '2021_Internal_ModelLink'!$A$3:$Z$1000, 15, 0)</f>
        <v>5481.604272008688</v>
      </c>
      <c r="R23" s="247"/>
    </row>
    <row r="24" spans="1:18" ht="15.95" customHeight="1">
      <c r="A24" s="941"/>
      <c r="B24" s="938"/>
      <c r="C24" s="934"/>
      <c r="D24" s="928"/>
      <c r="E24" s="928"/>
      <c r="F24" s="928"/>
      <c r="G24" s="928"/>
      <c r="H24" s="928"/>
      <c r="I24" s="928"/>
      <c r="J24" s="242" t="s">
        <v>1120</v>
      </c>
      <c r="K24" s="138" t="s">
        <v>1692</v>
      </c>
      <c r="L24" s="181">
        <v>1365715.1240000001</v>
      </c>
      <c r="M24" s="181">
        <v>1547479.4180000001</v>
      </c>
      <c r="N24" s="181">
        <f>N21</f>
        <v>1372969.605</v>
      </c>
      <c r="O24" s="181">
        <v>1479108.942</v>
      </c>
      <c r="P24" s="181">
        <v>1102322</v>
      </c>
      <c r="Q24" s="181">
        <f>VLOOKUP(C23, '2021_Internal_ModelLink'!$A$3:$Z$1000, 16, 0)</f>
        <v>353783.89</v>
      </c>
      <c r="R24" s="472"/>
    </row>
    <row r="25" spans="1:18" ht="27.95" customHeight="1">
      <c r="A25" s="941"/>
      <c r="B25" s="89"/>
      <c r="C25" s="132"/>
      <c r="D25" s="300"/>
      <c r="E25" s="300"/>
      <c r="F25" s="300"/>
      <c r="G25" s="300"/>
      <c r="H25" s="300"/>
      <c r="I25" s="300"/>
      <c r="J25" s="89"/>
      <c r="K25" s="108"/>
      <c r="L25" s="190"/>
      <c r="M25" s="190"/>
      <c r="N25" s="190"/>
      <c r="O25" s="190"/>
      <c r="P25" s="190"/>
      <c r="Q25" s="190"/>
      <c r="R25" s="247"/>
    </row>
    <row r="26" spans="1:18" ht="15.95" customHeight="1">
      <c r="A26" s="941"/>
      <c r="B26" s="935" t="s">
        <v>301</v>
      </c>
      <c r="C26" s="934">
        <v>153</v>
      </c>
      <c r="D26" s="928">
        <f t="shared" ref="D26:I26" si="2">L26/L27</f>
        <v>1.3939495285402873E-2</v>
      </c>
      <c r="E26" s="928">
        <f t="shared" si="2"/>
        <v>1.3110647112169228E-2</v>
      </c>
      <c r="F26" s="928">
        <f t="shared" si="2"/>
        <v>1.0701845320799602E-2</v>
      </c>
      <c r="G26" s="928">
        <f t="shared" si="2"/>
        <v>4.4642806229253928E-3</v>
      </c>
      <c r="H26" s="928">
        <f t="shared" si="2"/>
        <v>3.6402213219502724E-2</v>
      </c>
      <c r="I26" s="928">
        <f t="shared" si="2"/>
        <v>4.5248701608795634E-3</v>
      </c>
      <c r="J26" s="242" t="s">
        <v>1121</v>
      </c>
      <c r="K26" s="274" t="s">
        <v>1694</v>
      </c>
      <c r="L26" s="191">
        <f>D6</f>
        <v>104208248.482759</v>
      </c>
      <c r="M26" s="191">
        <f>E6</f>
        <v>88627172.775303721</v>
      </c>
      <c r="N26" s="191">
        <f>F6</f>
        <v>71809803.551935911</v>
      </c>
      <c r="O26" s="191">
        <f>G6</f>
        <v>28749606.09597994</v>
      </c>
      <c r="P26" s="191">
        <v>218445474.01682308</v>
      </c>
      <c r="Q26" s="191">
        <f>VLOOKUP(C26, '2021_Internal_ModelLink'!$A$3:$Z$1000, 15, 0)</f>
        <v>34512884.262785725</v>
      </c>
      <c r="R26" s="247"/>
    </row>
    <row r="27" spans="1:18" ht="15.95" customHeight="1">
      <c r="A27" s="941"/>
      <c r="B27" s="938"/>
      <c r="C27" s="934"/>
      <c r="D27" s="928"/>
      <c r="E27" s="928"/>
      <c r="F27" s="928"/>
      <c r="G27" s="928"/>
      <c r="H27" s="928"/>
      <c r="I27" s="928"/>
      <c r="J27" s="242" t="s">
        <v>1122</v>
      </c>
      <c r="K27" s="138" t="s">
        <v>1692</v>
      </c>
      <c r="L27" s="181">
        <v>7475754778</v>
      </c>
      <c r="M27" s="189">
        <v>6759938851</v>
      </c>
      <c r="N27" s="181">
        <v>6710039381</v>
      </c>
      <c r="O27" s="181">
        <v>6439919110</v>
      </c>
      <c r="P27" s="181">
        <v>6000884416</v>
      </c>
      <c r="Q27" s="181">
        <f>VLOOKUP(C26, '2021_Internal_ModelLink'!$A$3:$Z$1000, 16, 0)</f>
        <v>7627375601</v>
      </c>
      <c r="R27" s="247"/>
    </row>
    <row r="28" spans="1:18" ht="26.45" customHeight="1">
      <c r="A28" s="941"/>
      <c r="B28" s="89"/>
      <c r="C28" s="132"/>
      <c r="D28" s="300"/>
      <c r="E28" s="300"/>
      <c r="F28" s="300"/>
      <c r="G28" s="300"/>
      <c r="H28" s="300"/>
      <c r="I28" s="300"/>
      <c r="J28" s="89"/>
      <c r="K28" s="108"/>
      <c r="L28" s="190"/>
      <c r="M28" s="190"/>
      <c r="N28" s="190"/>
      <c r="O28" s="190"/>
      <c r="P28" s="190"/>
      <c r="Q28" s="190"/>
      <c r="R28" s="247"/>
    </row>
    <row r="29" spans="1:18" ht="15.95" customHeight="1">
      <c r="A29" s="941"/>
      <c r="B29" s="935" t="s">
        <v>302</v>
      </c>
      <c r="C29" s="934">
        <v>154</v>
      </c>
      <c r="D29" s="928">
        <f t="shared" ref="D29:I29" si="3">L29/L30</f>
        <v>9.1577807962351411E-3</v>
      </c>
      <c r="E29" s="928">
        <f t="shared" si="3"/>
        <v>1.0067676344339612E-2</v>
      </c>
      <c r="F29" s="928">
        <f t="shared" si="3"/>
        <v>9.0081737087372889E-3</v>
      </c>
      <c r="G29" s="928">
        <f t="shared" si="3"/>
        <v>3.4291886768264431E-3</v>
      </c>
      <c r="H29" s="928">
        <f t="shared" si="3"/>
        <v>3.5742336837445376E-2</v>
      </c>
      <c r="I29" s="928">
        <f t="shared" si="3"/>
        <v>3.3097011439515425E-3</v>
      </c>
      <c r="J29" s="242" t="s">
        <v>1123</v>
      </c>
      <c r="K29" s="274" t="s">
        <v>1695</v>
      </c>
      <c r="L29" s="191">
        <f>D7</f>
        <v>68461323.543331504</v>
      </c>
      <c r="M29" s="191">
        <f>E7</f>
        <v>68056876.459394991</v>
      </c>
      <c r="N29" s="191">
        <f>F7</f>
        <v>60445200.336516038</v>
      </c>
      <c r="O29" s="191">
        <f>G7</f>
        <v>22083697.691690225</v>
      </c>
      <c r="P29" s="191">
        <v>214485632.11924869</v>
      </c>
      <c r="Q29" s="191">
        <f>VLOOKUP(C29, '2021_Internal_ModelLink'!$A$3:$Z$1000, 15, 0)</f>
        <v>25244333.751977783</v>
      </c>
      <c r="R29" s="247"/>
    </row>
    <row r="30" spans="1:18" ht="15.95" customHeight="1">
      <c r="A30" s="941"/>
      <c r="B30" s="936"/>
      <c r="C30" s="937"/>
      <c r="D30" s="929"/>
      <c r="E30" s="929"/>
      <c r="F30" s="929"/>
      <c r="G30" s="929"/>
      <c r="H30" s="929"/>
      <c r="I30" s="929"/>
      <c r="J30" s="250" t="s">
        <v>1124</v>
      </c>
      <c r="K30" s="140" t="s">
        <v>1692</v>
      </c>
      <c r="L30" s="376">
        <v>7475754778</v>
      </c>
      <c r="M30" s="192">
        <v>6759938851</v>
      </c>
      <c r="N30" s="376">
        <f>N27</f>
        <v>6710039381</v>
      </c>
      <c r="O30" s="376">
        <v>6439919110</v>
      </c>
      <c r="P30" s="376">
        <v>6000884416</v>
      </c>
      <c r="Q30" s="376">
        <f>VLOOKUP(C29, '2021_Internal_ModelLink'!$A$3:$Z$1000, 16, 0)</f>
        <v>7627375601</v>
      </c>
      <c r="R30" s="232"/>
    </row>
    <row r="31" spans="1:18" ht="15.95" customHeight="1">
      <c r="A31" s="941"/>
      <c r="B31" s="89"/>
      <c r="C31" s="89"/>
      <c r="D31" s="108"/>
      <c r="E31" s="108"/>
      <c r="F31" s="108"/>
      <c r="G31" s="108"/>
      <c r="H31" s="108"/>
      <c r="I31" s="108"/>
      <c r="J31" s="89"/>
      <c r="K31" s="108"/>
      <c r="L31" s="168"/>
      <c r="M31" s="168"/>
      <c r="N31" s="168"/>
      <c r="O31" s="168"/>
      <c r="P31" s="168"/>
      <c r="Q31" s="168"/>
      <c r="R31" s="945"/>
    </row>
    <row r="32" spans="1:18" ht="15.95" customHeight="1">
      <c r="A32" s="941"/>
      <c r="B32" s="935" t="s">
        <v>303</v>
      </c>
      <c r="C32" s="934">
        <v>155</v>
      </c>
      <c r="D32" s="928">
        <f t="shared" ref="D32:I32" si="4">L32/L33</f>
        <v>3.3800781417530033E-3</v>
      </c>
      <c r="E32" s="928">
        <f t="shared" si="4"/>
        <v>2.1891780141682338E-3</v>
      </c>
      <c r="F32" s="928">
        <f t="shared" si="4"/>
        <v>9.6261642648832763E-4</v>
      </c>
      <c r="G32" s="928">
        <f t="shared" si="4"/>
        <v>3.4058499977849773E-3</v>
      </c>
      <c r="H32" s="928">
        <f t="shared" si="4"/>
        <v>4.6692231732876214E-3</v>
      </c>
      <c r="I32" s="928">
        <f t="shared" si="4"/>
        <v>6.3497820102913103E-3</v>
      </c>
      <c r="J32" s="242" t="s">
        <v>1125</v>
      </c>
      <c r="K32" s="274" t="s">
        <v>1696</v>
      </c>
      <c r="L32" s="191">
        <f>D8</f>
        <v>651631.97110123001</v>
      </c>
      <c r="M32" s="191">
        <f>E8</f>
        <v>430579.00311940245</v>
      </c>
      <c r="N32" s="191">
        <f>F8</f>
        <v>197407.13417670046</v>
      </c>
      <c r="O32" s="191">
        <f>G8</f>
        <v>616067.34714183549</v>
      </c>
      <c r="P32" s="191">
        <v>864068.43125482777</v>
      </c>
      <c r="Q32" s="191">
        <f>VLOOKUP(C32, '2021_Internal_ModelLink'!$A$3:$Z$1000, 15, 0)</f>
        <v>1087222.0832761263</v>
      </c>
      <c r="R32" s="911"/>
    </row>
    <row r="33" spans="1:18" ht="15.95" customHeight="1">
      <c r="A33" s="941"/>
      <c r="B33" s="938"/>
      <c r="C33" s="934"/>
      <c r="D33" s="928"/>
      <c r="E33" s="928"/>
      <c r="F33" s="928"/>
      <c r="G33" s="928"/>
      <c r="H33" s="928"/>
      <c r="I33" s="928"/>
      <c r="J33" s="242" t="s">
        <v>1126</v>
      </c>
      <c r="K33" s="138" t="s">
        <v>1692</v>
      </c>
      <c r="L33" s="181">
        <v>192786067</v>
      </c>
      <c r="M33" s="181">
        <v>196685240</v>
      </c>
      <c r="N33" s="181">
        <v>205073515</v>
      </c>
      <c r="O33" s="181">
        <v>180885050</v>
      </c>
      <c r="P33" s="181">
        <v>185056143</v>
      </c>
      <c r="Q33" s="181">
        <f>VLOOKUP(C32, '2021_Internal_ModelLink'!$A$3:$Z$1000, 16, 0)</f>
        <v>171221954</v>
      </c>
      <c r="R33" s="911"/>
    </row>
    <row r="34" spans="1:18" ht="15.95" customHeight="1">
      <c r="A34" s="941"/>
      <c r="B34" s="89"/>
      <c r="C34" s="132"/>
      <c r="D34" s="300"/>
      <c r="E34" s="300"/>
      <c r="F34" s="300"/>
      <c r="G34" s="300"/>
      <c r="H34" s="300"/>
      <c r="I34" s="300"/>
      <c r="J34" s="89"/>
      <c r="K34" s="108"/>
      <c r="L34" s="190"/>
      <c r="M34" s="190"/>
      <c r="N34" s="190"/>
      <c r="O34" s="190"/>
      <c r="P34" s="190"/>
      <c r="Q34" s="190"/>
      <c r="R34" s="911"/>
    </row>
    <row r="35" spans="1:18" ht="15.95" customHeight="1">
      <c r="A35" s="941"/>
      <c r="B35" s="935" t="s">
        <v>305</v>
      </c>
      <c r="C35" s="934">
        <v>156</v>
      </c>
      <c r="D35" s="928">
        <f t="shared" ref="D35:I35" si="5">L35/L36</f>
        <v>2.0681849096650744E-3</v>
      </c>
      <c r="E35" s="928">
        <f t="shared" si="5"/>
        <v>1.006046902272266E-3</v>
      </c>
      <c r="F35" s="928">
        <f t="shared" si="5"/>
        <v>1.8550097682314994E-4</v>
      </c>
      <c r="G35" s="928">
        <f t="shared" si="5"/>
        <v>2.6230655371338456E-3</v>
      </c>
      <c r="H35" s="928">
        <f t="shared" si="5"/>
        <v>4.5269868463434755E-3</v>
      </c>
      <c r="I35" s="928">
        <f t="shared" si="5"/>
        <v>5.1361460335493467E-3</v>
      </c>
      <c r="J35" s="242" t="s">
        <v>1127</v>
      </c>
      <c r="K35" s="274" t="s">
        <v>1697</v>
      </c>
      <c r="L35" s="191">
        <f>D9</f>
        <v>398717.23456308001</v>
      </c>
      <c r="M35" s="191">
        <f>E9</f>
        <v>197874.57642467719</v>
      </c>
      <c r="N35" s="191">
        <f>F9</f>
        <v>38041.337353056893</v>
      </c>
      <c r="O35" s="191">
        <f>G9</f>
        <v>474473.34083773254</v>
      </c>
      <c r="P35" s="191">
        <v>837746.72519605723</v>
      </c>
      <c r="Q35" s="191">
        <f>VLOOKUP(C35, '2021_Internal_ModelLink'!$A$3:$Z$1000, 15, 0)</f>
        <v>879420.95989366865</v>
      </c>
      <c r="R35" s="911"/>
    </row>
    <row r="36" spans="1:18" ht="15.95" customHeight="1">
      <c r="A36" s="941"/>
      <c r="B36" s="938"/>
      <c r="C36" s="934"/>
      <c r="D36" s="928"/>
      <c r="E36" s="928"/>
      <c r="F36" s="928"/>
      <c r="G36" s="928"/>
      <c r="H36" s="928"/>
      <c r="I36" s="928"/>
      <c r="J36" s="242" t="s">
        <v>1128</v>
      </c>
      <c r="K36" s="138" t="s">
        <v>1692</v>
      </c>
      <c r="L36" s="181">
        <v>192786067</v>
      </c>
      <c r="M36" s="181">
        <v>196685240</v>
      </c>
      <c r="N36" s="181">
        <f>N33</f>
        <v>205073515</v>
      </c>
      <c r="O36" s="181">
        <v>180885050</v>
      </c>
      <c r="P36" s="181">
        <v>185056143</v>
      </c>
      <c r="Q36" s="181">
        <f>VLOOKUP(C35, '2021_Internal_ModelLink'!$A$3:$Z$1000, 16, 0)</f>
        <v>171221954</v>
      </c>
      <c r="R36" s="911"/>
    </row>
    <row r="37" spans="1:18" ht="27.95" customHeight="1">
      <c r="A37" s="941"/>
      <c r="B37" s="89"/>
      <c r="C37" s="132"/>
      <c r="D37" s="300"/>
      <c r="E37" s="300"/>
      <c r="F37" s="300"/>
      <c r="G37" s="300"/>
      <c r="H37" s="300"/>
      <c r="I37" s="300"/>
      <c r="J37" s="89"/>
      <c r="K37" s="108"/>
      <c r="L37" s="190"/>
      <c r="M37" s="190"/>
      <c r="N37" s="190"/>
      <c r="O37" s="190"/>
      <c r="P37" s="190"/>
      <c r="Q37" s="190"/>
      <c r="R37" s="911"/>
    </row>
    <row r="38" spans="1:18" ht="15.95" customHeight="1">
      <c r="A38" s="941"/>
      <c r="B38" s="935" t="s">
        <v>306</v>
      </c>
      <c r="C38" s="934">
        <v>157</v>
      </c>
      <c r="D38" s="928">
        <f t="shared" ref="D38:I38" si="6">L38/L39</f>
        <v>0.16426719081422428</v>
      </c>
      <c r="E38" s="928">
        <f t="shared" si="6"/>
        <v>9.6555461757051056E-2</v>
      </c>
      <c r="F38" s="928">
        <f t="shared" si="6"/>
        <v>9.4926927599418967E-2</v>
      </c>
      <c r="G38" s="928">
        <f t="shared" si="6"/>
        <v>2.7421539914833301E-2</v>
      </c>
      <c r="H38" s="928">
        <f t="shared" si="6"/>
        <v>0.55879533747431964</v>
      </c>
      <c r="I38" s="928">
        <f t="shared" si="6"/>
        <v>0.2682490582271318</v>
      </c>
      <c r="J38" s="242" t="s">
        <v>1129</v>
      </c>
      <c r="K38" s="274" t="s">
        <v>1698</v>
      </c>
      <c r="L38" s="191">
        <f>D10</f>
        <v>224342.18687198</v>
      </c>
      <c r="M38" s="191">
        <f>E10</f>
        <v>149417.58976452262</v>
      </c>
      <c r="N38" s="191">
        <f>F10</f>
        <v>130331.78629003785</v>
      </c>
      <c r="O38" s="191">
        <f>G10</f>
        <v>40559.444891439853</v>
      </c>
      <c r="P38" s="191">
        <v>615972.39399536699</v>
      </c>
      <c r="Q38" s="191">
        <f>VLOOKUP(C38, '2021_Internal_ModelLink'!$A$3:$Z$1000, 15, 0)</f>
        <v>94902.195308431197</v>
      </c>
      <c r="R38" s="288"/>
    </row>
    <row r="39" spans="1:18" ht="15.95" customHeight="1">
      <c r="A39" s="941"/>
      <c r="B39" s="938"/>
      <c r="C39" s="934"/>
      <c r="D39" s="928"/>
      <c r="E39" s="928"/>
      <c r="F39" s="928"/>
      <c r="G39" s="928"/>
      <c r="H39" s="928"/>
      <c r="I39" s="928"/>
      <c r="J39" s="242" t="s">
        <v>1128</v>
      </c>
      <c r="K39" s="138" t="s">
        <v>1692</v>
      </c>
      <c r="L39" s="189">
        <v>1365715.1240000001</v>
      </c>
      <c r="M39" s="189">
        <v>1547479.4180000001</v>
      </c>
      <c r="N39" s="181">
        <v>1372969.605</v>
      </c>
      <c r="O39" s="181">
        <v>1479108.942</v>
      </c>
      <c r="P39" s="181">
        <v>1102322</v>
      </c>
      <c r="Q39" s="181">
        <f>VLOOKUP(C38, '2021_Internal_ModelLink'!$A$3:$Z$1000, 16, 0)</f>
        <v>353783.89</v>
      </c>
      <c r="R39" s="911"/>
    </row>
    <row r="40" spans="1:18" ht="26.45" customHeight="1">
      <c r="A40" s="941"/>
      <c r="B40" s="89"/>
      <c r="C40" s="132"/>
      <c r="D40" s="300"/>
      <c r="E40" s="300"/>
      <c r="F40" s="300"/>
      <c r="G40" s="300"/>
      <c r="H40" s="300"/>
      <c r="I40" s="300"/>
      <c r="J40" s="89"/>
      <c r="K40" s="108"/>
      <c r="L40" s="190"/>
      <c r="M40" s="190"/>
      <c r="N40" s="190"/>
      <c r="O40" s="190"/>
      <c r="P40" s="190"/>
      <c r="Q40" s="190"/>
      <c r="R40" s="911"/>
    </row>
    <row r="41" spans="1:18" ht="15.95" customHeight="1">
      <c r="A41" s="941"/>
      <c r="B41" s="935" t="s">
        <v>307</v>
      </c>
      <c r="C41" s="934">
        <v>158</v>
      </c>
      <c r="D41" s="928">
        <f t="shared" ref="D41:I41" si="7">L41/L42</f>
        <v>0.10860546951170323</v>
      </c>
      <c r="E41" s="928">
        <f t="shared" si="7"/>
        <v>7.7774853963965829E-2</v>
      </c>
      <c r="F41" s="928">
        <f t="shared" si="7"/>
        <v>8.3007057564044334E-2</v>
      </c>
      <c r="G41" s="928">
        <f t="shared" si="7"/>
        <v>2.0097187834355833E-2</v>
      </c>
      <c r="H41" s="928">
        <f t="shared" si="7"/>
        <v>0.55368673332122387</v>
      </c>
      <c r="I41" s="928">
        <f t="shared" si="7"/>
        <v>0.18681575880763807</v>
      </c>
      <c r="J41" s="242" t="s">
        <v>1131</v>
      </c>
      <c r="K41" s="274" t="s">
        <v>1699</v>
      </c>
      <c r="L41" s="191">
        <f>D11</f>
        <v>148324.13226125401</v>
      </c>
      <c r="M41" s="191">
        <f>E11</f>
        <v>120354.98574719284</v>
      </c>
      <c r="N41" s="191">
        <f>F11</f>
        <v>113966.1670359182</v>
      </c>
      <c r="O41" s="191">
        <f>G11</f>
        <v>29725.930234849329</v>
      </c>
      <c r="P41" s="191">
        <v>610341.06724811811</v>
      </c>
      <c r="Q41" s="191">
        <f>VLOOKUP(C41, '2021_Internal_ModelLink'!$A$3:$Z$1000, 15, 0)</f>
        <v>66092.405864267959</v>
      </c>
      <c r="R41" s="288"/>
    </row>
    <row r="42" spans="1:18" ht="15.95" customHeight="1">
      <c r="A42" s="941"/>
      <c r="B42" s="936"/>
      <c r="C42" s="937"/>
      <c r="D42" s="929"/>
      <c r="E42" s="929"/>
      <c r="F42" s="929"/>
      <c r="G42" s="929"/>
      <c r="H42" s="929"/>
      <c r="I42" s="929"/>
      <c r="J42" s="250" t="s">
        <v>1132</v>
      </c>
      <c r="K42" s="140" t="s">
        <v>1692</v>
      </c>
      <c r="L42" s="192">
        <v>1365715.1240000001</v>
      </c>
      <c r="M42" s="192">
        <v>1547479.4180000001</v>
      </c>
      <c r="N42" s="376">
        <v>1372969.605</v>
      </c>
      <c r="O42" s="376">
        <v>1479108.942</v>
      </c>
      <c r="P42" s="376">
        <v>1102322</v>
      </c>
      <c r="Q42" s="376">
        <f>VLOOKUP(C41, '2021_Internal_ModelLink'!$A$3:$Z$1000, 16, 0)</f>
        <v>353783.89</v>
      </c>
      <c r="R42" s="232"/>
    </row>
    <row r="43" spans="1:18" ht="15.95" customHeight="1">
      <c r="A43" s="941"/>
      <c r="B43" s="89"/>
      <c r="C43" s="89"/>
      <c r="D43" s="108"/>
      <c r="E43" s="108"/>
      <c r="F43" s="108"/>
      <c r="G43" s="108"/>
      <c r="H43" s="108"/>
      <c r="I43" s="108"/>
      <c r="J43" s="89"/>
      <c r="K43" s="108"/>
      <c r="L43" s="168"/>
      <c r="M43" s="168"/>
      <c r="N43" s="168"/>
      <c r="O43" s="168"/>
      <c r="P43" s="168"/>
      <c r="Q43" s="168"/>
      <c r="R43" s="945"/>
    </row>
    <row r="44" spans="1:18" ht="15.95" customHeight="1">
      <c r="A44" s="941"/>
      <c r="B44" s="935" t="s">
        <v>308</v>
      </c>
      <c r="C44" s="934">
        <v>159</v>
      </c>
      <c r="D44" s="928">
        <f t="shared" ref="D44:I44" si="8">L44/L45</f>
        <v>0.14931667897401302</v>
      </c>
      <c r="E44" s="928">
        <f t="shared" si="8"/>
        <v>0.10568186887181981</v>
      </c>
      <c r="F44" s="928">
        <f t="shared" si="8"/>
        <v>8.2059551107738798E-2</v>
      </c>
      <c r="G44" s="928">
        <f t="shared" si="8"/>
        <v>2.8429588824744671E-2</v>
      </c>
      <c r="H44" s="928">
        <f t="shared" si="8"/>
        <v>0.49768301928347003</v>
      </c>
      <c r="I44" s="928">
        <f t="shared" si="8"/>
        <v>3.9347667539547562E-2</v>
      </c>
      <c r="J44" s="242" t="s">
        <v>1133</v>
      </c>
      <c r="K44" s="274" t="s">
        <v>1700</v>
      </c>
      <c r="L44" s="191">
        <f>D12</f>
        <v>1116254876.27507</v>
      </c>
      <c r="M44" s="191">
        <f>E12</f>
        <v>714402971.23290229</v>
      </c>
      <c r="N44" s="191">
        <f>F12</f>
        <v>550622819.52010953</v>
      </c>
      <c r="O44" s="191">
        <f>G12</f>
        <v>183084252.36191565</v>
      </c>
      <c r="P44" s="191">
        <v>2986538274.5260029</v>
      </c>
      <c r="Q44" s="191">
        <f>VLOOKUP(C44, '2021_Internal_ModelLink'!$A$3:$Z$1000, 15, 0)</f>
        <v>300119439.34740478</v>
      </c>
      <c r="R44" s="911"/>
    </row>
    <row r="45" spans="1:18" ht="15.95" customHeight="1">
      <c r="A45" s="941"/>
      <c r="B45" s="938"/>
      <c r="C45" s="934"/>
      <c r="D45" s="928"/>
      <c r="E45" s="928"/>
      <c r="F45" s="928"/>
      <c r="G45" s="928"/>
      <c r="H45" s="928"/>
      <c r="I45" s="928"/>
      <c r="J45" s="242" t="s">
        <v>1134</v>
      </c>
      <c r="K45" s="138" t="s">
        <v>1692</v>
      </c>
      <c r="L45" s="181">
        <v>7475754778</v>
      </c>
      <c r="M45" s="181">
        <v>6759938851</v>
      </c>
      <c r="N45" s="181">
        <v>6710039381</v>
      </c>
      <c r="O45" s="181">
        <v>6439919110</v>
      </c>
      <c r="P45" s="181">
        <v>6000884416</v>
      </c>
      <c r="Q45" s="181">
        <f>VLOOKUP(C44, '2021_Internal_ModelLink'!$A$3:$Z$1000, 16, 0)</f>
        <v>7627375601</v>
      </c>
      <c r="R45" s="911"/>
    </row>
    <row r="46" spans="1:18" ht="15.95" customHeight="1">
      <c r="A46" s="941"/>
      <c r="B46" s="89"/>
      <c r="C46" s="132"/>
      <c r="D46" s="300"/>
      <c r="E46" s="300"/>
      <c r="F46" s="300"/>
      <c r="G46" s="300"/>
      <c r="H46" s="300"/>
      <c r="I46" s="300"/>
      <c r="J46" s="89"/>
      <c r="K46" s="108"/>
      <c r="L46" s="190"/>
      <c r="M46" s="190"/>
      <c r="N46" s="190"/>
      <c r="O46" s="190"/>
      <c r="P46" s="190"/>
      <c r="Q46" s="190"/>
      <c r="R46" s="911"/>
    </row>
    <row r="47" spans="1:18" ht="15.95" customHeight="1">
      <c r="A47" s="941"/>
      <c r="B47" s="935" t="s">
        <v>309</v>
      </c>
      <c r="C47" s="934">
        <v>160</v>
      </c>
      <c r="D47" s="928">
        <f t="shared" ref="D47:I47" si="9">L47/L48</f>
        <v>9.7817194025626455E-2</v>
      </c>
      <c r="E47" s="928">
        <f t="shared" si="9"/>
        <v>8.2184098800698061E-2</v>
      </c>
      <c r="F47" s="928">
        <f t="shared" si="9"/>
        <v>7.0311368858897577E-2</v>
      </c>
      <c r="G47" s="928">
        <f t="shared" si="9"/>
        <v>2.1051231093664458E-2</v>
      </c>
      <c r="H47" s="928">
        <f t="shared" si="9"/>
        <v>0.49299475642021617</v>
      </c>
      <c r="I47" s="928">
        <f t="shared" si="9"/>
        <v>2.8166352940694965E-2</v>
      </c>
      <c r="J47" s="242" t="s">
        <v>1135</v>
      </c>
      <c r="K47" s="274" t="s">
        <v>1701</v>
      </c>
      <c r="L47" s="191">
        <f>D13</f>
        <v>731257355.60763001</v>
      </c>
      <c r="M47" s="191">
        <f>E13</f>
        <v>555559482.41726136</v>
      </c>
      <c r="N47" s="191">
        <f>F13</f>
        <v>471792053.97521979</v>
      </c>
      <c r="O47" s="191">
        <f>G13</f>
        <v>135568225.40911594</v>
      </c>
      <c r="P47" s="191">
        <v>2958404550.9717913</v>
      </c>
      <c r="Q47" s="191">
        <f>VLOOKUP(C47, '2021_Internal_ModelLink'!$A$3:$Z$1000, 15, 0)</f>
        <v>214835353.18901137</v>
      </c>
      <c r="R47" s="911"/>
    </row>
    <row r="48" spans="1:18" ht="15.95" customHeight="1">
      <c r="A48" s="941"/>
      <c r="B48" s="938"/>
      <c r="C48" s="934"/>
      <c r="D48" s="928"/>
      <c r="E48" s="928"/>
      <c r="F48" s="928"/>
      <c r="G48" s="928"/>
      <c r="H48" s="928"/>
      <c r="I48" s="928"/>
      <c r="J48" s="242" t="s">
        <v>1136</v>
      </c>
      <c r="K48" s="138" t="s">
        <v>1692</v>
      </c>
      <c r="L48" s="181">
        <v>7475754778</v>
      </c>
      <c r="M48" s="181">
        <v>6759938851</v>
      </c>
      <c r="N48" s="181">
        <f>N45</f>
        <v>6710039381</v>
      </c>
      <c r="O48" s="181">
        <v>6439919110</v>
      </c>
      <c r="P48" s="181">
        <v>6000884416</v>
      </c>
      <c r="Q48" s="181">
        <f>VLOOKUP(C47, '2021_Internal_ModelLink'!$A$3:$Z$1000, 16, 0)</f>
        <v>7627375601</v>
      </c>
      <c r="R48" s="911"/>
    </row>
    <row r="49" spans="1:18" ht="27.95" customHeight="1">
      <c r="A49" s="941"/>
      <c r="B49" s="89"/>
      <c r="C49" s="132"/>
      <c r="D49" s="300"/>
      <c r="E49" s="300"/>
      <c r="F49" s="300"/>
      <c r="G49" s="300"/>
      <c r="H49" s="300"/>
      <c r="I49" s="300"/>
      <c r="J49" s="89"/>
      <c r="K49" s="108"/>
      <c r="L49" s="190"/>
      <c r="M49" s="190"/>
      <c r="N49" s="190"/>
      <c r="O49" s="190"/>
      <c r="P49" s="190"/>
      <c r="Q49" s="190"/>
      <c r="R49" s="911"/>
    </row>
    <row r="50" spans="1:18" ht="15.95" customHeight="1">
      <c r="A50" s="941"/>
      <c r="B50" s="935" t="s">
        <v>310</v>
      </c>
      <c r="C50" s="934">
        <v>161</v>
      </c>
      <c r="D50" s="928">
        <f t="shared" ref="D50:I50" si="10">L50/L51</f>
        <v>2.6160599637654106E-2</v>
      </c>
      <c r="E50" s="928">
        <f t="shared" si="10"/>
        <v>3.143379705939453E-2</v>
      </c>
      <c r="F50" s="928">
        <f t="shared" si="10"/>
        <v>2.4363349476532244E-2</v>
      </c>
      <c r="G50" s="928">
        <f t="shared" si="10"/>
        <v>3.1038894370888345E-2</v>
      </c>
      <c r="H50" s="928">
        <f t="shared" si="10"/>
        <v>6.7742228579413269E-2</v>
      </c>
      <c r="I50" s="928">
        <f t="shared" si="10"/>
        <v>8.6248451106212376E-2</v>
      </c>
      <c r="J50" s="242" t="s">
        <v>1137</v>
      </c>
      <c r="K50" s="274" t="s">
        <v>1702</v>
      </c>
      <c r="L50" s="191">
        <f>D14</f>
        <v>5043399.1145049604</v>
      </c>
      <c r="M50" s="191">
        <f>E14</f>
        <v>6182563.9187383074</v>
      </c>
      <c r="N50" s="191">
        <f>F14</f>
        <v>4996277.7143258769</v>
      </c>
      <c r="O50" s="191">
        <f>G14</f>
        <v>5614471.9602228571</v>
      </c>
      <c r="P50" s="191">
        <v>12536115.539130589</v>
      </c>
      <c r="Q50" s="191">
        <f>VLOOKUP(C50, '2021_Internal_ModelLink'!$A$3:$Z$1000, 15, 0)</f>
        <v>14767628.327879146</v>
      </c>
      <c r="R50" s="288"/>
    </row>
    <row r="51" spans="1:18" ht="15.95" customHeight="1">
      <c r="A51" s="941"/>
      <c r="B51" s="938"/>
      <c r="C51" s="934"/>
      <c r="D51" s="928"/>
      <c r="E51" s="928"/>
      <c r="F51" s="928"/>
      <c r="G51" s="928"/>
      <c r="H51" s="928"/>
      <c r="I51" s="928"/>
      <c r="J51" s="242" t="s">
        <v>1138</v>
      </c>
      <c r="K51" s="138" t="s">
        <v>1692</v>
      </c>
      <c r="L51" s="189">
        <v>192786067</v>
      </c>
      <c r="M51" s="189">
        <v>196685240</v>
      </c>
      <c r="N51" s="181">
        <v>205073515</v>
      </c>
      <c r="O51" s="181">
        <v>180885050</v>
      </c>
      <c r="P51" s="181">
        <v>185056143</v>
      </c>
      <c r="Q51" s="181">
        <f>VLOOKUP(C50, '2021_Internal_ModelLink'!$A$3:$Z$1000, 16, 0)</f>
        <v>171221954</v>
      </c>
      <c r="R51" s="911"/>
    </row>
    <row r="52" spans="1:18" ht="26.45" customHeight="1">
      <c r="A52" s="941"/>
      <c r="B52" s="89"/>
      <c r="C52" s="132"/>
      <c r="D52" s="300"/>
      <c r="E52" s="300"/>
      <c r="F52" s="300"/>
      <c r="G52" s="300"/>
      <c r="H52" s="300"/>
      <c r="I52" s="300"/>
      <c r="J52" s="89"/>
      <c r="K52" s="108"/>
      <c r="L52" s="190"/>
      <c r="M52" s="190"/>
      <c r="N52" s="190"/>
      <c r="O52" s="190"/>
      <c r="P52" s="190"/>
      <c r="Q52" s="190"/>
      <c r="R52" s="911"/>
    </row>
    <row r="53" spans="1:18" ht="15.95" customHeight="1">
      <c r="A53" s="941"/>
      <c r="B53" s="935" t="s">
        <v>311</v>
      </c>
      <c r="C53" s="934">
        <v>162</v>
      </c>
      <c r="D53" s="928">
        <f t="shared" ref="D53:I53" si="11">L53/L54</f>
        <v>1.5746122467912942E-2</v>
      </c>
      <c r="E53" s="928">
        <f t="shared" si="11"/>
        <v>1.5630438020342859E-2</v>
      </c>
      <c r="F53" s="928">
        <f t="shared" si="11"/>
        <v>1.099177170310639E-2</v>
      </c>
      <c r="G53" s="928">
        <f t="shared" si="11"/>
        <v>2.0957007275292972E-2</v>
      </c>
      <c r="H53" s="928">
        <f t="shared" si="11"/>
        <v>6.5978424073644307E-2</v>
      </c>
      <c r="I53" s="928">
        <f t="shared" si="11"/>
        <v>5.8559719770838251E-2</v>
      </c>
      <c r="J53" s="242" t="s">
        <v>1139</v>
      </c>
      <c r="K53" s="274" t="s">
        <v>1703</v>
      </c>
      <c r="L53" s="191">
        <f>D15</f>
        <v>3035633.0210892698</v>
      </c>
      <c r="M53" s="191">
        <f>E15</f>
        <v>3074276.4533362603</v>
      </c>
      <c r="N53" s="191">
        <f>F15</f>
        <v>2254121.2592335637</v>
      </c>
      <c r="O53" s="191">
        <f>G15</f>
        <v>3790809.3088417328</v>
      </c>
      <c r="P53" s="191">
        <v>12209712.680286963</v>
      </c>
      <c r="Q53" s="191">
        <f>VLOOKUP(C53, '2021_Internal_ModelLink'!$A$3:$Z$1000, 15, 0)</f>
        <v>10026709.644855358</v>
      </c>
      <c r="R53" s="288"/>
    </row>
    <row r="54" spans="1:18" ht="15.95" customHeight="1">
      <c r="A54" s="942"/>
      <c r="B54" s="936"/>
      <c r="C54" s="937"/>
      <c r="D54" s="929"/>
      <c r="E54" s="929"/>
      <c r="F54" s="929"/>
      <c r="G54" s="929"/>
      <c r="H54" s="929"/>
      <c r="I54" s="929"/>
      <c r="J54" s="250" t="s">
        <v>1140</v>
      </c>
      <c r="K54" s="140" t="s">
        <v>1692</v>
      </c>
      <c r="L54" s="192">
        <v>192786067</v>
      </c>
      <c r="M54" s="192">
        <v>196685240</v>
      </c>
      <c r="N54" s="376">
        <f>N51</f>
        <v>205073515</v>
      </c>
      <c r="O54" s="376">
        <v>180885050</v>
      </c>
      <c r="P54" s="376">
        <v>185056143</v>
      </c>
      <c r="Q54" s="376">
        <f>VLOOKUP(C53, '2021_Internal_ModelLink'!$A$3:$Z$1000, 16, 0)</f>
        <v>171221954</v>
      </c>
      <c r="R54" s="232"/>
    </row>
    <row r="55" spans="1:18" ht="15.95" customHeight="1">
      <c r="A55" s="93"/>
      <c r="D55" s="102"/>
      <c r="E55" s="102"/>
      <c r="F55" s="102"/>
      <c r="G55" s="102"/>
      <c r="H55" s="102"/>
      <c r="I55" s="102"/>
      <c r="R55" s="203"/>
    </row>
    <row r="56" spans="1:18" ht="15.95" customHeight="1">
      <c r="A56" s="940" t="s">
        <v>44</v>
      </c>
      <c r="B56" s="893" t="s">
        <v>1864</v>
      </c>
      <c r="C56" s="893"/>
      <c r="D56" s="893"/>
      <c r="E56" s="893"/>
      <c r="F56" s="105"/>
      <c r="G56" s="591"/>
      <c r="H56" s="591"/>
      <c r="I56" s="591"/>
      <c r="J56" s="109"/>
      <c r="K56" s="109"/>
      <c r="L56" s="105"/>
      <c r="M56" s="105"/>
      <c r="N56" s="105"/>
      <c r="O56" s="591"/>
      <c r="P56" s="591"/>
      <c r="Q56" s="591"/>
      <c r="R56" s="945"/>
    </row>
    <row r="57" spans="1:18" ht="15.95" customHeight="1">
      <c r="A57" s="942"/>
      <c r="B57" s="86"/>
      <c r="C57" s="575">
        <v>163</v>
      </c>
      <c r="D57" s="294">
        <f t="shared" ref="D57:F57" si="12">(D7*0.000707) + (D9*0.0053)</f>
        <v>50515.357088319695</v>
      </c>
      <c r="E57" s="294">
        <f t="shared" si="12"/>
        <v>49164.946911843042</v>
      </c>
      <c r="F57" s="294">
        <f t="shared" si="12"/>
        <v>42936.375725888036</v>
      </c>
      <c r="G57" s="294">
        <f>(G7*0.000707) + (G9*0.0053)</f>
        <v>18127.88297446497</v>
      </c>
      <c r="H57" s="294">
        <f>(H7*0.000707) + (H9*0.0053)</f>
        <v>156081.39955184792</v>
      </c>
      <c r="I57" s="294">
        <f>(I7*0.000707) + (I9*0.0053)</f>
        <v>22508.675050084734</v>
      </c>
      <c r="J57" s="255"/>
      <c r="K57" s="86"/>
      <c r="L57" s="294"/>
      <c r="M57" s="294"/>
      <c r="N57" s="294"/>
      <c r="O57" s="294"/>
      <c r="P57" s="294"/>
      <c r="Q57" s="294"/>
      <c r="R57" s="919"/>
    </row>
    <row r="58" spans="1:18" ht="15.95" customHeight="1">
      <c r="A58" s="92"/>
      <c r="K58" s="91"/>
      <c r="L58" s="82"/>
      <c r="R58" s="203"/>
    </row>
    <row r="59" spans="1:18" ht="15.95" customHeight="1">
      <c r="A59" s="952" t="s">
        <v>1704</v>
      </c>
      <c r="B59" s="133" t="s">
        <v>1845</v>
      </c>
      <c r="C59" s="109"/>
      <c r="D59" s="103"/>
      <c r="E59" s="103"/>
      <c r="F59" s="103"/>
      <c r="G59" s="589"/>
      <c r="H59" s="589"/>
      <c r="I59" s="589"/>
      <c r="J59" s="109"/>
      <c r="K59" s="103"/>
      <c r="L59" s="105"/>
      <c r="M59" s="105"/>
      <c r="N59" s="105"/>
      <c r="O59" s="591"/>
      <c r="P59" s="591"/>
      <c r="Q59" s="591"/>
      <c r="R59" s="918"/>
    </row>
    <row r="60" spans="1:18" ht="15.95" customHeight="1">
      <c r="A60" s="953"/>
      <c r="B60" s="935" t="s">
        <v>1706</v>
      </c>
      <c r="C60" s="852">
        <v>164</v>
      </c>
      <c r="D60" s="932" t="s">
        <v>59</v>
      </c>
      <c r="E60" s="932" t="s">
        <v>59</v>
      </c>
      <c r="F60" s="932" t="s">
        <v>59</v>
      </c>
      <c r="G60" s="932" t="s">
        <v>59</v>
      </c>
      <c r="H60" s="932" t="s">
        <v>59</v>
      </c>
      <c r="I60" s="932" t="s">
        <v>59</v>
      </c>
      <c r="J60" s="242" t="s">
        <v>1143</v>
      </c>
      <c r="K60" s="278" t="s">
        <v>1707</v>
      </c>
      <c r="L60" s="500" t="s">
        <v>59</v>
      </c>
      <c r="M60" s="500" t="s">
        <v>59</v>
      </c>
      <c r="N60" s="500" t="s">
        <v>59</v>
      </c>
      <c r="O60" s="500" t="s">
        <v>59</v>
      </c>
      <c r="P60" s="500" t="s">
        <v>59</v>
      </c>
      <c r="Q60" s="500">
        <f>VLOOKUP(C60, '2021_Internal_ModelLink'!$A$3:$Z$1000, 15, 0)</f>
        <v>0</v>
      </c>
      <c r="R60" s="910"/>
    </row>
    <row r="61" spans="1:18" ht="23.1" customHeight="1">
      <c r="A61" s="953"/>
      <c r="B61" s="936"/>
      <c r="C61" s="866"/>
      <c r="D61" s="931"/>
      <c r="E61" s="931"/>
      <c r="F61" s="931"/>
      <c r="G61" s="931"/>
      <c r="H61" s="931"/>
      <c r="I61" s="931"/>
      <c r="J61" s="325" t="s">
        <v>1144</v>
      </c>
      <c r="K61" s="326" t="s">
        <v>1708</v>
      </c>
      <c r="L61" s="501" t="s">
        <v>59</v>
      </c>
      <c r="M61" s="501" t="s">
        <v>59</v>
      </c>
      <c r="N61" s="501" t="s">
        <v>59</v>
      </c>
      <c r="O61" s="501" t="s">
        <v>59</v>
      </c>
      <c r="P61" s="501" t="s">
        <v>59</v>
      </c>
      <c r="Q61" s="501">
        <f>VLOOKUP(C60, '2021_Internal_ModelLink'!$A$3:$Z$1000, 16, 0)</f>
        <v>0</v>
      </c>
      <c r="R61" s="406"/>
    </row>
    <row r="62" spans="1:18" ht="15.95" customHeight="1">
      <c r="A62" s="954"/>
      <c r="B62" s="133" t="s">
        <v>1846</v>
      </c>
      <c r="C62" s="109"/>
      <c r="D62" s="477"/>
      <c r="E62" s="103"/>
      <c r="F62" s="103"/>
      <c r="G62" s="589"/>
      <c r="H62" s="589"/>
      <c r="I62" s="589"/>
      <c r="J62" s="109"/>
      <c r="K62" s="103"/>
      <c r="L62" s="105"/>
      <c r="M62" s="105"/>
      <c r="N62" s="105"/>
      <c r="O62" s="591"/>
      <c r="P62" s="591"/>
      <c r="Q62" s="591"/>
      <c r="R62" s="945"/>
    </row>
    <row r="63" spans="1:18" ht="15.95" customHeight="1">
      <c r="A63" s="954"/>
      <c r="B63" s="935" t="s">
        <v>1709</v>
      </c>
      <c r="C63" s="852">
        <v>165</v>
      </c>
      <c r="D63" s="930">
        <f t="shared" ref="D63:I63" si="13">L63/L64</f>
        <v>0.61136294769803268</v>
      </c>
      <c r="E63" s="930">
        <f t="shared" si="13"/>
        <v>0.38668994372009047</v>
      </c>
      <c r="F63" s="930">
        <f t="shared" si="13"/>
        <v>0.29803950384441308</v>
      </c>
      <c r="G63" s="930">
        <f t="shared" si="13"/>
        <v>0.25720975993723594</v>
      </c>
      <c r="H63" s="930">
        <f t="shared" si="13"/>
        <v>0.11273222307972422</v>
      </c>
      <c r="I63" s="930">
        <f t="shared" si="13"/>
        <v>0.61871547242889235</v>
      </c>
      <c r="J63" s="242" t="s">
        <v>1145</v>
      </c>
      <c r="K63" s="278" t="s">
        <v>1710</v>
      </c>
      <c r="L63" s="656">
        <f>D12</f>
        <v>1116254876.27507</v>
      </c>
      <c r="M63" s="656">
        <f>E12</f>
        <v>714402971.23290229</v>
      </c>
      <c r="N63" s="656">
        <f>F12</f>
        <v>550622819.52010953</v>
      </c>
      <c r="O63" s="656">
        <f>G12</f>
        <v>183084252.36191565</v>
      </c>
      <c r="P63" s="656">
        <v>336679099</v>
      </c>
      <c r="Q63" s="656">
        <f>VLOOKUP(C63, '2021_Internal_ModelLink'!$A$3:$Z$1000, 15, 0)</f>
        <v>300119439.34740478</v>
      </c>
      <c r="R63" s="911"/>
    </row>
    <row r="64" spans="1:18">
      <c r="A64" s="954"/>
      <c r="B64" s="936"/>
      <c r="C64" s="866"/>
      <c r="D64" s="931"/>
      <c r="E64" s="931"/>
      <c r="F64" s="931"/>
      <c r="G64" s="931"/>
      <c r="H64" s="931"/>
      <c r="I64" s="931"/>
      <c r="J64" s="325" t="s">
        <v>1146</v>
      </c>
      <c r="K64" s="326" t="s">
        <v>1708</v>
      </c>
      <c r="L64" s="515">
        <v>1825846464</v>
      </c>
      <c r="M64" s="515">
        <v>1847482674</v>
      </c>
      <c r="N64" s="515">
        <v>1847482674</v>
      </c>
      <c r="O64" s="515">
        <v>711809118</v>
      </c>
      <c r="P64" s="515">
        <v>2986538274.5260029</v>
      </c>
      <c r="Q64" s="515">
        <f>VLOOKUP(C63, '2021_Internal_ModelLink'!$A$3:$Z$1000, 16, 0)</f>
        <v>485068586</v>
      </c>
      <c r="R64" s="232"/>
    </row>
    <row r="65" spans="1:18" ht="15.95" customHeight="1">
      <c r="A65" s="954"/>
      <c r="B65" s="133" t="s">
        <v>1705</v>
      </c>
      <c r="C65" s="109"/>
      <c r="D65" s="477"/>
      <c r="E65" s="103"/>
      <c r="F65" s="103"/>
      <c r="G65" s="589"/>
      <c r="H65" s="589"/>
      <c r="I65" s="589"/>
      <c r="J65" s="109"/>
      <c r="K65" s="103"/>
      <c r="L65" s="654"/>
      <c r="M65" s="654"/>
      <c r="N65" s="654"/>
      <c r="O65" s="655"/>
      <c r="P65" s="655"/>
      <c r="Q65" s="655"/>
      <c r="R65" s="956"/>
    </row>
    <row r="66" spans="1:18" ht="15.95" customHeight="1">
      <c r="A66" s="954"/>
      <c r="B66" s="935" t="s">
        <v>1711</v>
      </c>
      <c r="C66" s="852">
        <v>166</v>
      </c>
      <c r="D66" s="930">
        <f t="shared" ref="D66:I66" si="14">L66/L67</f>
        <v>6.1756990309597172E-2</v>
      </c>
      <c r="E66" s="930">
        <f t="shared" si="14"/>
        <v>5.3045523695406084E-2</v>
      </c>
      <c r="F66" s="930">
        <f t="shared" si="14"/>
        <v>2.4319729335962388E-2</v>
      </c>
      <c r="G66" s="930">
        <f t="shared" si="14"/>
        <v>0.13571696482403345</v>
      </c>
      <c r="H66" s="930">
        <f t="shared" si="14"/>
        <v>0.39422273611562025</v>
      </c>
      <c r="I66" s="930">
        <f t="shared" si="14"/>
        <v>0.47211223957217491</v>
      </c>
      <c r="J66" s="242" t="s">
        <v>1147</v>
      </c>
      <c r="K66" s="278" t="s">
        <v>1712</v>
      </c>
      <c r="L66" s="656">
        <f t="shared" ref="L66" si="15">D8</f>
        <v>651631.97110123001</v>
      </c>
      <c r="M66" s="656">
        <f t="shared" ref="M66" si="16">E8</f>
        <v>430579.00311940245</v>
      </c>
      <c r="N66" s="656">
        <f t="shared" ref="N66" si="17">F8</f>
        <v>197407.13417670046</v>
      </c>
      <c r="O66" s="656">
        <f t="shared" ref="O66" si="18">G8</f>
        <v>616067.34714183549</v>
      </c>
      <c r="P66" s="656">
        <v>864068.43125482777</v>
      </c>
      <c r="Q66" s="656">
        <f>VLOOKUP(C66, '2021_Internal_ModelLink'!$A$3:$Z$1000, 15, 0)</f>
        <v>1087222.0832761263</v>
      </c>
      <c r="R66" s="957"/>
    </row>
    <row r="67" spans="1:18">
      <c r="A67" s="955"/>
      <c r="B67" s="936"/>
      <c r="C67" s="866"/>
      <c r="D67" s="931"/>
      <c r="E67" s="931"/>
      <c r="F67" s="931"/>
      <c r="G67" s="931"/>
      <c r="H67" s="931"/>
      <c r="I67" s="931"/>
      <c r="J67" s="325" t="s">
        <v>1148</v>
      </c>
      <c r="K67" s="326" t="s">
        <v>1708</v>
      </c>
      <c r="L67" s="515">
        <v>10551550</v>
      </c>
      <c r="M67" s="515">
        <v>8117160</v>
      </c>
      <c r="N67" s="515">
        <v>8117160</v>
      </c>
      <c r="O67" s="515">
        <v>4539354</v>
      </c>
      <c r="P67" s="515">
        <v>2191828</v>
      </c>
      <c r="Q67" s="515">
        <f>VLOOKUP(C66, '2021_Internal_ModelLink'!$A$3:$Z$1000, 16, 0)</f>
        <v>2302889</v>
      </c>
      <c r="R67" s="232"/>
    </row>
    <row r="68" spans="1:18" ht="15.95" customHeight="1">
      <c r="A68" s="87"/>
      <c r="B68" s="88"/>
      <c r="C68" s="88"/>
      <c r="D68" s="79"/>
      <c r="E68" s="79"/>
      <c r="F68" s="79"/>
      <c r="G68" s="79"/>
      <c r="H68" s="79"/>
      <c r="I68" s="79"/>
      <c r="J68" s="84"/>
      <c r="K68" s="83"/>
      <c r="R68" s="203"/>
    </row>
    <row r="69" spans="1:18" ht="15.95" customHeight="1">
      <c r="C69" s="84"/>
      <c r="L69" s="514"/>
      <c r="R69" s="203"/>
    </row>
    <row r="70" spans="1:18" ht="30">
      <c r="A70" s="940" t="s">
        <v>1713</v>
      </c>
      <c r="B70" s="204" t="s">
        <v>1714</v>
      </c>
      <c r="C70" s="109"/>
      <c r="D70" s="103"/>
      <c r="E70" s="103"/>
      <c r="F70" s="103"/>
      <c r="G70" s="589"/>
      <c r="H70" s="589"/>
      <c r="I70" s="589"/>
      <c r="J70" s="109"/>
      <c r="K70" s="109"/>
      <c r="L70" s="654"/>
      <c r="M70" s="654"/>
      <c r="N70" s="654"/>
      <c r="O70" s="655"/>
      <c r="P70" s="655"/>
      <c r="Q70" s="655"/>
      <c r="R70" s="249"/>
    </row>
    <row r="71" spans="1:18" ht="15.95" customHeight="1">
      <c r="A71" s="941"/>
      <c r="B71" s="946" t="s">
        <v>1715</v>
      </c>
      <c r="C71" s="852">
        <v>167</v>
      </c>
      <c r="D71" s="930">
        <f t="shared" ref="D71:I71" si="19">L71/L72</f>
        <v>0.25304465493910688</v>
      </c>
      <c r="E71" s="930">
        <f t="shared" si="19"/>
        <v>0.12080536912751678</v>
      </c>
      <c r="F71" s="930">
        <f t="shared" si="19"/>
        <v>0.13900414937759337</v>
      </c>
      <c r="G71" s="930">
        <f t="shared" si="19"/>
        <v>8.9426617569700162E-2</v>
      </c>
      <c r="H71" s="930">
        <f t="shared" si="19"/>
        <v>3.4883720930232558E-2</v>
      </c>
      <c r="I71" s="930">
        <f t="shared" si="19"/>
        <v>6.6784608580274213E-2</v>
      </c>
      <c r="J71" s="242" t="s">
        <v>1149</v>
      </c>
      <c r="K71" s="274" t="s">
        <v>1716</v>
      </c>
      <c r="L71" s="656">
        <v>374</v>
      </c>
      <c r="M71" s="656">
        <v>180</v>
      </c>
      <c r="N71" s="656">
        <v>201</v>
      </c>
      <c r="O71" s="656">
        <v>170</v>
      </c>
      <c r="P71" s="656">
        <v>63</v>
      </c>
      <c r="Q71" s="656">
        <f>VLOOKUP(C71, '2021_Internal_ModelLink'!$A$3:$Z$1000, 15, 0)</f>
        <v>151</v>
      </c>
      <c r="R71" s="290"/>
    </row>
    <row r="72" spans="1:18" ht="15.95" customHeight="1">
      <c r="A72" s="941"/>
      <c r="B72" s="938"/>
      <c r="C72" s="852"/>
      <c r="D72" s="930"/>
      <c r="E72" s="930"/>
      <c r="F72" s="930"/>
      <c r="G72" s="930"/>
      <c r="H72" s="930"/>
      <c r="I72" s="930"/>
      <c r="J72" s="242" t="s">
        <v>1150</v>
      </c>
      <c r="K72" s="194" t="s">
        <v>1717</v>
      </c>
      <c r="L72" s="657">
        <v>1478</v>
      </c>
      <c r="M72" s="657">
        <v>1490</v>
      </c>
      <c r="N72" s="658">
        <v>1446</v>
      </c>
      <c r="O72" s="658">
        <v>1901</v>
      </c>
      <c r="P72" s="658">
        <v>1806</v>
      </c>
      <c r="Q72" s="658">
        <f>VLOOKUP(C71, '2021_Internal_ModelLink'!$A$3:$Z$1000, 16, 0)</f>
        <v>2261</v>
      </c>
      <c r="R72" s="290"/>
    </row>
    <row r="73" spans="1:18" ht="15.95" customHeight="1">
      <c r="A73" s="941"/>
      <c r="B73" s="89"/>
      <c r="C73" s="89"/>
      <c r="D73" s="300"/>
      <c r="E73" s="300"/>
      <c r="F73" s="300"/>
      <c r="G73" s="300"/>
      <c r="H73" s="300"/>
      <c r="I73" s="300"/>
      <c r="J73" s="89"/>
      <c r="K73" s="89"/>
      <c r="L73" s="659"/>
      <c r="M73" s="659"/>
      <c r="N73" s="660"/>
      <c r="O73" s="660"/>
      <c r="P73" s="660"/>
      <c r="Q73" s="660"/>
      <c r="R73" s="288"/>
    </row>
    <row r="74" spans="1:18" ht="15.95" customHeight="1">
      <c r="A74" s="941"/>
      <c r="B74" s="946" t="s">
        <v>1718</v>
      </c>
      <c r="C74" s="852">
        <v>168</v>
      </c>
      <c r="D74" s="930">
        <f t="shared" ref="D74:I74" si="20">L74/L75</f>
        <v>0.11800347442904961</v>
      </c>
      <c r="E74" s="930">
        <f t="shared" si="20"/>
        <v>4.7491950516861552E-2</v>
      </c>
      <c r="F74" s="930">
        <f t="shared" si="20"/>
        <v>5.598802395209581E-2</v>
      </c>
      <c r="G74" s="930">
        <f t="shared" si="20"/>
        <v>4.17345681465877E-2</v>
      </c>
      <c r="H74" s="930">
        <f t="shared" si="20"/>
        <v>2.8803296610882181E-2</v>
      </c>
      <c r="I74" s="930">
        <f t="shared" si="20"/>
        <v>1.082693947144075E-2</v>
      </c>
      <c r="J74" s="242" t="s">
        <v>1151</v>
      </c>
      <c r="K74" s="274" t="s">
        <v>1719</v>
      </c>
      <c r="L74" s="656">
        <v>2785</v>
      </c>
      <c r="M74" s="656">
        <v>1121</v>
      </c>
      <c r="N74" s="656">
        <v>1309</v>
      </c>
      <c r="O74" s="656">
        <v>1050</v>
      </c>
      <c r="P74" s="656">
        <v>685</v>
      </c>
      <c r="Q74" s="656">
        <f>VLOOKUP(C74, '2021_Internal_ModelLink'!$A$3:$Z$1000, 15, 0)</f>
        <v>254</v>
      </c>
      <c r="R74" s="290"/>
    </row>
    <row r="75" spans="1:18" ht="15.95" customHeight="1">
      <c r="A75" s="941"/>
      <c r="B75" s="938"/>
      <c r="C75" s="852"/>
      <c r="D75" s="930"/>
      <c r="E75" s="930"/>
      <c r="F75" s="930"/>
      <c r="G75" s="930"/>
      <c r="H75" s="930"/>
      <c r="I75" s="930"/>
      <c r="J75" s="242" t="s">
        <v>1152</v>
      </c>
      <c r="K75" s="277" t="s">
        <v>1720</v>
      </c>
      <c r="L75" s="657">
        <v>23601</v>
      </c>
      <c r="M75" s="657">
        <v>23604</v>
      </c>
      <c r="N75" s="658">
        <v>23380</v>
      </c>
      <c r="O75" s="658">
        <v>25159</v>
      </c>
      <c r="P75" s="658">
        <v>23782</v>
      </c>
      <c r="Q75" s="658">
        <f>VLOOKUP(C74, '2021_Internal_ModelLink'!$A$3:$Z$1000, 16, 0)</f>
        <v>23460</v>
      </c>
      <c r="R75" s="290"/>
    </row>
    <row r="76" spans="1:18" ht="15.95" customHeight="1">
      <c r="A76" s="941"/>
      <c r="B76" s="89"/>
      <c r="C76" s="89"/>
      <c r="D76" s="300"/>
      <c r="E76" s="300"/>
      <c r="F76" s="300"/>
      <c r="G76" s="300"/>
      <c r="H76" s="300"/>
      <c r="I76" s="300"/>
      <c r="J76" s="89"/>
      <c r="K76" s="89"/>
      <c r="L76" s="659"/>
      <c r="M76" s="659"/>
      <c r="N76" s="660"/>
      <c r="O76" s="660"/>
      <c r="P76" s="660"/>
      <c r="Q76" s="660"/>
      <c r="R76" s="288"/>
    </row>
    <row r="77" spans="1:18" ht="15.95" customHeight="1">
      <c r="A77" s="941"/>
      <c r="B77" s="946" t="s">
        <v>1721</v>
      </c>
      <c r="C77" s="852">
        <v>169</v>
      </c>
      <c r="D77" s="930">
        <f t="shared" ref="D77:I77" si="21">L77/L78</f>
        <v>5.4201714764828386E-2</v>
      </c>
      <c r="E77" s="930">
        <f t="shared" si="21"/>
        <v>1.6716551262005809E-2</v>
      </c>
      <c r="F77" s="930">
        <f t="shared" si="21"/>
        <v>2.1564372988066231E-2</v>
      </c>
      <c r="G77" s="930">
        <f t="shared" si="21"/>
        <v>2.3849188195385531E-2</v>
      </c>
      <c r="H77" s="930">
        <f t="shared" si="21"/>
        <v>1.609106860101853E-2</v>
      </c>
      <c r="I77" s="930">
        <f t="shared" si="21"/>
        <v>1.18511395650927E-2</v>
      </c>
      <c r="J77" s="242" t="s">
        <v>1153</v>
      </c>
      <c r="K77" s="274" t="s">
        <v>1722</v>
      </c>
      <c r="L77" s="656">
        <v>6012</v>
      </c>
      <c r="M77" s="656">
        <v>1871</v>
      </c>
      <c r="N77" s="656">
        <v>2425</v>
      </c>
      <c r="O77" s="656">
        <v>2763</v>
      </c>
      <c r="P77" s="656">
        <v>1880</v>
      </c>
      <c r="Q77" s="656">
        <f>VLOOKUP(C77, '2021_Internal_ModelLink'!$A$3:$Z$1000, 15, 0)</f>
        <v>1405</v>
      </c>
      <c r="R77" s="290"/>
    </row>
    <row r="78" spans="1:18" ht="15.95" customHeight="1">
      <c r="A78" s="942"/>
      <c r="B78" s="936"/>
      <c r="C78" s="866"/>
      <c r="D78" s="931"/>
      <c r="E78" s="931"/>
      <c r="F78" s="931"/>
      <c r="G78" s="931"/>
      <c r="H78" s="931"/>
      <c r="I78" s="931"/>
      <c r="J78" s="250" t="s">
        <v>1154</v>
      </c>
      <c r="K78" s="276" t="s">
        <v>1723</v>
      </c>
      <c r="L78" s="661">
        <v>110919</v>
      </c>
      <c r="M78" s="662">
        <v>111925</v>
      </c>
      <c r="N78" s="663">
        <v>112454</v>
      </c>
      <c r="O78" s="663">
        <v>115853</v>
      </c>
      <c r="P78" s="658">
        <v>116835</v>
      </c>
      <c r="Q78" s="658">
        <f>VLOOKUP(C77, '2021_Internal_ModelLink'!$A$3:$Z$1000, 16, 0)</f>
        <v>118554</v>
      </c>
      <c r="R78" s="290"/>
    </row>
    <row r="79" spans="1:18" ht="15.95" customHeight="1">
      <c r="A79" s="134"/>
      <c r="B79" s="574"/>
      <c r="C79" s="573"/>
      <c r="D79" s="135"/>
      <c r="E79" s="135"/>
      <c r="F79" s="135"/>
      <c r="G79" s="135"/>
      <c r="H79" s="135"/>
      <c r="I79" s="135"/>
      <c r="J79" s="84"/>
      <c r="L79" s="664"/>
      <c r="M79" s="664"/>
      <c r="N79" s="664"/>
      <c r="O79" s="664"/>
      <c r="P79" s="664"/>
      <c r="Q79" s="664"/>
      <c r="R79" s="203"/>
    </row>
    <row r="80" spans="1:18" ht="20.100000000000001" customHeight="1">
      <c r="A80" s="940" t="s">
        <v>1724</v>
      </c>
      <c r="B80" s="103" t="s">
        <v>1725</v>
      </c>
      <c r="C80" s="109"/>
      <c r="D80" s="103"/>
      <c r="E80" s="103"/>
      <c r="F80" s="103"/>
      <c r="G80" s="589"/>
      <c r="H80" s="589"/>
      <c r="I80" s="589"/>
      <c r="J80" s="109"/>
      <c r="K80" s="103"/>
      <c r="L80" s="654"/>
      <c r="M80" s="654"/>
      <c r="N80" s="654"/>
      <c r="O80" s="655"/>
      <c r="P80" s="655"/>
      <c r="Q80" s="655"/>
      <c r="R80" s="249"/>
    </row>
    <row r="81" spans="1:18" ht="20.100000000000001" customHeight="1">
      <c r="A81" s="941"/>
      <c r="B81" s="935" t="s">
        <v>1725</v>
      </c>
      <c r="C81" s="852">
        <v>170</v>
      </c>
      <c r="D81" s="930">
        <f t="shared" ref="D81:I81" si="22">L81/L82</f>
        <v>5.5483784073566821E-2</v>
      </c>
      <c r="E81" s="930">
        <f t="shared" si="22"/>
        <v>1.9057728108446619E-2</v>
      </c>
      <c r="F81" s="930">
        <f t="shared" si="22"/>
        <v>2.3596968231056791E-2</v>
      </c>
      <c r="G81" s="930">
        <f t="shared" si="22"/>
        <v>2.3029780331768984E-2</v>
      </c>
      <c r="H81" s="930">
        <f t="shared" si="22"/>
        <v>1.5207557255126862E-2</v>
      </c>
      <c r="I81" s="930">
        <f t="shared" si="22"/>
        <v>0.13724660938617642</v>
      </c>
      <c r="J81" s="242" t="s">
        <v>1155</v>
      </c>
      <c r="K81" s="481" t="s">
        <v>1726</v>
      </c>
      <c r="L81" s="656">
        <f>9166*16723</f>
        <v>153283018</v>
      </c>
      <c r="M81" s="656">
        <v>53045356</v>
      </c>
      <c r="N81" s="656">
        <f>3935*16723</f>
        <v>65805005</v>
      </c>
      <c r="O81" s="656">
        <v>66858554</v>
      </c>
      <c r="P81" s="656">
        <v>43998213</v>
      </c>
      <c r="Q81" s="656">
        <f>VLOOKUP(C81, '2021_Internal_ModelLink'!$A$3:$Z$1000, 15, 0)</f>
        <v>30335522</v>
      </c>
      <c r="R81" s="910"/>
    </row>
    <row r="82" spans="1:18" ht="15.95" customHeight="1">
      <c r="A82" s="942"/>
      <c r="B82" s="936"/>
      <c r="C82" s="866"/>
      <c r="D82" s="931"/>
      <c r="E82" s="931"/>
      <c r="F82" s="931"/>
      <c r="G82" s="931"/>
      <c r="H82" s="931"/>
      <c r="I82" s="931"/>
      <c r="J82" s="250" t="s">
        <v>1156</v>
      </c>
      <c r="K82" s="143" t="s">
        <v>1727</v>
      </c>
      <c r="L82" s="665">
        <v>2762663372</v>
      </c>
      <c r="M82" s="666">
        <v>2783403966</v>
      </c>
      <c r="N82" s="665">
        <v>2788705920</v>
      </c>
      <c r="O82" s="665">
        <v>2903134682</v>
      </c>
      <c r="P82" s="665">
        <v>2893180822</v>
      </c>
      <c r="Q82" s="665">
        <f>VLOOKUP(C81, '2021_Internal_ModelLink'!$A$3:$Z$1000, 16, 0)</f>
        <v>221029300</v>
      </c>
      <c r="R82" s="951"/>
    </row>
    <row r="83" spans="1:18" ht="15.95" customHeight="1">
      <c r="A83" s="87"/>
      <c r="B83" s="88"/>
      <c r="C83" s="88"/>
      <c r="D83" s="301"/>
      <c r="E83" s="301"/>
      <c r="F83" s="301"/>
      <c r="G83" s="301"/>
      <c r="H83" s="301"/>
      <c r="I83" s="301"/>
      <c r="K83" s="84"/>
      <c r="L83" s="667"/>
      <c r="M83" s="667"/>
      <c r="N83" s="667"/>
      <c r="O83" s="667"/>
      <c r="P83" s="667"/>
      <c r="Q83" s="667"/>
      <c r="R83" s="203"/>
    </row>
    <row r="84" spans="1:18" ht="15.95" customHeight="1">
      <c r="A84" s="87"/>
      <c r="B84" s="88"/>
      <c r="C84" s="88"/>
      <c r="D84" s="301"/>
      <c r="E84" s="301"/>
      <c r="F84" s="301"/>
      <c r="G84" s="301"/>
      <c r="H84" s="301"/>
      <c r="I84" s="301"/>
      <c r="K84" s="84"/>
      <c r="L84" s="667"/>
      <c r="M84" s="667"/>
      <c r="N84" s="667"/>
      <c r="O84" s="667"/>
      <c r="P84" s="667"/>
      <c r="Q84" s="667"/>
      <c r="R84" s="203"/>
    </row>
    <row r="85" spans="1:18" ht="20.100000000000001" customHeight="1">
      <c r="A85" s="940" t="s">
        <v>1728</v>
      </c>
      <c r="B85" s="136" t="s">
        <v>1665</v>
      </c>
      <c r="C85" s="110"/>
      <c r="D85" s="105"/>
      <c r="E85" s="105"/>
      <c r="F85" s="105"/>
      <c r="G85" s="591"/>
      <c r="H85" s="591"/>
      <c r="I85" s="591"/>
      <c r="J85" s="109"/>
      <c r="K85" s="103"/>
      <c r="L85" s="654"/>
      <c r="M85" s="654"/>
      <c r="N85" s="654"/>
      <c r="O85" s="655"/>
      <c r="P85" s="655"/>
      <c r="Q85" s="655"/>
      <c r="R85" s="254"/>
    </row>
    <row r="86" spans="1:18" ht="20.100000000000001" customHeight="1">
      <c r="A86" s="941"/>
      <c r="B86" s="938" t="s">
        <v>1665</v>
      </c>
      <c r="C86" s="852">
        <v>171</v>
      </c>
      <c r="D86" s="923">
        <f t="shared" ref="D86:I86" si="23">L86/L87</f>
        <v>6.6221698730532658E-2</v>
      </c>
      <c r="E86" s="923">
        <f t="shared" si="23"/>
        <v>3.7783043707214324E-2</v>
      </c>
      <c r="F86" s="923">
        <f t="shared" si="23"/>
        <v>2.7390044772188569E-2</v>
      </c>
      <c r="G86" s="923">
        <f t="shared" si="23"/>
        <v>3.2797681770284512E-2</v>
      </c>
      <c r="H86" s="923">
        <f t="shared" si="23"/>
        <v>2.5751633986928105E-2</v>
      </c>
      <c r="I86" s="923">
        <f t="shared" si="23"/>
        <v>7.7823772915434658E-2</v>
      </c>
      <c r="J86" s="242" t="s">
        <v>1157</v>
      </c>
      <c r="K86" s="274" t="s">
        <v>1729</v>
      </c>
      <c r="L86" s="656">
        <v>506</v>
      </c>
      <c r="M86" s="656">
        <v>287</v>
      </c>
      <c r="N86" s="656">
        <v>208</v>
      </c>
      <c r="O86" s="656">
        <v>249</v>
      </c>
      <c r="P86" s="656">
        <v>197</v>
      </c>
      <c r="Q86" s="656">
        <f>VLOOKUP(C86, '2021_Internal_ModelLink'!$A$3:$Z$1000, 15, 0)</f>
        <v>658</v>
      </c>
      <c r="R86" s="910"/>
    </row>
    <row r="87" spans="1:18" ht="17.45" customHeight="1">
      <c r="A87" s="942"/>
      <c r="B87" s="936"/>
      <c r="C87" s="866"/>
      <c r="D87" s="924"/>
      <c r="E87" s="924"/>
      <c r="F87" s="924"/>
      <c r="G87" s="924"/>
      <c r="H87" s="924"/>
      <c r="I87" s="924"/>
      <c r="J87" s="325" t="s">
        <v>1158</v>
      </c>
      <c r="K87" s="193" t="s">
        <v>1730</v>
      </c>
      <c r="L87" s="668">
        <v>7641</v>
      </c>
      <c r="M87" s="668">
        <v>7596</v>
      </c>
      <c r="N87" s="668">
        <v>7594</v>
      </c>
      <c r="O87" s="668">
        <v>7592</v>
      </c>
      <c r="P87" s="668">
        <v>7650</v>
      </c>
      <c r="Q87" s="668">
        <f>VLOOKUP(C86, '2021_Internal_ModelLink'!$A$3:$Z$1000, 16, 0)</f>
        <v>8455</v>
      </c>
      <c r="R87" s="951"/>
    </row>
    <row r="88" spans="1:18" ht="15.95" customHeight="1">
      <c r="A88" s="85"/>
      <c r="B88" s="92"/>
      <c r="C88" s="51"/>
      <c r="D88" s="141"/>
      <c r="E88" s="141"/>
      <c r="F88" s="141"/>
      <c r="G88" s="141"/>
      <c r="H88" s="141"/>
      <c r="I88" s="141"/>
      <c r="J88" s="84"/>
      <c r="K88" s="195"/>
      <c r="L88" s="669"/>
      <c r="M88" s="669"/>
      <c r="N88" s="669"/>
      <c r="O88" s="669"/>
      <c r="P88" s="669"/>
      <c r="Q88" s="669"/>
      <c r="R88" s="203"/>
    </row>
    <row r="89" spans="1:18" ht="39.950000000000003" customHeight="1">
      <c r="A89" s="940" t="s">
        <v>1731</v>
      </c>
      <c r="B89" s="329" t="s">
        <v>345</v>
      </c>
      <c r="C89" s="109"/>
      <c r="D89" s="142"/>
      <c r="E89" s="142"/>
      <c r="F89" s="142"/>
      <c r="G89" s="592"/>
      <c r="H89" s="592"/>
      <c r="I89" s="592"/>
      <c r="J89" s="109"/>
      <c r="K89" s="103"/>
      <c r="L89" s="670"/>
      <c r="M89" s="670"/>
      <c r="N89" s="670"/>
      <c r="O89" s="675"/>
      <c r="P89" s="675"/>
      <c r="Q89" s="675"/>
      <c r="R89" s="958"/>
    </row>
    <row r="90" spans="1:18" ht="14.45" customHeight="1">
      <c r="A90" s="941"/>
      <c r="B90" s="946" t="s">
        <v>344</v>
      </c>
      <c r="C90" s="852">
        <v>172</v>
      </c>
      <c r="D90" s="925">
        <f t="shared" ref="D90:I90" si="24">L90/L91</f>
        <v>4.3746802894956537E-3</v>
      </c>
      <c r="E90" s="925">
        <f t="shared" si="24"/>
        <v>5.0917393138470511E-2</v>
      </c>
      <c r="F90" s="925">
        <f t="shared" si="24"/>
        <v>5.0820587780012312E-2</v>
      </c>
      <c r="G90" s="925">
        <f t="shared" si="24"/>
        <v>4.8806258396775638E-2</v>
      </c>
      <c r="H90" s="925">
        <f t="shared" si="24"/>
        <v>2.0361879752568055E-3</v>
      </c>
      <c r="I90" s="925">
        <f t="shared" si="24"/>
        <v>3.608386761393173E-2</v>
      </c>
      <c r="J90" s="242" t="s">
        <v>1159</v>
      </c>
      <c r="K90" s="274" t="s">
        <v>1732</v>
      </c>
      <c r="L90" s="656">
        <v>12085769</v>
      </c>
      <c r="M90" s="656">
        <v>141723674</v>
      </c>
      <c r="N90" s="656">
        <v>141723674</v>
      </c>
      <c r="O90" s="676">
        <v>141690150</v>
      </c>
      <c r="P90" s="676">
        <v>5891060</v>
      </c>
      <c r="Q90" s="676">
        <f>VLOOKUP(C90, '2021_Internal_ModelLink'!$A$3:$Z$1000, 15, 0)</f>
        <v>57047348</v>
      </c>
      <c r="R90" s="959"/>
    </row>
    <row r="91" spans="1:18">
      <c r="A91" s="942"/>
      <c r="B91" s="947"/>
      <c r="C91" s="866"/>
      <c r="D91" s="926"/>
      <c r="E91" s="926"/>
      <c r="F91" s="926"/>
      <c r="G91" s="926"/>
      <c r="H91" s="926"/>
      <c r="I91" s="926"/>
      <c r="J91" s="325" t="s">
        <v>1160</v>
      </c>
      <c r="K91" s="143" t="s">
        <v>1733</v>
      </c>
      <c r="L91" s="539">
        <f>L82</f>
        <v>2762663372</v>
      </c>
      <c r="M91" s="539">
        <v>2783403966</v>
      </c>
      <c r="N91" s="539">
        <v>2788705920</v>
      </c>
      <c r="O91" s="677">
        <v>2903114368</v>
      </c>
      <c r="P91" s="677">
        <v>2893180822</v>
      </c>
      <c r="Q91" s="677">
        <f>VLOOKUP(C90, '2021_Internal_ModelLink'!$A$3:$Z$1000, 16, 0)</f>
        <v>1580965450</v>
      </c>
      <c r="R91" s="508"/>
    </row>
    <row r="92" spans="1:18">
      <c r="A92" s="81"/>
      <c r="D92" s="79"/>
      <c r="E92" s="79"/>
      <c r="F92" s="79"/>
      <c r="G92" s="79"/>
      <c r="H92" s="79"/>
      <c r="I92" s="79"/>
      <c r="K92" s="79"/>
      <c r="L92" s="671"/>
      <c r="M92" s="672"/>
      <c r="N92" s="672"/>
      <c r="O92" s="672"/>
      <c r="P92" s="672"/>
      <c r="Q92" s="672"/>
      <c r="R92" s="203"/>
    </row>
    <row r="93" spans="1:18" ht="15.95" customHeight="1">
      <c r="A93" s="940" t="s">
        <v>1734</v>
      </c>
      <c r="B93" s="204" t="s">
        <v>1735</v>
      </c>
      <c r="C93" s="110"/>
      <c r="D93" s="105"/>
      <c r="E93" s="105"/>
      <c r="F93" s="105"/>
      <c r="G93" s="591"/>
      <c r="H93" s="591"/>
      <c r="I93" s="591"/>
      <c r="J93" s="109"/>
      <c r="K93" s="103"/>
      <c r="L93" s="654"/>
      <c r="M93" s="654"/>
      <c r="N93" s="654"/>
      <c r="O93" s="655"/>
      <c r="P93" s="655"/>
      <c r="Q93" s="655"/>
      <c r="R93" s="503"/>
    </row>
    <row r="94" spans="1:18" ht="15.95" customHeight="1">
      <c r="A94" s="941"/>
      <c r="B94" s="948" t="s">
        <v>1736</v>
      </c>
      <c r="C94" s="852">
        <v>173</v>
      </c>
      <c r="D94" s="925">
        <f t="shared" ref="D94:I94" si="25">L94/L95</f>
        <v>0.10622462787550745</v>
      </c>
      <c r="E94" s="925">
        <f t="shared" si="25"/>
        <v>5.6375838926174496E-2</v>
      </c>
      <c r="F94" s="925">
        <f t="shared" si="25"/>
        <v>5.8091286307053944E-2</v>
      </c>
      <c r="G94" s="925">
        <f t="shared" si="25"/>
        <v>0.16052631578947368</v>
      </c>
      <c r="H94" s="925">
        <f t="shared" si="25"/>
        <v>2.2148394241417496E-3</v>
      </c>
      <c r="I94" s="925">
        <f t="shared" si="25"/>
        <v>0.1096859796550199</v>
      </c>
      <c r="J94" s="242" t="s">
        <v>1161</v>
      </c>
      <c r="K94" s="293" t="s">
        <v>1737</v>
      </c>
      <c r="L94" s="656">
        <v>157</v>
      </c>
      <c r="M94" s="656">
        <v>84</v>
      </c>
      <c r="N94" s="656">
        <v>84</v>
      </c>
      <c r="O94" s="676">
        <v>305</v>
      </c>
      <c r="P94" s="676">
        <v>4</v>
      </c>
      <c r="Q94" s="676">
        <f>VLOOKUP(C94, '2021_Internal_ModelLink'!$A$3:$Z$1000, 15, 0)</f>
        <v>248</v>
      </c>
      <c r="R94" s="504"/>
    </row>
    <row r="95" spans="1:18" ht="15.95" customHeight="1">
      <c r="A95" s="941"/>
      <c r="B95" s="950"/>
      <c r="C95" s="852"/>
      <c r="D95" s="925"/>
      <c r="E95" s="925"/>
      <c r="F95" s="925"/>
      <c r="G95" s="925"/>
      <c r="H95" s="925"/>
      <c r="I95" s="925"/>
      <c r="J95" s="242" t="s">
        <v>1162</v>
      </c>
      <c r="K95" s="291" t="s">
        <v>1738</v>
      </c>
      <c r="L95" s="495">
        <v>1478</v>
      </c>
      <c r="M95" s="495">
        <v>1490</v>
      </c>
      <c r="N95" s="495">
        <v>1446</v>
      </c>
      <c r="O95" s="669">
        <v>1900</v>
      </c>
      <c r="P95" s="669">
        <v>1806</v>
      </c>
      <c r="Q95" s="669">
        <f>VLOOKUP(C94, '2021_Internal_ModelLink'!$A$3:$Z$1000, 16, 0)</f>
        <v>2261</v>
      </c>
      <c r="R95" s="505"/>
    </row>
    <row r="96" spans="1:18" ht="15.95" customHeight="1">
      <c r="A96" s="941"/>
      <c r="B96" s="89"/>
      <c r="C96" s="89"/>
      <c r="D96" s="302"/>
      <c r="E96" s="302"/>
      <c r="F96" s="302"/>
      <c r="G96" s="302"/>
      <c r="H96" s="302"/>
      <c r="I96" s="302"/>
      <c r="J96" s="89"/>
      <c r="K96" s="108"/>
      <c r="L96" s="673"/>
      <c r="M96" s="673"/>
      <c r="N96" s="673"/>
      <c r="O96" s="673"/>
      <c r="P96" s="673"/>
      <c r="Q96" s="673"/>
      <c r="R96" s="506"/>
    </row>
    <row r="97" spans="1:30" ht="15.95" customHeight="1">
      <c r="A97" s="941"/>
      <c r="B97" s="948" t="s">
        <v>1739</v>
      </c>
      <c r="C97" s="852">
        <v>174</v>
      </c>
      <c r="D97" s="925">
        <f t="shared" ref="D97:I97" si="26">L97/L98</f>
        <v>1.4109571628320834E-2</v>
      </c>
      <c r="E97" s="925">
        <f t="shared" si="26"/>
        <v>3.6307405524487378E-2</v>
      </c>
      <c r="F97" s="925">
        <f t="shared" si="26"/>
        <v>3.6655260906757914E-2</v>
      </c>
      <c r="G97" s="925">
        <f t="shared" si="26"/>
        <v>8.645017687507453E-2</v>
      </c>
      <c r="H97" s="925">
        <f t="shared" si="26"/>
        <v>2.5229164914641325E-3</v>
      </c>
      <c r="I97" s="925">
        <f t="shared" si="26"/>
        <v>6.7476555839727198E-2</v>
      </c>
      <c r="J97" s="242" t="s">
        <v>1163</v>
      </c>
      <c r="K97" s="293" t="s">
        <v>1740</v>
      </c>
      <c r="L97" s="656">
        <v>333</v>
      </c>
      <c r="M97" s="656">
        <v>857</v>
      </c>
      <c r="N97" s="656">
        <v>857</v>
      </c>
      <c r="O97" s="676">
        <v>2175</v>
      </c>
      <c r="P97" s="676">
        <v>60</v>
      </c>
      <c r="Q97" s="676">
        <f>VLOOKUP(C97, '2021_Internal_ModelLink'!$A$3:$Z$1000, 15, 0)</f>
        <v>1583</v>
      </c>
      <c r="R97" s="504"/>
    </row>
    <row r="98" spans="1:30" ht="15.95" customHeight="1">
      <c r="A98" s="941"/>
      <c r="B98" s="950"/>
      <c r="C98" s="852"/>
      <c r="D98" s="925"/>
      <c r="E98" s="925"/>
      <c r="F98" s="925"/>
      <c r="G98" s="925"/>
      <c r="H98" s="925"/>
      <c r="I98" s="925"/>
      <c r="J98" s="242" t="s">
        <v>1164</v>
      </c>
      <c r="K98" s="291" t="s">
        <v>1741</v>
      </c>
      <c r="L98" s="495">
        <v>23601</v>
      </c>
      <c r="M98" s="495">
        <v>23604</v>
      </c>
      <c r="N98" s="495">
        <v>23380</v>
      </c>
      <c r="O98" s="669">
        <v>25159</v>
      </c>
      <c r="P98" s="669">
        <v>23782</v>
      </c>
      <c r="Q98" s="669">
        <f>VLOOKUP(C97, '2021_Internal_ModelLink'!$A$3:$Z$1000, 16, 0)</f>
        <v>23460</v>
      </c>
      <c r="R98" s="505"/>
    </row>
    <row r="99" spans="1:30" ht="15.95" customHeight="1">
      <c r="A99" s="941"/>
      <c r="B99" s="322"/>
      <c r="C99" s="573"/>
      <c r="D99" s="302"/>
      <c r="E99" s="302"/>
      <c r="F99" s="302"/>
      <c r="G99" s="302"/>
      <c r="H99" s="302"/>
      <c r="I99" s="302"/>
      <c r="J99" s="89"/>
      <c r="K99" s="108"/>
      <c r="L99" s="673"/>
      <c r="M99" s="673"/>
      <c r="N99" s="673"/>
      <c r="O99" s="673"/>
      <c r="P99" s="673"/>
      <c r="Q99" s="673"/>
      <c r="R99" s="506"/>
    </row>
    <row r="100" spans="1:30" ht="15.95" customHeight="1">
      <c r="A100" s="941"/>
      <c r="B100" s="948" t="s">
        <v>1742</v>
      </c>
      <c r="C100" s="852">
        <v>175</v>
      </c>
      <c r="D100" s="925">
        <f>L100/L101</f>
        <v>2.5964893300516592E-3</v>
      </c>
      <c r="E100" s="925">
        <f>M100/M101</f>
        <v>2.2309582309582309E-2</v>
      </c>
      <c r="F100" s="925">
        <f t="shared" ref="F100" si="27">N100/N101</f>
        <v>2.220463478400057E-2</v>
      </c>
      <c r="G100" s="925">
        <f t="shared" ref="G100" si="28">O100/O101</f>
        <v>3.8799167911059702E-2</v>
      </c>
      <c r="H100" s="925">
        <f t="shared" ref="H100:I100" si="29">P100/P101</f>
        <v>1.9343518637394616E-3</v>
      </c>
      <c r="I100" s="925">
        <f t="shared" si="29"/>
        <v>2.8459604905781331E-2</v>
      </c>
      <c r="J100" s="242" t="s">
        <v>1165</v>
      </c>
      <c r="K100" s="293" t="s">
        <v>1743</v>
      </c>
      <c r="L100" s="656">
        <v>288</v>
      </c>
      <c r="M100" s="656">
        <v>2497</v>
      </c>
      <c r="N100" s="656">
        <v>2497</v>
      </c>
      <c r="O100" s="676">
        <v>4495</v>
      </c>
      <c r="P100" s="676">
        <v>226</v>
      </c>
      <c r="Q100" s="676">
        <f>VLOOKUP(C100, '2021_Internal_ModelLink'!$A$3:$Z$1000, 15, 0)</f>
        <v>3374</v>
      </c>
      <c r="R100" s="504"/>
    </row>
    <row r="101" spans="1:30" ht="15.95" customHeight="1">
      <c r="A101" s="942"/>
      <c r="B101" s="949"/>
      <c r="C101" s="866"/>
      <c r="D101" s="926"/>
      <c r="E101" s="926"/>
      <c r="F101" s="926"/>
      <c r="G101" s="926"/>
      <c r="H101" s="926"/>
      <c r="I101" s="926"/>
      <c r="J101" s="250" t="s">
        <v>1166</v>
      </c>
      <c r="K101" s="292" t="s">
        <v>1744</v>
      </c>
      <c r="L101" s="674">
        <v>110919</v>
      </c>
      <c r="M101" s="674">
        <v>111925</v>
      </c>
      <c r="N101" s="674">
        <v>112454</v>
      </c>
      <c r="O101" s="678">
        <v>115853</v>
      </c>
      <c r="P101" s="678">
        <v>116835</v>
      </c>
      <c r="Q101" s="678">
        <f>VLOOKUP(C100, '2021_Internal_ModelLink'!$A$3:$Z$1000, 16, 0)</f>
        <v>118554</v>
      </c>
      <c r="R101" s="507"/>
    </row>
    <row r="102" spans="1:30" ht="15.95" customHeight="1">
      <c r="A102" s="85"/>
      <c r="B102" s="87"/>
      <c r="D102" s="303"/>
      <c r="E102" s="303"/>
      <c r="F102" s="303"/>
      <c r="G102" s="303"/>
      <c r="H102" s="303"/>
      <c r="I102" s="303"/>
      <c r="K102" s="108"/>
      <c r="L102" s="673">
        <f>L94+L97+L100</f>
        <v>778</v>
      </c>
      <c r="M102" s="673">
        <f>M94+M97+M100</f>
        <v>3438</v>
      </c>
      <c r="N102" s="673">
        <f>N94+N97+N100</f>
        <v>3438</v>
      </c>
      <c r="O102" s="673">
        <f>O94+O97+O100</f>
        <v>6975</v>
      </c>
      <c r="P102" s="673"/>
      <c r="Q102" s="673"/>
      <c r="R102" s="203"/>
    </row>
    <row r="103" spans="1:30" ht="15.95" customHeight="1">
      <c r="A103" s="85"/>
      <c r="B103" s="87"/>
      <c r="D103" s="303"/>
      <c r="E103" s="303"/>
      <c r="F103" s="303"/>
      <c r="G103" s="303"/>
      <c r="H103" s="303"/>
      <c r="I103" s="303"/>
      <c r="K103" s="108"/>
      <c r="L103" s="186"/>
      <c r="M103" s="186"/>
      <c r="N103" s="186"/>
      <c r="O103" s="186"/>
      <c r="P103" s="186"/>
      <c r="Q103" s="186"/>
      <c r="R103" s="203"/>
    </row>
    <row r="104" spans="1:30">
      <c r="A104" s="940" t="s">
        <v>271</v>
      </c>
      <c r="B104" s="144" t="s">
        <v>1745</v>
      </c>
      <c r="C104" s="109"/>
      <c r="D104" s="304"/>
      <c r="E104" s="304"/>
      <c r="F104" s="304"/>
      <c r="G104" s="593"/>
      <c r="H104" s="593"/>
      <c r="I104" s="593"/>
      <c r="J104" s="109"/>
      <c r="K104" s="103"/>
      <c r="L104" s="197"/>
      <c r="M104" s="197"/>
      <c r="N104" s="197"/>
      <c r="O104" s="679"/>
      <c r="P104" s="679"/>
      <c r="Q104" s="679"/>
      <c r="R104" s="918"/>
    </row>
    <row r="105" spans="1:30" ht="18" customHeight="1">
      <c r="A105" s="941"/>
      <c r="B105" s="946" t="s">
        <v>362</v>
      </c>
      <c r="C105" s="852">
        <v>176</v>
      </c>
      <c r="D105" s="925">
        <f t="shared" ref="D105:I105" si="30">L105/L106</f>
        <v>1.3083867591259977E-3</v>
      </c>
      <c r="E105" s="925">
        <f t="shared" si="30"/>
        <v>1.7904160084254869E-2</v>
      </c>
      <c r="F105" s="925">
        <f t="shared" si="30"/>
        <v>1.7901803343425036E-2</v>
      </c>
      <c r="G105" s="925">
        <f t="shared" si="30"/>
        <v>3.6222339304531087E-2</v>
      </c>
      <c r="H105" s="925">
        <f t="shared" si="30"/>
        <v>2.6143790849673205E-4</v>
      </c>
      <c r="I105" s="925">
        <f t="shared" si="30"/>
        <v>1.5257244234180957E-2</v>
      </c>
      <c r="J105" s="242" t="s">
        <v>1167</v>
      </c>
      <c r="K105" s="293" t="s">
        <v>1746</v>
      </c>
      <c r="L105" s="713">
        <v>10</v>
      </c>
      <c r="M105" s="183">
        <v>136</v>
      </c>
      <c r="N105" s="183">
        <v>136</v>
      </c>
      <c r="O105" s="680">
        <v>275</v>
      </c>
      <c r="P105" s="680">
        <v>2</v>
      </c>
      <c r="Q105" s="680">
        <f>VLOOKUP(C105, '2021_Internal_ModelLink'!$A$3:$Z$1000, 15, 0)</f>
        <v>129</v>
      </c>
      <c r="R105" s="910"/>
    </row>
    <row r="106" spans="1:30" ht="23.1" customHeight="1">
      <c r="A106" s="942"/>
      <c r="B106" s="947"/>
      <c r="C106" s="866"/>
      <c r="D106" s="926"/>
      <c r="E106" s="926"/>
      <c r="F106" s="926"/>
      <c r="G106" s="926"/>
      <c r="H106" s="926"/>
      <c r="I106" s="926"/>
      <c r="J106" s="325" t="s">
        <v>1168</v>
      </c>
      <c r="K106" s="143" t="s">
        <v>1747</v>
      </c>
      <c r="L106" s="539">
        <f>7643</f>
        <v>7643</v>
      </c>
      <c r="M106" s="327">
        <v>7596</v>
      </c>
      <c r="N106" s="327">
        <v>7597</v>
      </c>
      <c r="O106" s="681">
        <v>7592</v>
      </c>
      <c r="P106" s="681">
        <v>7650</v>
      </c>
      <c r="Q106" s="681">
        <f>VLOOKUP(C105, '2021_Internal_ModelLink'!$A$3:$Z$1000, 16, 0)</f>
        <v>8455</v>
      </c>
      <c r="R106" s="406"/>
    </row>
    <row r="107" spans="1:30">
      <c r="A107" s="81"/>
      <c r="D107" s="79"/>
      <c r="E107" s="79"/>
      <c r="F107" s="79"/>
      <c r="G107" s="79"/>
      <c r="H107" s="79"/>
      <c r="I107" s="79"/>
      <c r="K107" s="79"/>
      <c r="L107" s="80"/>
      <c r="M107" s="79"/>
      <c r="N107" s="79"/>
      <c r="O107" s="79"/>
      <c r="P107" s="79"/>
      <c r="Q107" s="79"/>
      <c r="R107" s="203"/>
    </row>
    <row r="108" spans="1:30" s="405" customFormat="1" ht="30" customHeight="1">
      <c r="A108" s="856" t="s">
        <v>1748</v>
      </c>
      <c r="B108" s="170" t="s">
        <v>1569</v>
      </c>
      <c r="C108" s="170"/>
      <c r="D108" s="170"/>
      <c r="E108" s="170"/>
      <c r="F108" s="381"/>
      <c r="G108" s="594"/>
      <c r="H108" s="594"/>
      <c r="I108" s="594"/>
      <c r="J108" s="114"/>
      <c r="K108" s="114"/>
      <c r="L108" s="122"/>
      <c r="M108" s="378"/>
      <c r="N108" s="378"/>
      <c r="O108" s="596"/>
      <c r="P108" s="596"/>
      <c r="Q108" s="596"/>
      <c r="R108" s="229"/>
      <c r="S108" s="43"/>
      <c r="T108" s="453"/>
      <c r="U108" s="44"/>
      <c r="V108" s="44"/>
      <c r="W108" s="44"/>
      <c r="X108" s="44"/>
      <c r="Y108" s="44"/>
      <c r="Z108" s="44"/>
      <c r="AA108" s="44"/>
      <c r="AB108" s="44"/>
      <c r="AC108" s="44"/>
      <c r="AD108" s="44"/>
    </row>
    <row r="109" spans="1:30" s="405" customFormat="1" ht="18.75" customHeight="1">
      <c r="A109" s="857"/>
      <c r="B109" s="850" t="s">
        <v>1571</v>
      </c>
      <c r="C109" s="852">
        <v>177</v>
      </c>
      <c r="D109" s="849">
        <f t="shared" ref="D109:I109" si="31">L109/L110</f>
        <v>308.75989172309579</v>
      </c>
      <c r="E109" s="849">
        <f t="shared" si="31"/>
        <v>99.629885801856304</v>
      </c>
      <c r="F109" s="849">
        <f t="shared" si="31"/>
        <v>126.72592204790902</v>
      </c>
      <c r="G109" s="849">
        <f t="shared" si="31"/>
        <v>336.89032019194184</v>
      </c>
      <c r="H109" s="849">
        <f t="shared" si="31"/>
        <v>12.655258112763464</v>
      </c>
      <c r="I109" s="849">
        <f t="shared" si="31"/>
        <v>106.26418996142814</v>
      </c>
      <c r="J109" s="242" t="s">
        <v>1169</v>
      </c>
      <c r="K109" s="235" t="s">
        <v>1572</v>
      </c>
      <c r="L109" s="656">
        <v>45796543.016906992</v>
      </c>
      <c r="M109" s="656">
        <v>11990953.485676881</v>
      </c>
      <c r="N109" s="656">
        <v>14442467.599892978</v>
      </c>
      <c r="O109" s="656">
        <v>10014378.154821718</v>
      </c>
      <c r="P109" s="656">
        <v>7724023.7428444577</v>
      </c>
      <c r="Q109" s="656">
        <f>VLOOKUP(C109, '2021_Internal_ModelLink'!$A$3:$Z$1000, 15, 0)</f>
        <v>7023255.9717683783</v>
      </c>
      <c r="R109" s="853"/>
      <c r="S109" s="424"/>
      <c r="T109" s="453"/>
      <c r="U109" s="44"/>
      <c r="V109" s="44"/>
      <c r="W109" s="44"/>
      <c r="X109" s="44"/>
      <c r="Y109" s="44"/>
      <c r="Z109" s="44"/>
      <c r="AA109" s="44"/>
      <c r="AB109" s="44"/>
      <c r="AC109" s="44"/>
      <c r="AD109" s="44"/>
    </row>
    <row r="110" spans="1:30" s="405" customFormat="1" ht="18.75" customHeight="1">
      <c r="A110" s="857"/>
      <c r="B110" s="851"/>
      <c r="C110" s="852"/>
      <c r="D110" s="849"/>
      <c r="E110" s="849"/>
      <c r="F110" s="849"/>
      <c r="G110" s="849"/>
      <c r="H110" s="849"/>
      <c r="I110" s="849"/>
      <c r="J110" s="242" t="s">
        <v>1170</v>
      </c>
      <c r="K110" s="295" t="s">
        <v>1573</v>
      </c>
      <c r="L110" s="635">
        <v>148324.13226125421</v>
      </c>
      <c r="M110" s="635">
        <v>120354.985747193</v>
      </c>
      <c r="N110" s="635">
        <v>113966.16703592001</v>
      </c>
      <c r="O110" s="635">
        <v>29725.930234849337</v>
      </c>
      <c r="P110" s="635">
        <v>610341.06724811811</v>
      </c>
      <c r="Q110" s="635">
        <f>VLOOKUP(C109, '2021_Internal_ModelLink'!$A$3:$Z$1000, 16, 0)</f>
        <v>66092.405864267959</v>
      </c>
      <c r="R110" s="853"/>
      <c r="S110" s="424"/>
      <c r="T110" s="453"/>
      <c r="U110" s="44"/>
      <c r="V110" s="44"/>
      <c r="W110" s="44"/>
      <c r="X110" s="44"/>
      <c r="Y110" s="44"/>
      <c r="Z110" s="44"/>
      <c r="AA110" s="44"/>
      <c r="AB110" s="44"/>
      <c r="AC110" s="44"/>
      <c r="AD110" s="44"/>
    </row>
    <row r="111" spans="1:30" s="405" customFormat="1" ht="18.75" customHeight="1">
      <c r="A111" s="857"/>
      <c r="B111" s="58"/>
      <c r="C111" s="573"/>
      <c r="D111" s="207"/>
      <c r="E111" s="207"/>
      <c r="F111" s="380"/>
      <c r="G111" s="380"/>
      <c r="H111" s="380"/>
      <c r="I111" s="380"/>
      <c r="J111" s="263"/>
      <c r="K111" s="58"/>
      <c r="L111" s="632"/>
      <c r="M111" s="632"/>
      <c r="N111" s="459"/>
      <c r="O111" s="459"/>
      <c r="P111" s="459"/>
      <c r="Q111" s="459"/>
      <c r="R111" s="619"/>
      <c r="S111" s="424"/>
      <c r="T111" s="453"/>
      <c r="U111" s="44"/>
      <c r="V111" s="44"/>
      <c r="W111" s="44"/>
      <c r="X111" s="44"/>
      <c r="Y111" s="44"/>
      <c r="Z111" s="44"/>
      <c r="AA111" s="44"/>
      <c r="AB111" s="44"/>
      <c r="AC111" s="44"/>
      <c r="AD111" s="44"/>
    </row>
    <row r="112" spans="1:30" s="405" customFormat="1" ht="18.75" customHeight="1">
      <c r="A112" s="857"/>
      <c r="B112" s="850" t="s">
        <v>1574</v>
      </c>
      <c r="C112" s="852">
        <v>178</v>
      </c>
      <c r="D112" s="849">
        <f t="shared" ref="D112:I112" si="32">L112/L113</f>
        <v>6.2627121171113395E-2</v>
      </c>
      <c r="E112" s="849">
        <f t="shared" si="32"/>
        <v>2.1583563714012717E-2</v>
      </c>
      <c r="F112" s="849">
        <f t="shared" si="32"/>
        <v>3.0611934809421856E-2</v>
      </c>
      <c r="G112" s="849">
        <f t="shared" si="32"/>
        <v>7.386965584745582E-2</v>
      </c>
      <c r="H112" s="927">
        <f t="shared" si="32"/>
        <v>2.610874750144375E-3</v>
      </c>
      <c r="I112" s="927">
        <f t="shared" si="32"/>
        <v>3.2691341846280503E-2</v>
      </c>
      <c r="J112" s="242" t="s">
        <v>1171</v>
      </c>
      <c r="K112" s="235" t="s">
        <v>1572</v>
      </c>
      <c r="L112" s="656">
        <v>45796543.016906992</v>
      </c>
      <c r="M112" s="656">
        <v>11990953.485676881</v>
      </c>
      <c r="N112" s="656">
        <f>N109</f>
        <v>14442467.599892978</v>
      </c>
      <c r="O112" s="656">
        <v>10014378.154821718</v>
      </c>
      <c r="P112" s="656">
        <v>7724023.7428444577</v>
      </c>
      <c r="Q112" s="656">
        <f>VLOOKUP(C112, '2021_Internal_ModelLink'!$A$3:$Z$1000, 15, 0)</f>
        <v>7023255.9717683783</v>
      </c>
      <c r="R112" s="853"/>
      <c r="S112" s="424"/>
      <c r="T112" s="453"/>
      <c r="U112" s="44"/>
      <c r="V112" s="44"/>
      <c r="W112" s="44"/>
      <c r="X112" s="44"/>
      <c r="Y112" s="44"/>
      <c r="Z112" s="44"/>
      <c r="AA112" s="44"/>
      <c r="AB112" s="44"/>
      <c r="AC112" s="44"/>
      <c r="AD112" s="44"/>
    </row>
    <row r="113" spans="1:30" s="405" customFormat="1" ht="15" customHeight="1">
      <c r="A113" s="857"/>
      <c r="B113" s="851"/>
      <c r="C113" s="852"/>
      <c r="D113" s="849"/>
      <c r="E113" s="849"/>
      <c r="F113" s="849"/>
      <c r="G113" s="849"/>
      <c r="H113" s="927"/>
      <c r="I113" s="927"/>
      <c r="J113" s="242" t="s">
        <v>1172</v>
      </c>
      <c r="K113" s="295" t="s">
        <v>1575</v>
      </c>
      <c r="L113" s="635">
        <v>731257355.6076299</v>
      </c>
      <c r="M113" s="635">
        <v>555559482.417261</v>
      </c>
      <c r="N113" s="635">
        <v>471792053.97522998</v>
      </c>
      <c r="O113" s="635">
        <v>135568225.40911606</v>
      </c>
      <c r="P113" s="635">
        <v>2958404550.9717913</v>
      </c>
      <c r="Q113" s="635">
        <f>VLOOKUP(C112, '2021_Internal_ModelLink'!$A$3:$Z$1000, 16, 0)</f>
        <v>214835353.18901137</v>
      </c>
      <c r="R113" s="853"/>
      <c r="S113" s="424"/>
      <c r="T113" s="453"/>
      <c r="U113" s="44"/>
      <c r="V113" s="44"/>
      <c r="W113" s="44"/>
      <c r="X113" s="44"/>
      <c r="Y113" s="44"/>
      <c r="Z113" s="44"/>
      <c r="AA113" s="44"/>
      <c r="AB113" s="44"/>
      <c r="AC113" s="44"/>
      <c r="AD113" s="44"/>
    </row>
    <row r="114" spans="1:30" s="44" customFormat="1" ht="15" customHeight="1">
      <c r="A114" s="943"/>
      <c r="B114" s="418"/>
      <c r="C114" s="573"/>
      <c r="D114" s="419"/>
      <c r="E114" s="419"/>
      <c r="F114" s="419"/>
      <c r="G114" s="419"/>
      <c r="H114" s="419"/>
      <c r="I114" s="419"/>
      <c r="J114" s="420"/>
      <c r="K114" s="421"/>
      <c r="L114" s="422"/>
      <c r="M114" s="422"/>
      <c r="N114" s="422"/>
      <c r="O114" s="422"/>
      <c r="P114" s="422"/>
      <c r="Q114" s="422"/>
      <c r="R114" s="616"/>
      <c r="S114" s="424"/>
      <c r="T114" s="453"/>
    </row>
    <row r="115" spans="1:30" s="405" customFormat="1" ht="15" customHeight="1">
      <c r="A115" s="943"/>
      <c r="B115" s="850" t="s">
        <v>1576</v>
      </c>
      <c r="C115" s="852">
        <v>179</v>
      </c>
      <c r="D115" s="849">
        <f t="shared" ref="D115:I115" si="33">L115/L116</f>
        <v>0.4769468424327129</v>
      </c>
      <c r="E115" s="849">
        <f t="shared" si="33"/>
        <v>0.15564670308157966</v>
      </c>
      <c r="F115" s="849">
        <f t="shared" si="33"/>
        <v>0.29694917736404691</v>
      </c>
      <c r="G115" s="849">
        <f t="shared" si="33"/>
        <v>0.79477612732202296</v>
      </c>
      <c r="H115" s="849">
        <f t="shared" si="33"/>
        <v>3.0418270850716668E-2</v>
      </c>
      <c r="I115" s="849">
        <f t="shared" si="33"/>
        <v>0.14851998116532975</v>
      </c>
      <c r="J115" s="242" t="s">
        <v>1173</v>
      </c>
      <c r="K115" s="235" t="s">
        <v>1572</v>
      </c>
      <c r="L115" s="656">
        <v>1447835.5841930027</v>
      </c>
      <c r="M115" s="656">
        <v>478500.99432312063</v>
      </c>
      <c r="N115" s="656">
        <v>669359.45360822114</v>
      </c>
      <c r="O115" s="656">
        <v>3012844.7418975066</v>
      </c>
      <c r="P115" s="656">
        <v>371398.34731839859</v>
      </c>
      <c r="Q115" s="656">
        <f>VLOOKUP(C115, '2021_Internal_ModelLink'!$A$3:$Z$1000, 15, 0)</f>
        <v>1489166.7276041477</v>
      </c>
      <c r="R115" s="617"/>
      <c r="S115" s="424"/>
      <c r="T115" s="453"/>
      <c r="U115" s="44"/>
      <c r="V115" s="44"/>
      <c r="W115" s="44"/>
      <c r="X115" s="44"/>
      <c r="Y115" s="44"/>
      <c r="Z115" s="44"/>
      <c r="AA115" s="44"/>
      <c r="AB115" s="44"/>
      <c r="AC115" s="44"/>
      <c r="AD115" s="44"/>
    </row>
    <row r="116" spans="1:30" s="405" customFormat="1" ht="15" customHeight="1">
      <c r="A116" s="944"/>
      <c r="B116" s="865"/>
      <c r="C116" s="866"/>
      <c r="D116" s="854"/>
      <c r="E116" s="854"/>
      <c r="F116" s="854"/>
      <c r="G116" s="854"/>
      <c r="H116" s="854"/>
      <c r="I116" s="854"/>
      <c r="J116" s="250" t="s">
        <v>1174</v>
      </c>
      <c r="K116" s="296" t="s">
        <v>1577</v>
      </c>
      <c r="L116" s="638">
        <v>3035633.0210892665</v>
      </c>
      <c r="M116" s="638">
        <v>3074276.4533362598</v>
      </c>
      <c r="N116" s="638">
        <v>2254121.25923358</v>
      </c>
      <c r="O116" s="638">
        <v>3790809.3088417323</v>
      </c>
      <c r="P116" s="638">
        <v>12209712.680286963</v>
      </c>
      <c r="Q116" s="638">
        <f>VLOOKUP(C115, '2021_Internal_ModelLink'!$A$3:$Z$1000, 16, 0)</f>
        <v>10026709.644855358</v>
      </c>
      <c r="R116" s="618"/>
      <c r="S116" s="424"/>
      <c r="T116" s="453"/>
      <c r="U116" s="44"/>
      <c r="V116" s="44"/>
      <c r="W116" s="44"/>
      <c r="X116" s="44"/>
      <c r="Y116" s="44"/>
      <c r="Z116" s="44"/>
      <c r="AA116" s="44"/>
      <c r="AB116" s="44"/>
      <c r="AC116" s="44"/>
      <c r="AD116" s="44"/>
    </row>
    <row r="117" spans="1:30" s="405" customFormat="1" ht="15.75">
      <c r="A117" s="49"/>
      <c r="B117" s="42"/>
      <c r="C117" s="45"/>
      <c r="L117" s="44"/>
      <c r="M117" s="44"/>
      <c r="N117" s="44"/>
      <c r="O117" s="44"/>
      <c r="P117" s="44"/>
      <c r="Q117" s="44"/>
      <c r="R117" s="46"/>
      <c r="S117" s="43"/>
      <c r="T117" s="453"/>
      <c r="U117" s="44"/>
      <c r="V117" s="44"/>
      <c r="W117" s="44"/>
      <c r="X117" s="44"/>
      <c r="Y117" s="44"/>
      <c r="Z117" s="44"/>
      <c r="AA117" s="44"/>
      <c r="AB117" s="44"/>
      <c r="AC117" s="44"/>
      <c r="AD117" s="44"/>
    </row>
    <row r="118" spans="1:30" s="405" customFormat="1" ht="30" customHeight="1">
      <c r="A118" s="856" t="s">
        <v>1578</v>
      </c>
      <c r="B118" s="170" t="s">
        <v>1579</v>
      </c>
      <c r="C118" s="170"/>
      <c r="D118" s="170"/>
      <c r="E118" s="170"/>
      <c r="F118" s="381"/>
      <c r="G118" s="594"/>
      <c r="H118" s="594"/>
      <c r="I118" s="594"/>
      <c r="J118" s="114"/>
      <c r="K118" s="114"/>
      <c r="L118" s="636"/>
      <c r="M118" s="636"/>
      <c r="N118" s="636"/>
      <c r="O118" s="637"/>
      <c r="P118" s="637"/>
      <c r="Q118" s="637"/>
      <c r="R118" s="229"/>
      <c r="S118" s="43"/>
      <c r="T118" s="454"/>
      <c r="U118" s="44"/>
      <c r="V118" s="44"/>
      <c r="W118" s="44"/>
      <c r="X118" s="44"/>
      <c r="Y118" s="44"/>
      <c r="Z118" s="44"/>
      <c r="AA118" s="44"/>
      <c r="AB118" s="44"/>
      <c r="AC118" s="44"/>
      <c r="AD118" s="44"/>
    </row>
    <row r="119" spans="1:30" s="405" customFormat="1" ht="18.75" customHeight="1">
      <c r="A119" s="857"/>
      <c r="B119" s="850" t="s">
        <v>97</v>
      </c>
      <c r="C119" s="852">
        <v>180</v>
      </c>
      <c r="D119" s="849">
        <f t="shared" ref="D119:I119" si="34">L119/L120</f>
        <v>376.71386639097682</v>
      </c>
      <c r="E119" s="849">
        <f t="shared" si="34"/>
        <v>201.62032026562042</v>
      </c>
      <c r="F119" s="849">
        <f t="shared" si="34"/>
        <v>176.21722775693706</v>
      </c>
      <c r="G119" s="849">
        <f t="shared" si="34"/>
        <v>423.55486988365419</v>
      </c>
      <c r="H119" s="849">
        <f t="shared" si="34"/>
        <v>143.83056313145227</v>
      </c>
      <c r="I119" s="849">
        <f t="shared" si="34"/>
        <v>146.92283993155073</v>
      </c>
      <c r="J119" s="242" t="s">
        <v>1175</v>
      </c>
      <c r="K119" s="235" t="s">
        <v>1580</v>
      </c>
      <c r="L119" s="656">
        <v>55875757.343223691</v>
      </c>
      <c r="M119" s="656">
        <v>24266010.771913234</v>
      </c>
      <c r="N119" s="656">
        <v>20082802.013153847</v>
      </c>
      <c r="O119" s="656">
        <v>12590562.512792192</v>
      </c>
      <c r="P119" s="656">
        <v>87785699.404548407</v>
      </c>
      <c r="Q119" s="656">
        <f>VLOOKUP(C119, '2021_Internal_ModelLink'!$A$3:$Z$1000, 15, 0)</f>
        <v>9710483.9674869254</v>
      </c>
      <c r="R119" s="853"/>
      <c r="S119" s="424"/>
      <c r="T119" s="454"/>
      <c r="U119" s="44"/>
      <c r="V119" s="44"/>
      <c r="W119" s="44"/>
      <c r="X119" s="44"/>
      <c r="Y119" s="44"/>
      <c r="Z119" s="44"/>
      <c r="AA119" s="44"/>
      <c r="AB119" s="44"/>
      <c r="AC119" s="44"/>
      <c r="AD119" s="44"/>
    </row>
    <row r="120" spans="1:30" s="405" customFormat="1" ht="18.75" customHeight="1">
      <c r="A120" s="857"/>
      <c r="B120" s="851"/>
      <c r="C120" s="852"/>
      <c r="D120" s="849"/>
      <c r="E120" s="849"/>
      <c r="F120" s="849"/>
      <c r="G120" s="849"/>
      <c r="H120" s="849"/>
      <c r="I120" s="849"/>
      <c r="J120" s="242" t="s">
        <v>1176</v>
      </c>
      <c r="K120" s="295" t="s">
        <v>1581</v>
      </c>
      <c r="L120" s="635">
        <v>148324.13226125421</v>
      </c>
      <c r="M120" s="635">
        <v>120354.985747193</v>
      </c>
      <c r="N120" s="635">
        <f>N110</f>
        <v>113966.16703592001</v>
      </c>
      <c r="O120" s="635">
        <v>29725.930234849337</v>
      </c>
      <c r="P120" s="635">
        <v>610341.06724811811</v>
      </c>
      <c r="Q120" s="635">
        <f>VLOOKUP(C119, '2021_Internal_ModelLink'!$A$3:$Z$1000, 16, 0)</f>
        <v>66092.405864267959</v>
      </c>
      <c r="R120" s="853"/>
      <c r="S120" s="424"/>
      <c r="T120" s="454"/>
      <c r="U120" s="44"/>
      <c r="V120" s="44"/>
      <c r="W120" s="44"/>
      <c r="X120" s="44"/>
      <c r="Y120" s="44"/>
      <c r="Z120" s="44"/>
      <c r="AA120" s="44"/>
      <c r="AB120" s="44"/>
      <c r="AC120" s="44"/>
      <c r="AD120" s="44"/>
    </row>
    <row r="121" spans="1:30" s="44" customFormat="1" ht="15" customHeight="1">
      <c r="A121" s="857"/>
      <c r="B121" s="418"/>
      <c r="C121" s="573"/>
      <c r="D121" s="207"/>
      <c r="E121" s="419"/>
      <c r="F121" s="509"/>
      <c r="G121" s="509"/>
      <c r="H121" s="509"/>
      <c r="I121" s="509"/>
      <c r="J121" s="420"/>
      <c r="K121" s="421"/>
      <c r="L121" s="422"/>
      <c r="M121" s="422"/>
      <c r="N121" s="459"/>
      <c r="O121" s="459"/>
      <c r="P121" s="459"/>
      <c r="Q121" s="459"/>
      <c r="R121" s="423"/>
      <c r="S121" s="424"/>
      <c r="T121" s="453"/>
    </row>
    <row r="122" spans="1:30" s="405" customFormat="1" ht="18.75" customHeight="1">
      <c r="A122" s="857"/>
      <c r="B122" s="850" t="s">
        <v>98</v>
      </c>
      <c r="C122" s="852">
        <v>181</v>
      </c>
      <c r="D122" s="849">
        <f t="shared" ref="D122:I122" si="35">L122/L123</f>
        <v>7.6410523483615933E-2</v>
      </c>
      <c r="E122" s="849">
        <f t="shared" si="35"/>
        <v>4.3678510654396312E-2</v>
      </c>
      <c r="F122" s="849">
        <f t="shared" si="35"/>
        <v>4.2567062848854663E-2</v>
      </c>
      <c r="G122" s="849">
        <f t="shared" si="35"/>
        <v>9.2872518429717235E-2</v>
      </c>
      <c r="H122" s="849">
        <f t="shared" si="35"/>
        <v>2.9673324892537812E-2</v>
      </c>
      <c r="I122" s="849">
        <f t="shared" si="35"/>
        <v>4.5199655565737719E-2</v>
      </c>
      <c r="J122" s="242" t="s">
        <v>1177</v>
      </c>
      <c r="K122" s="235" t="s">
        <v>1580</v>
      </c>
      <c r="L122" s="656">
        <v>55875757.343223691</v>
      </c>
      <c r="M122" s="656">
        <v>24266010.771913234</v>
      </c>
      <c r="N122" s="656">
        <f>N119</f>
        <v>20082802.013153847</v>
      </c>
      <c r="O122" s="656">
        <v>12590562.512792192</v>
      </c>
      <c r="P122" s="656">
        <v>87785699.404548407</v>
      </c>
      <c r="Q122" s="656">
        <f>VLOOKUP(C122, '2021_Internal_ModelLink'!$A$3:$Z$1000, 15, 0)</f>
        <v>9710483.9674869254</v>
      </c>
      <c r="R122" s="617"/>
      <c r="S122" s="424"/>
      <c r="T122" s="453"/>
      <c r="U122" s="44"/>
      <c r="V122" s="44"/>
      <c r="W122" s="44"/>
      <c r="X122" s="44"/>
      <c r="Y122" s="44"/>
      <c r="Z122" s="44"/>
      <c r="AA122" s="44"/>
      <c r="AB122" s="44"/>
      <c r="AC122" s="44"/>
      <c r="AD122" s="44"/>
    </row>
    <row r="123" spans="1:30" s="405" customFormat="1" ht="18.75" customHeight="1">
      <c r="A123" s="857"/>
      <c r="B123" s="851"/>
      <c r="C123" s="852"/>
      <c r="D123" s="849"/>
      <c r="E123" s="849"/>
      <c r="F123" s="849"/>
      <c r="G123" s="849"/>
      <c r="H123" s="849"/>
      <c r="I123" s="849"/>
      <c r="J123" s="242" t="s">
        <v>1178</v>
      </c>
      <c r="K123" s="295" t="s">
        <v>1581</v>
      </c>
      <c r="L123" s="635">
        <v>731257355.6076299</v>
      </c>
      <c r="M123" s="635">
        <v>555559482.417261</v>
      </c>
      <c r="N123" s="635">
        <f>N113</f>
        <v>471792053.97522998</v>
      </c>
      <c r="O123" s="635">
        <v>135568225.40911606</v>
      </c>
      <c r="P123" s="635">
        <v>2958404550.9717913</v>
      </c>
      <c r="Q123" s="635">
        <f>VLOOKUP(C122, '2021_Internal_ModelLink'!$A$3:$Z$1000, 16, 0)</f>
        <v>214835353.18901137</v>
      </c>
      <c r="R123" s="617"/>
      <c r="S123" s="424"/>
      <c r="T123" s="453"/>
      <c r="U123" s="44"/>
      <c r="V123" s="44"/>
      <c r="W123" s="44"/>
      <c r="X123" s="44"/>
      <c r="Y123" s="44"/>
      <c r="Z123" s="44"/>
      <c r="AA123" s="44"/>
      <c r="AB123" s="44"/>
      <c r="AC123" s="44"/>
      <c r="AD123" s="44"/>
    </row>
    <row r="124" spans="1:30" s="405" customFormat="1" ht="18.75" customHeight="1">
      <c r="A124" s="857"/>
      <c r="B124" s="58"/>
      <c r="C124" s="573"/>
      <c r="D124" s="419"/>
      <c r="E124" s="207"/>
      <c r="F124" s="510"/>
      <c r="G124" s="510"/>
      <c r="H124" s="510"/>
      <c r="I124" s="510"/>
      <c r="J124" s="263"/>
      <c r="K124" s="58"/>
      <c r="L124" s="632"/>
      <c r="M124" s="632"/>
      <c r="N124" s="422"/>
      <c r="O124" s="422"/>
      <c r="P124" s="422"/>
      <c r="Q124" s="422"/>
      <c r="R124" s="619"/>
      <c r="S124" s="424"/>
      <c r="T124" s="453"/>
      <c r="U124" s="44"/>
      <c r="V124" s="44"/>
      <c r="W124" s="44"/>
      <c r="X124" s="44"/>
      <c r="Y124" s="44"/>
      <c r="Z124" s="44"/>
      <c r="AA124" s="44"/>
      <c r="AB124" s="44"/>
      <c r="AC124" s="44"/>
      <c r="AD124" s="44"/>
    </row>
    <row r="125" spans="1:30" s="405" customFormat="1" ht="18.75" customHeight="1">
      <c r="A125" s="857"/>
      <c r="B125" s="850" t="s">
        <v>99</v>
      </c>
      <c r="C125" s="852">
        <v>182</v>
      </c>
      <c r="D125" s="849">
        <f t="shared" ref="D125:I125" si="36">L125/L126</f>
        <v>0.58191654386551739</v>
      </c>
      <c r="E125" s="849">
        <f t="shared" si="36"/>
        <v>0.31498117127231839</v>
      </c>
      <c r="F125" s="849">
        <f t="shared" si="36"/>
        <v>0.41291915635076459</v>
      </c>
      <c r="G125" s="849">
        <f t="shared" si="36"/>
        <v>0.99923114146681258</v>
      </c>
      <c r="H125" s="849">
        <f t="shared" si="36"/>
        <v>0.34571219227295985</v>
      </c>
      <c r="I125" s="849">
        <f t="shared" si="36"/>
        <v>0.20534648057178306</v>
      </c>
      <c r="J125" s="242" t="s">
        <v>1179</v>
      </c>
      <c r="K125" s="235" t="s">
        <v>1580</v>
      </c>
      <c r="L125" s="656">
        <v>1766485.0760763052</v>
      </c>
      <c r="M125" s="656">
        <v>968339.19808676408</v>
      </c>
      <c r="N125" s="656">
        <v>930769.84867505298</v>
      </c>
      <c r="O125" s="656">
        <v>3787894.712756943</v>
      </c>
      <c r="P125" s="656">
        <v>4221046.5377249625</v>
      </c>
      <c r="Q125" s="656">
        <f>VLOOKUP(C125, '2021_Internal_ModelLink'!$A$3:$Z$1000, 15, 0)</f>
        <v>2058949.5372862006</v>
      </c>
      <c r="R125" s="853"/>
      <c r="S125" s="424"/>
      <c r="T125" s="453"/>
      <c r="U125" s="44"/>
      <c r="V125" s="44"/>
      <c r="W125" s="44"/>
      <c r="X125" s="44"/>
      <c r="Y125" s="44"/>
      <c r="Z125" s="44"/>
      <c r="AA125" s="44"/>
      <c r="AB125" s="44"/>
      <c r="AC125" s="44"/>
      <c r="AD125" s="44"/>
    </row>
    <row r="126" spans="1:30" s="405" customFormat="1" ht="15" customHeight="1">
      <c r="A126" s="859"/>
      <c r="B126" s="865"/>
      <c r="C126" s="866"/>
      <c r="D126" s="854"/>
      <c r="E126" s="854"/>
      <c r="F126" s="854"/>
      <c r="G126" s="854"/>
      <c r="H126" s="854"/>
      <c r="I126" s="854"/>
      <c r="J126" s="250" t="s">
        <v>1180</v>
      </c>
      <c r="K126" s="296" t="s">
        <v>1581</v>
      </c>
      <c r="L126" s="638">
        <v>3035633.0210892665</v>
      </c>
      <c r="M126" s="638">
        <v>3074276.4533362598</v>
      </c>
      <c r="N126" s="638">
        <f>N116</f>
        <v>2254121.25923358</v>
      </c>
      <c r="O126" s="638">
        <v>3790809.3088417323</v>
      </c>
      <c r="P126" s="638">
        <v>12209712.680286963</v>
      </c>
      <c r="Q126" s="638">
        <f>VLOOKUP(C125, '2021_Internal_ModelLink'!$A$3:$Z$1000, 16, 0)</f>
        <v>10026709.644855358</v>
      </c>
      <c r="R126" s="855"/>
      <c r="S126" s="424"/>
      <c r="T126" s="453"/>
      <c r="U126" s="44"/>
      <c r="V126" s="44"/>
      <c r="W126" s="44"/>
      <c r="X126" s="44"/>
      <c r="Y126" s="44"/>
      <c r="Z126" s="44"/>
      <c r="AA126" s="44"/>
      <c r="AB126" s="44"/>
      <c r="AC126" s="44"/>
      <c r="AD126" s="44"/>
    </row>
    <row r="127" spans="1:30" s="405" customFormat="1" ht="15.95" customHeight="1">
      <c r="A127" s="49"/>
      <c r="D127" s="118"/>
      <c r="E127" s="118"/>
      <c r="F127" s="118"/>
      <c r="G127" s="118"/>
      <c r="H127" s="118"/>
      <c r="I127" s="118"/>
      <c r="J127" s="59"/>
      <c r="K127" s="238"/>
      <c r="L127" s="208"/>
      <c r="M127" s="208"/>
      <c r="N127" s="79"/>
      <c r="O127" s="79"/>
      <c r="P127" s="79"/>
      <c r="Q127" s="79"/>
      <c r="R127" s="173"/>
      <c r="T127" s="452"/>
    </row>
    <row r="128" spans="1:30">
      <c r="A128" s="81"/>
      <c r="D128" s="79"/>
      <c r="E128" s="79"/>
      <c r="F128" s="79"/>
      <c r="G128" s="79"/>
      <c r="H128" s="79"/>
      <c r="I128" s="79"/>
      <c r="K128" s="79"/>
      <c r="L128" s="80"/>
      <c r="M128" s="79"/>
      <c r="N128" s="79"/>
      <c r="O128" s="79"/>
      <c r="P128" s="79"/>
      <c r="Q128" s="79"/>
      <c r="R128" s="203"/>
    </row>
    <row r="129" spans="1:18">
      <c r="A129" s="306" t="s">
        <v>1749</v>
      </c>
      <c r="D129" s="79"/>
      <c r="E129" s="79"/>
      <c r="F129" s="79"/>
      <c r="G129" s="79"/>
      <c r="H129" s="79"/>
      <c r="I129" s="79"/>
      <c r="K129" s="79"/>
      <c r="L129" s="80"/>
      <c r="M129" s="79"/>
      <c r="N129" s="79"/>
      <c r="O129" s="79"/>
      <c r="P129" s="79"/>
      <c r="Q129" s="79"/>
      <c r="R129" s="203"/>
    </row>
    <row r="130" spans="1:18">
      <c r="A130" s="81"/>
      <c r="D130" s="79"/>
      <c r="E130" s="79"/>
      <c r="F130" s="79"/>
      <c r="G130" s="79"/>
      <c r="H130" s="79"/>
      <c r="I130" s="79"/>
      <c r="K130" s="79"/>
      <c r="L130" s="80"/>
      <c r="M130" s="79"/>
      <c r="N130" s="79"/>
      <c r="O130" s="79"/>
      <c r="P130" s="79"/>
      <c r="Q130" s="79"/>
      <c r="R130" s="203"/>
    </row>
    <row r="131" spans="1:18">
      <c r="A131" s="81"/>
      <c r="D131" s="79"/>
      <c r="E131" s="79"/>
      <c r="F131" s="79"/>
      <c r="G131" s="79"/>
      <c r="H131" s="79"/>
      <c r="I131" s="79"/>
      <c r="K131" s="79"/>
      <c r="L131" s="80"/>
      <c r="M131" s="79"/>
      <c r="N131" s="79"/>
      <c r="O131" s="79"/>
      <c r="P131" s="79"/>
      <c r="Q131" s="79"/>
      <c r="R131" s="203"/>
    </row>
    <row r="132" spans="1:18">
      <c r="A132" s="456" t="s">
        <v>1871</v>
      </c>
      <c r="D132" s="79"/>
      <c r="E132" s="79"/>
      <c r="F132" s="79"/>
      <c r="G132" s="79"/>
      <c r="H132" s="79"/>
      <c r="I132" s="79"/>
      <c r="K132" s="79"/>
      <c r="L132" s="80"/>
      <c r="M132" s="79"/>
      <c r="N132" s="79"/>
      <c r="O132" s="79"/>
      <c r="P132" s="79"/>
      <c r="Q132" s="79"/>
      <c r="R132" s="203"/>
    </row>
    <row r="133" spans="1:18">
      <c r="A133" s="456" t="s">
        <v>1869</v>
      </c>
      <c r="D133" s="79"/>
      <c r="E133" s="79"/>
      <c r="F133" s="79"/>
      <c r="G133" s="79"/>
      <c r="H133" s="79"/>
      <c r="I133" s="79"/>
      <c r="K133" s="79"/>
      <c r="L133" s="80"/>
      <c r="M133" s="79"/>
      <c r="N133" s="79"/>
      <c r="O133" s="79"/>
      <c r="P133" s="79"/>
      <c r="Q133" s="79"/>
      <c r="R133" s="203"/>
    </row>
    <row r="134" spans="1:18">
      <c r="A134" s="81"/>
      <c r="D134" s="79"/>
      <c r="E134" s="79"/>
      <c r="F134" s="79"/>
      <c r="G134" s="79"/>
      <c r="H134" s="79"/>
      <c r="I134" s="79"/>
      <c r="K134" s="79"/>
      <c r="L134" s="80"/>
      <c r="M134" s="79"/>
      <c r="N134" s="79"/>
      <c r="O134" s="79"/>
      <c r="P134" s="79"/>
      <c r="Q134" s="79"/>
      <c r="R134" s="203"/>
    </row>
    <row r="135" spans="1:18">
      <c r="A135" s="81"/>
      <c r="D135" s="79"/>
      <c r="E135" s="79"/>
      <c r="F135" s="79"/>
      <c r="G135" s="79"/>
      <c r="H135" s="79"/>
      <c r="I135" s="79"/>
      <c r="K135" s="79"/>
      <c r="L135" s="80"/>
      <c r="M135" s="79"/>
      <c r="N135" s="79"/>
      <c r="O135" s="79"/>
      <c r="P135" s="79"/>
      <c r="Q135" s="79"/>
      <c r="R135" s="203"/>
    </row>
    <row r="136" spans="1:18">
      <c r="A136" s="81"/>
      <c r="D136" s="79"/>
      <c r="E136" s="79"/>
      <c r="F136" s="79"/>
      <c r="G136" s="79"/>
      <c r="H136" s="79"/>
      <c r="I136" s="79"/>
      <c r="K136" s="79"/>
      <c r="L136" s="80"/>
      <c r="M136" s="79"/>
      <c r="N136" s="79"/>
      <c r="O136" s="79"/>
      <c r="P136" s="79"/>
      <c r="Q136" s="79"/>
      <c r="R136" s="203"/>
    </row>
    <row r="137" spans="1:18">
      <c r="A137" s="81"/>
      <c r="D137" s="79"/>
      <c r="E137" s="79"/>
      <c r="F137" s="79"/>
      <c r="G137" s="79"/>
      <c r="H137" s="79"/>
      <c r="I137" s="79"/>
      <c r="K137" s="79"/>
      <c r="L137" s="80"/>
      <c r="M137" s="79"/>
      <c r="N137" s="79"/>
      <c r="O137" s="79"/>
      <c r="P137" s="79"/>
      <c r="Q137" s="79"/>
      <c r="R137" s="203"/>
    </row>
    <row r="138" spans="1:18">
      <c r="A138" s="81"/>
      <c r="D138" s="79"/>
      <c r="E138" s="79"/>
      <c r="F138" s="79"/>
      <c r="G138" s="79"/>
      <c r="H138" s="79"/>
      <c r="I138" s="79"/>
      <c r="K138" s="79"/>
      <c r="L138" s="80"/>
      <c r="M138" s="79"/>
      <c r="N138" s="79"/>
      <c r="O138" s="79"/>
      <c r="P138" s="79"/>
      <c r="Q138" s="79"/>
      <c r="R138" s="203"/>
    </row>
    <row r="139" spans="1:18">
      <c r="A139" s="81"/>
      <c r="D139" s="79"/>
      <c r="E139" s="79"/>
      <c r="F139" s="79"/>
      <c r="G139" s="79"/>
      <c r="H139" s="79"/>
      <c r="I139" s="79"/>
      <c r="K139" s="79"/>
      <c r="L139" s="80"/>
      <c r="M139" s="79"/>
      <c r="N139" s="79"/>
      <c r="O139" s="79"/>
      <c r="P139" s="79"/>
      <c r="Q139" s="79"/>
      <c r="R139" s="203"/>
    </row>
    <row r="140" spans="1:18">
      <c r="A140" s="81"/>
      <c r="D140" s="79"/>
      <c r="E140" s="79"/>
      <c r="F140" s="79"/>
      <c r="G140" s="79"/>
      <c r="H140" s="79"/>
      <c r="I140" s="79"/>
      <c r="K140" s="79"/>
      <c r="L140" s="80"/>
      <c r="M140" s="79"/>
      <c r="N140" s="79"/>
      <c r="O140" s="79"/>
      <c r="P140" s="79"/>
      <c r="Q140" s="79"/>
      <c r="R140" s="203"/>
    </row>
    <row r="141" spans="1:18">
      <c r="A141" s="81"/>
      <c r="D141" s="79"/>
      <c r="E141" s="79"/>
      <c r="F141" s="79"/>
      <c r="G141" s="79"/>
      <c r="H141" s="79"/>
      <c r="I141" s="79"/>
      <c r="K141" s="79"/>
      <c r="L141" s="80"/>
      <c r="M141" s="79"/>
      <c r="R141" s="203"/>
    </row>
    <row r="143" spans="1:18">
      <c r="A143" s="473"/>
    </row>
    <row r="152" spans="1:18" ht="30.95" customHeight="1">
      <c r="A152" s="860" t="s">
        <v>1750</v>
      </c>
      <c r="B152" s="860"/>
      <c r="C152" s="860"/>
      <c r="D152" s="860"/>
      <c r="E152" s="860"/>
      <c r="F152" s="557"/>
      <c r="G152" s="582"/>
      <c r="H152" s="690"/>
      <c r="I152" s="736"/>
      <c r="R152" s="203"/>
    </row>
    <row r="153" spans="1:18" ht="15.75">
      <c r="A153" s="130" t="s">
        <v>1751</v>
      </c>
      <c r="B153" s="70"/>
      <c r="C153" s="70"/>
      <c r="D153" s="78"/>
      <c r="E153" s="70"/>
      <c r="F153" s="70"/>
      <c r="G153" s="70"/>
      <c r="H153" s="70"/>
      <c r="I153" s="70"/>
      <c r="R153" s="203"/>
    </row>
    <row r="154" spans="1:18" ht="15.75">
      <c r="A154" s="130" t="s">
        <v>1752</v>
      </c>
      <c r="B154" s="70"/>
      <c r="C154" s="70"/>
      <c r="D154" s="70"/>
      <c r="E154" s="70"/>
      <c r="F154" s="70"/>
      <c r="G154" s="70"/>
      <c r="H154" s="70"/>
      <c r="I154" s="70"/>
    </row>
    <row r="155" spans="1:18" ht="33.950000000000003" customHeight="1">
      <c r="A155" s="939" t="s">
        <v>1753</v>
      </c>
      <c r="B155" s="939"/>
      <c r="C155" s="939"/>
      <c r="D155" s="939"/>
      <c r="E155" s="939"/>
      <c r="F155" s="572"/>
      <c r="G155" s="583"/>
      <c r="H155" s="694"/>
      <c r="I155" s="740"/>
    </row>
    <row r="156" spans="1:18" ht="15.75">
      <c r="A156" s="130" t="s">
        <v>1754</v>
      </c>
      <c r="B156" s="70"/>
      <c r="C156" s="70"/>
      <c r="D156" s="70"/>
      <c r="E156" s="70"/>
      <c r="F156" s="70"/>
      <c r="G156" s="70"/>
      <c r="H156" s="70"/>
      <c r="I156" s="70"/>
    </row>
    <row r="157" spans="1:18" ht="15.75">
      <c r="A157" s="130" t="s">
        <v>1755</v>
      </c>
      <c r="B157" s="70"/>
      <c r="C157" s="70"/>
      <c r="D157" s="70"/>
      <c r="E157" s="70"/>
      <c r="F157" s="70"/>
      <c r="G157" s="70"/>
      <c r="H157" s="70"/>
      <c r="I157" s="70"/>
    </row>
    <row r="158" spans="1:18" ht="15.75">
      <c r="A158" s="180" t="s">
        <v>1756</v>
      </c>
      <c r="B158" s="70"/>
      <c r="C158" s="70"/>
      <c r="D158" s="70"/>
      <c r="E158" s="70"/>
      <c r="F158" s="70"/>
      <c r="G158" s="70"/>
      <c r="H158" s="70"/>
      <c r="I158" s="70"/>
    </row>
    <row r="159" spans="1:18" ht="15.75">
      <c r="A159" s="179" t="s">
        <v>1757</v>
      </c>
      <c r="B159" s="70"/>
      <c r="C159" s="70"/>
      <c r="D159" s="70"/>
      <c r="E159" s="70"/>
      <c r="F159" s="70"/>
      <c r="G159" s="70"/>
      <c r="H159" s="70"/>
      <c r="I159" s="70"/>
    </row>
    <row r="160" spans="1:18" ht="15.75">
      <c r="A160" s="130" t="s">
        <v>1758</v>
      </c>
      <c r="B160" s="70"/>
      <c r="C160" s="70"/>
      <c r="D160" s="70"/>
      <c r="E160" s="70"/>
      <c r="F160" s="70"/>
      <c r="G160" s="70"/>
      <c r="H160" s="70"/>
      <c r="I160" s="70"/>
    </row>
  </sheetData>
  <mergeCells count="284">
    <mergeCell ref="H125:H126"/>
    <mergeCell ref="H81:H82"/>
    <mergeCell ref="H86:H87"/>
    <mergeCell ref="H90:H91"/>
    <mergeCell ref="H94:H95"/>
    <mergeCell ref="H97:H98"/>
    <mergeCell ref="G100:G101"/>
    <mergeCell ref="H100:H101"/>
    <mergeCell ref="H105:H106"/>
    <mergeCell ref="H109:H110"/>
    <mergeCell ref="G109:G110"/>
    <mergeCell ref="G125:G126"/>
    <mergeCell ref="H47:H48"/>
    <mergeCell ref="H50:H51"/>
    <mergeCell ref="H53:H54"/>
    <mergeCell ref="H60:H61"/>
    <mergeCell ref="H63:H64"/>
    <mergeCell ref="H66:H67"/>
    <mergeCell ref="H71:H72"/>
    <mergeCell ref="H74:H75"/>
    <mergeCell ref="H77:H78"/>
    <mergeCell ref="H20:H21"/>
    <mergeCell ref="H23:H24"/>
    <mergeCell ref="H26:H27"/>
    <mergeCell ref="H29:H30"/>
    <mergeCell ref="H32:H33"/>
    <mergeCell ref="H35:H36"/>
    <mergeCell ref="H38:H39"/>
    <mergeCell ref="H41:H42"/>
    <mergeCell ref="H44:H45"/>
    <mergeCell ref="R86:R87"/>
    <mergeCell ref="F115:F116"/>
    <mergeCell ref="D86:D87"/>
    <mergeCell ref="E86:E87"/>
    <mergeCell ref="F119:F120"/>
    <mergeCell ref="F109:F110"/>
    <mergeCell ref="F86:F87"/>
    <mergeCell ref="F125:F126"/>
    <mergeCell ref="R125:R126"/>
    <mergeCell ref="R109:R110"/>
    <mergeCell ref="R104:R105"/>
    <mergeCell ref="R89:R90"/>
    <mergeCell ref="D105:D106"/>
    <mergeCell ref="E105:E106"/>
    <mergeCell ref="D90:D91"/>
    <mergeCell ref="E90:E91"/>
    <mergeCell ref="D97:D98"/>
    <mergeCell ref="E97:E98"/>
    <mergeCell ref="D100:D101"/>
    <mergeCell ref="E100:E101"/>
    <mergeCell ref="D94:D95"/>
    <mergeCell ref="E94:E95"/>
    <mergeCell ref="F94:F95"/>
    <mergeCell ref="F97:F98"/>
    <mergeCell ref="B112:B113"/>
    <mergeCell ref="C112:C113"/>
    <mergeCell ref="D112:D113"/>
    <mergeCell ref="E112:E113"/>
    <mergeCell ref="F112:F113"/>
    <mergeCell ref="R112:R113"/>
    <mergeCell ref="R119:R120"/>
    <mergeCell ref="B122:B123"/>
    <mergeCell ref="C122:C123"/>
    <mergeCell ref="D122:D123"/>
    <mergeCell ref="E122:E123"/>
    <mergeCell ref="F122:F123"/>
    <mergeCell ref="G119:G120"/>
    <mergeCell ref="G122:G123"/>
    <mergeCell ref="H112:H113"/>
    <mergeCell ref="H115:H116"/>
    <mergeCell ref="H119:H120"/>
    <mergeCell ref="H122:H123"/>
    <mergeCell ref="G112:G113"/>
    <mergeCell ref="G115:G116"/>
    <mergeCell ref="I119:I120"/>
    <mergeCell ref="I122:I123"/>
    <mergeCell ref="F63:F64"/>
    <mergeCell ref="R65:R66"/>
    <mergeCell ref="B66:B67"/>
    <mergeCell ref="C66:C67"/>
    <mergeCell ref="D66:D67"/>
    <mergeCell ref="E66:E67"/>
    <mergeCell ref="F66:F67"/>
    <mergeCell ref="D74:D75"/>
    <mergeCell ref="E74:E75"/>
    <mergeCell ref="B71:B72"/>
    <mergeCell ref="C71:C72"/>
    <mergeCell ref="D71:D72"/>
    <mergeCell ref="E71:E72"/>
    <mergeCell ref="B74:B75"/>
    <mergeCell ref="R62:R63"/>
    <mergeCell ref="D63:D64"/>
    <mergeCell ref="G63:G64"/>
    <mergeCell ref="G66:G67"/>
    <mergeCell ref="G71:G72"/>
    <mergeCell ref="G74:G75"/>
    <mergeCell ref="D77:D78"/>
    <mergeCell ref="D81:D82"/>
    <mergeCell ref="E81:E82"/>
    <mergeCell ref="R81:R82"/>
    <mergeCell ref="A3:A16"/>
    <mergeCell ref="A56:A57"/>
    <mergeCell ref="A70:A78"/>
    <mergeCell ref="A80:A82"/>
    <mergeCell ref="A18:A54"/>
    <mergeCell ref="B32:B33"/>
    <mergeCell ref="C32:C33"/>
    <mergeCell ref="B38:B39"/>
    <mergeCell ref="C38:C39"/>
    <mergeCell ref="B20:B21"/>
    <mergeCell ref="B35:B36"/>
    <mergeCell ref="C35:C36"/>
    <mergeCell ref="B41:B42"/>
    <mergeCell ref="C41:C42"/>
    <mergeCell ref="C20:C21"/>
    <mergeCell ref="B47:B48"/>
    <mergeCell ref="C47:C48"/>
    <mergeCell ref="A59:A67"/>
    <mergeCell ref="B50:B51"/>
    <mergeCell ref="C50:C51"/>
    <mergeCell ref="C53:C54"/>
    <mergeCell ref="B60:B61"/>
    <mergeCell ref="C60:C61"/>
    <mergeCell ref="A85:A87"/>
    <mergeCell ref="B105:B106"/>
    <mergeCell ref="C105:C106"/>
    <mergeCell ref="C74:C75"/>
    <mergeCell ref="B100:B101"/>
    <mergeCell ref="C100:C101"/>
    <mergeCell ref="B94:B95"/>
    <mergeCell ref="C94:C95"/>
    <mergeCell ref="A104:A106"/>
    <mergeCell ref="A93:A101"/>
    <mergeCell ref="B81:B82"/>
    <mergeCell ref="C81:C82"/>
    <mergeCell ref="B77:B78"/>
    <mergeCell ref="C77:C78"/>
    <mergeCell ref="C86:C87"/>
    <mergeCell ref="B97:B98"/>
    <mergeCell ref="C97:C98"/>
    <mergeCell ref="B90:B91"/>
    <mergeCell ref="C90:C91"/>
    <mergeCell ref="C63:C64"/>
    <mergeCell ref="R51:R52"/>
    <mergeCell ref="R59:R60"/>
    <mergeCell ref="R3:R13"/>
    <mergeCell ref="R46:R47"/>
    <mergeCell ref="R48:R49"/>
    <mergeCell ref="R43:R45"/>
    <mergeCell ref="R56:R57"/>
    <mergeCell ref="R31:R33"/>
    <mergeCell ref="R34:R35"/>
    <mergeCell ref="R36:R37"/>
    <mergeCell ref="R39:R40"/>
    <mergeCell ref="F100:F101"/>
    <mergeCell ref="F105:F106"/>
    <mergeCell ref="F90:F91"/>
    <mergeCell ref="F81:F82"/>
    <mergeCell ref="B86:B87"/>
    <mergeCell ref="A152:E152"/>
    <mergeCell ref="A155:E155"/>
    <mergeCell ref="A89:A91"/>
    <mergeCell ref="B109:B110"/>
    <mergeCell ref="C109:C110"/>
    <mergeCell ref="D109:D110"/>
    <mergeCell ref="E109:E110"/>
    <mergeCell ref="A118:A126"/>
    <mergeCell ref="B119:B120"/>
    <mergeCell ref="C119:C120"/>
    <mergeCell ref="D119:D120"/>
    <mergeCell ref="E119:E120"/>
    <mergeCell ref="D115:D116"/>
    <mergeCell ref="E115:E116"/>
    <mergeCell ref="A108:A116"/>
    <mergeCell ref="B115:B116"/>
    <mergeCell ref="C115:C116"/>
    <mergeCell ref="B125:B126"/>
    <mergeCell ref="C125:C126"/>
    <mergeCell ref="B23:B24"/>
    <mergeCell ref="C23:C24"/>
    <mergeCell ref="D23:D24"/>
    <mergeCell ref="E23:E24"/>
    <mergeCell ref="F23:F24"/>
    <mergeCell ref="B26:B27"/>
    <mergeCell ref="D125:D126"/>
    <mergeCell ref="E125:E126"/>
    <mergeCell ref="F74:F75"/>
    <mergeCell ref="F77:F78"/>
    <mergeCell ref="D41:D42"/>
    <mergeCell ref="E41:E42"/>
    <mergeCell ref="F41:F42"/>
    <mergeCell ref="E77:E78"/>
    <mergeCell ref="E47:E48"/>
    <mergeCell ref="E53:E54"/>
    <mergeCell ref="E60:E61"/>
    <mergeCell ref="E50:E51"/>
    <mergeCell ref="E63:E64"/>
    <mergeCell ref="B56:E56"/>
    <mergeCell ref="B44:B45"/>
    <mergeCell ref="C44:C45"/>
    <mergeCell ref="D47:D48"/>
    <mergeCell ref="D50:D51"/>
    <mergeCell ref="B29:B30"/>
    <mergeCell ref="C29:C30"/>
    <mergeCell ref="D29:D30"/>
    <mergeCell ref="F47:F48"/>
    <mergeCell ref="F50:F51"/>
    <mergeCell ref="F53:F54"/>
    <mergeCell ref="F60:F61"/>
    <mergeCell ref="F71:F72"/>
    <mergeCell ref="E32:E33"/>
    <mergeCell ref="F32:F33"/>
    <mergeCell ref="D35:D36"/>
    <mergeCell ref="E35:E36"/>
    <mergeCell ref="F35:F36"/>
    <mergeCell ref="D38:D39"/>
    <mergeCell ref="E38:E39"/>
    <mergeCell ref="F38:F39"/>
    <mergeCell ref="D32:D33"/>
    <mergeCell ref="D53:D54"/>
    <mergeCell ref="D60:D61"/>
    <mergeCell ref="B63:B64"/>
    <mergeCell ref="F44:F45"/>
    <mergeCell ref="E44:E45"/>
    <mergeCell ref="D44:D45"/>
    <mergeCell ref="B53:B54"/>
    <mergeCell ref="E29:E30"/>
    <mergeCell ref="F29:F30"/>
    <mergeCell ref="E20:E21"/>
    <mergeCell ref="F20:F21"/>
    <mergeCell ref="G44:G45"/>
    <mergeCell ref="G47:G48"/>
    <mergeCell ref="G50:G51"/>
    <mergeCell ref="C26:C27"/>
    <mergeCell ref="D26:D27"/>
    <mergeCell ref="E26:E27"/>
    <mergeCell ref="F26:F27"/>
    <mergeCell ref="G20:G21"/>
    <mergeCell ref="G26:G27"/>
    <mergeCell ref="G29:G30"/>
    <mergeCell ref="G32:G33"/>
    <mergeCell ref="G35:G36"/>
    <mergeCell ref="D20:D21"/>
    <mergeCell ref="G23:G24"/>
    <mergeCell ref="G38:G39"/>
    <mergeCell ref="G41:G42"/>
    <mergeCell ref="G77:G78"/>
    <mergeCell ref="G81:G82"/>
    <mergeCell ref="G86:G87"/>
    <mergeCell ref="G90:G91"/>
    <mergeCell ref="G94:G95"/>
    <mergeCell ref="G97:G98"/>
    <mergeCell ref="G105:G106"/>
    <mergeCell ref="G53:G54"/>
    <mergeCell ref="G60:G61"/>
    <mergeCell ref="I20:I21"/>
    <mergeCell ref="I23:I24"/>
    <mergeCell ref="I26:I27"/>
    <mergeCell ref="I29:I30"/>
    <mergeCell ref="I32:I33"/>
    <mergeCell ref="I35:I36"/>
    <mergeCell ref="I38:I39"/>
    <mergeCell ref="I41:I42"/>
    <mergeCell ref="I44:I45"/>
    <mergeCell ref="I47:I48"/>
    <mergeCell ref="I50:I51"/>
    <mergeCell ref="I53:I54"/>
    <mergeCell ref="I63:I64"/>
    <mergeCell ref="I66:I67"/>
    <mergeCell ref="I71:I72"/>
    <mergeCell ref="I74:I75"/>
    <mergeCell ref="I77:I78"/>
    <mergeCell ref="I81:I82"/>
    <mergeCell ref="I60:I61"/>
    <mergeCell ref="I125:I126"/>
    <mergeCell ref="I86:I87"/>
    <mergeCell ref="I90:I91"/>
    <mergeCell ref="I94:I95"/>
    <mergeCell ref="I97:I98"/>
    <mergeCell ref="I100:I101"/>
    <mergeCell ref="I105:I106"/>
    <mergeCell ref="I109:I110"/>
    <mergeCell ref="I112:I113"/>
    <mergeCell ref="I115:I116"/>
  </mergeCells>
  <pageMargins left="0.7" right="0.7" top="0.75" bottom="0.75" header="0.3" footer="0.3"/>
  <pageSetup scale="75" fitToWidth="0" fitToHeight="0" orientation="landscape" r:id="rId1"/>
  <headerFooter>
    <oddFooter>&amp;RMay 1, 2019</oddFooter>
  </headerFooter>
  <rowBreaks count="2" manualBreakCount="2">
    <brk id="69" max="16383" man="1"/>
    <brk id="92" max="16383" man="1"/>
  </rowBreaks>
  <colBreaks count="2" manualBreakCount="2">
    <brk id="9" max="1048575" man="1"/>
    <brk id="1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8">
    <tabColor rgb="FF92D050"/>
  </sheetPr>
  <dimension ref="A1:A3"/>
  <sheetViews>
    <sheetView zoomScaleNormal="100" workbookViewId="0">
      <selection activeCell="A2" sqref="A2"/>
    </sheetView>
  </sheetViews>
  <sheetFormatPr defaultColWidth="9.140625" defaultRowHeight="15"/>
  <cols>
    <col min="1" max="1" width="90.7109375" style="1" customWidth="1"/>
    <col min="2" max="16384" width="9.140625" style="1"/>
  </cols>
  <sheetData>
    <row r="1" spans="1:1" ht="26.25">
      <c r="A1" s="553" t="s">
        <v>1759</v>
      </c>
    </row>
    <row r="2" spans="1:1" ht="18.75">
      <c r="A2" s="8" t="s">
        <v>2231</v>
      </c>
    </row>
    <row r="3" spans="1:1" ht="18.75">
      <c r="A3" s="7"/>
    </row>
  </sheetData>
  <pageMargins left="0.7" right="0.7" top="0.75" bottom="0.75" header="0.3" footer="0.3"/>
  <pageSetup fitToHeight="0" orientation="portrait" r:id="rId1"/>
  <headerFooter>
    <oddFooter>&amp;RMay 1, 2019</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D94"/>
  <sheetViews>
    <sheetView zoomScale="70" zoomScaleNormal="70" zoomScaleSheetLayoutView="90" workbookViewId="0">
      <pane xSplit="2" ySplit="2" topLeftCell="C9" activePane="bottomRight" state="frozen"/>
      <selection pane="topRight" sqref="A1:A2"/>
      <selection pane="bottomLeft" sqref="A1:A2"/>
      <selection pane="bottomRight" activeCell="I35" sqref="I35:I36"/>
    </sheetView>
  </sheetViews>
  <sheetFormatPr defaultColWidth="9.140625" defaultRowHeight="15"/>
  <cols>
    <col min="1" max="1" width="17.140625" style="38" customWidth="1"/>
    <col min="2" max="2" width="50.7109375" style="38" customWidth="1"/>
    <col min="3" max="3" width="7.85546875" style="38" customWidth="1"/>
    <col min="4" max="9" width="15.85546875" style="38" customWidth="1"/>
    <col min="10" max="10" width="6.85546875" style="217" customWidth="1"/>
    <col min="11" max="11" width="57.28515625" style="38" customWidth="1"/>
    <col min="12" max="17" width="24.42578125" style="38" customWidth="1"/>
    <col min="18" max="18" width="80.7109375" style="76" customWidth="1"/>
    <col min="19" max="22" width="9.140625" style="76"/>
    <col min="23" max="16384" width="9.140625" style="38"/>
  </cols>
  <sheetData>
    <row r="1" spans="1:22" ht="24.95" customHeight="1">
      <c r="A1" s="219" t="s">
        <v>2233</v>
      </c>
    </row>
    <row r="2" spans="1:22" ht="24.95" customHeight="1">
      <c r="A2" s="220" t="s">
        <v>27</v>
      </c>
      <c r="B2" s="221" t="s">
        <v>1560</v>
      </c>
      <c r="C2" s="220" t="s">
        <v>1561</v>
      </c>
      <c r="D2" s="332">
        <v>2016</v>
      </c>
      <c r="E2" s="332">
        <v>2017</v>
      </c>
      <c r="F2" s="332">
        <v>2018</v>
      </c>
      <c r="G2" s="332">
        <v>2019</v>
      </c>
      <c r="H2" s="332">
        <v>2020</v>
      </c>
      <c r="I2" s="332">
        <v>2021</v>
      </c>
      <c r="J2" s="222" t="s">
        <v>1562</v>
      </c>
      <c r="K2" s="223"/>
      <c r="L2" s="224">
        <v>2016</v>
      </c>
      <c r="M2" s="224">
        <v>2017</v>
      </c>
      <c r="N2" s="224">
        <v>2018</v>
      </c>
      <c r="O2" s="224">
        <v>2019</v>
      </c>
      <c r="P2" s="224">
        <v>2020</v>
      </c>
      <c r="Q2" s="224">
        <v>2021</v>
      </c>
      <c r="R2" s="225" t="s">
        <v>1563</v>
      </c>
    </row>
    <row r="3" spans="1:22" s="41" customFormat="1" ht="60">
      <c r="A3" s="856" t="s">
        <v>1760</v>
      </c>
      <c r="B3" s="126" t="s">
        <v>1689</v>
      </c>
      <c r="C3" s="114"/>
      <c r="D3" s="115"/>
      <c r="E3" s="115"/>
      <c r="F3" s="115"/>
      <c r="G3" s="602"/>
      <c r="H3" s="602"/>
      <c r="I3" s="602"/>
      <c r="J3" s="262"/>
      <c r="K3" s="115"/>
      <c r="L3" s="115"/>
      <c r="M3" s="115"/>
      <c r="N3" s="115"/>
      <c r="O3" s="602"/>
      <c r="P3" s="602"/>
      <c r="Q3" s="602"/>
      <c r="R3" s="251"/>
      <c r="S3" s="64"/>
      <c r="T3" s="64"/>
      <c r="U3" s="64"/>
      <c r="V3" s="64"/>
    </row>
    <row r="4" spans="1:22" s="405" customFormat="1">
      <c r="A4" s="857"/>
      <c r="B4" s="58" t="s">
        <v>52</v>
      </c>
      <c r="C4" s="106">
        <v>188</v>
      </c>
      <c r="D4" s="436">
        <v>4590.9439276523699</v>
      </c>
      <c r="E4" s="436">
        <v>2120.2284962919252</v>
      </c>
      <c r="F4" s="436">
        <v>4869.3797351635285</v>
      </c>
      <c r="G4" s="436">
        <v>2898.0948820547387</v>
      </c>
      <c r="H4" s="436">
        <v>1897.323159941147</v>
      </c>
      <c r="I4" s="436">
        <f>VLOOKUP(C4, '2021_Internal_ModelLink'!$A$3:$Z$1000, 14, 0)</f>
        <v>0</v>
      </c>
      <c r="J4" s="146"/>
      <c r="K4" s="116"/>
      <c r="L4" s="116"/>
      <c r="M4" s="116"/>
      <c r="N4" s="116"/>
      <c r="O4" s="116"/>
      <c r="P4" s="116"/>
      <c r="Q4" s="116"/>
      <c r="R4" s="247"/>
      <c r="S4" s="64"/>
      <c r="T4" s="64"/>
      <c r="U4" s="64"/>
      <c r="V4" s="64"/>
    </row>
    <row r="5" spans="1:22" s="405" customFormat="1">
      <c r="A5" s="857"/>
      <c r="B5" s="58" t="s">
        <v>55</v>
      </c>
      <c r="C5" s="106">
        <v>189</v>
      </c>
      <c r="D5" s="436">
        <v>3554.7299791819801</v>
      </c>
      <c r="E5" s="436">
        <v>1561.293975827205</v>
      </c>
      <c r="F5" s="436">
        <v>3771.8348593808496</v>
      </c>
      <c r="G5" s="436">
        <v>2497.9844953547299</v>
      </c>
      <c r="H5" s="436">
        <v>1409.4834003058486</v>
      </c>
      <c r="I5" s="436">
        <f>VLOOKUP(C5, '2021_Internal_ModelLink'!$A$3:$Z$1000, 14, 0)</f>
        <v>0</v>
      </c>
      <c r="J5" s="146"/>
      <c r="K5" s="116"/>
      <c r="L5" s="116"/>
      <c r="M5" s="116"/>
      <c r="N5" s="116"/>
      <c r="O5" s="116"/>
      <c r="P5" s="116"/>
      <c r="Q5" s="116"/>
      <c r="R5" s="247"/>
      <c r="S5" s="64"/>
      <c r="T5" s="64"/>
      <c r="U5" s="64"/>
      <c r="V5" s="64"/>
    </row>
    <row r="6" spans="1:22" s="405" customFormat="1">
      <c r="A6" s="857"/>
      <c r="B6" s="58" t="s">
        <v>56</v>
      </c>
      <c r="C6" s="106">
        <v>190</v>
      </c>
      <c r="D6" s="436">
        <v>17529533.075263601</v>
      </c>
      <c r="E6" s="436">
        <v>11829233.779383814</v>
      </c>
      <c r="F6" s="436">
        <v>25281292.089263417</v>
      </c>
      <c r="G6" s="436">
        <v>12199569.293464012</v>
      </c>
      <c r="H6" s="436">
        <v>14438508.915031388</v>
      </c>
      <c r="I6" s="436">
        <f>VLOOKUP(C6, '2021_Internal_ModelLink'!$A$3:$Z$1000, 14, 0)</f>
        <v>0</v>
      </c>
      <c r="J6" s="146"/>
      <c r="K6" s="116"/>
      <c r="L6" s="116"/>
      <c r="M6" s="116"/>
      <c r="N6" s="116"/>
      <c r="O6" s="116"/>
      <c r="P6" s="116"/>
      <c r="Q6" s="116"/>
      <c r="R6" s="247"/>
      <c r="S6" s="64"/>
      <c r="T6" s="64"/>
      <c r="U6" s="64"/>
      <c r="V6" s="64"/>
    </row>
    <row r="7" spans="1:22" s="405" customFormat="1">
      <c r="A7" s="857"/>
      <c r="B7" s="58" t="s">
        <v>57</v>
      </c>
      <c r="C7" s="106">
        <v>191</v>
      </c>
      <c r="D7" s="436">
        <v>12908801.461421</v>
      </c>
      <c r="E7" s="436">
        <v>8187370.7973197354</v>
      </c>
      <c r="F7" s="436">
        <v>19629014.223912973</v>
      </c>
      <c r="G7" s="436">
        <v>10464686.287194207</v>
      </c>
      <c r="H7" s="436">
        <v>10977955.680839896</v>
      </c>
      <c r="I7" s="436">
        <f>VLOOKUP(C7, '2021_Internal_ModelLink'!$A$3:$Z$1000, 14, 0)</f>
        <v>0</v>
      </c>
      <c r="J7" s="146"/>
      <c r="K7" s="116"/>
      <c r="L7" s="116"/>
      <c r="M7" s="116"/>
      <c r="N7" s="116"/>
      <c r="O7" s="116"/>
      <c r="P7" s="116"/>
      <c r="Q7" s="116"/>
      <c r="R7" s="247"/>
      <c r="S7" s="64"/>
      <c r="T7" s="64"/>
      <c r="U7" s="64"/>
      <c r="V7" s="64"/>
    </row>
    <row r="8" spans="1:22" s="405" customFormat="1">
      <c r="A8" s="857"/>
      <c r="B8" s="58" t="s">
        <v>58</v>
      </c>
      <c r="C8" s="106">
        <v>192</v>
      </c>
      <c r="D8" s="436">
        <v>658150.57731771597</v>
      </c>
      <c r="E8" s="436">
        <v>717123.36628211441</v>
      </c>
      <c r="F8" s="436">
        <v>165007.97731415418</v>
      </c>
      <c r="G8" s="436">
        <v>29882.156361386344</v>
      </c>
      <c r="H8" s="436">
        <v>190743.77595599869</v>
      </c>
      <c r="I8" s="436">
        <f>VLOOKUP(C8, '2021_Internal_ModelLink'!$A$3:$Z$1000, 14, 0)</f>
        <v>0</v>
      </c>
      <c r="J8" s="146"/>
      <c r="K8" s="116"/>
      <c r="L8" s="116"/>
      <c r="M8" s="116"/>
      <c r="N8" s="116"/>
      <c r="O8" s="116"/>
      <c r="P8" s="116"/>
      <c r="Q8" s="116"/>
      <c r="R8" s="247"/>
      <c r="S8" s="64"/>
      <c r="T8" s="64"/>
      <c r="U8" s="64"/>
      <c r="V8" s="64"/>
    </row>
    <row r="9" spans="1:22" s="405" customFormat="1">
      <c r="A9" s="857"/>
      <c r="B9" s="58" t="s">
        <v>60</v>
      </c>
      <c r="C9" s="106">
        <v>193</v>
      </c>
      <c r="D9" s="436">
        <v>395429.50560636498</v>
      </c>
      <c r="E9" s="436">
        <v>428364.72049244336</v>
      </c>
      <c r="F9" s="436">
        <v>99632.881440777332</v>
      </c>
      <c r="G9" s="436">
        <v>17095.51933578297</v>
      </c>
      <c r="H9" s="436">
        <v>166308.49588132161</v>
      </c>
      <c r="I9" s="436">
        <f>VLOOKUP(C9, '2021_Internal_ModelLink'!$A$3:$Z$1000, 14, 0)</f>
        <v>0</v>
      </c>
      <c r="J9" s="146"/>
      <c r="K9" s="116"/>
      <c r="L9" s="116"/>
      <c r="M9" s="116"/>
      <c r="N9" s="116"/>
      <c r="O9" s="116"/>
      <c r="P9" s="116"/>
      <c r="Q9" s="116"/>
      <c r="R9" s="247"/>
      <c r="S9" s="64"/>
      <c r="T9" s="64"/>
      <c r="U9" s="64"/>
      <c r="V9" s="64"/>
    </row>
    <row r="10" spans="1:22" s="405" customFormat="1">
      <c r="A10" s="857"/>
      <c r="B10" s="58" t="s">
        <v>61</v>
      </c>
      <c r="C10" s="106">
        <v>194</v>
      </c>
      <c r="D10" s="436">
        <v>55180.001106433003</v>
      </c>
      <c r="E10" s="436">
        <v>18670.744517401385</v>
      </c>
      <c r="F10" s="436">
        <v>44541.967750757394</v>
      </c>
      <c r="G10" s="436">
        <v>23630.438480622244</v>
      </c>
      <c r="H10" s="436">
        <v>17778.648464718222</v>
      </c>
      <c r="I10" s="436">
        <f>VLOOKUP(C10, '2021_Internal_ModelLink'!$A$3:$Z$1000, 14, 0)</f>
        <v>0</v>
      </c>
      <c r="J10" s="146"/>
      <c r="K10" s="116"/>
      <c r="L10" s="116"/>
      <c r="M10" s="116"/>
      <c r="N10" s="116"/>
      <c r="O10" s="116"/>
      <c r="P10" s="116"/>
      <c r="Q10" s="116"/>
      <c r="R10" s="247"/>
      <c r="S10" s="64"/>
      <c r="T10" s="64"/>
      <c r="U10" s="64"/>
      <c r="V10" s="64"/>
    </row>
    <row r="11" spans="1:22" s="405" customFormat="1">
      <c r="A11" s="857"/>
      <c r="B11" s="58" t="s">
        <v>62</v>
      </c>
      <c r="C11" s="106">
        <v>195</v>
      </c>
      <c r="D11" s="436">
        <v>41747.003227813402</v>
      </c>
      <c r="E11" s="436">
        <v>13285.931537879211</v>
      </c>
      <c r="F11" s="436">
        <v>34211.996240279623</v>
      </c>
      <c r="G11" s="436">
        <v>20075.722901657369</v>
      </c>
      <c r="H11" s="436">
        <v>12459.039077470705</v>
      </c>
      <c r="I11" s="436">
        <f>VLOOKUP(C11, '2021_Internal_ModelLink'!$A$3:$Z$1000, 14, 0)</f>
        <v>0</v>
      </c>
      <c r="J11" s="146"/>
      <c r="K11" s="116"/>
      <c r="L11" s="116"/>
      <c r="M11" s="116"/>
      <c r="N11" s="116"/>
      <c r="O11" s="116"/>
      <c r="P11" s="116"/>
      <c r="Q11" s="116"/>
      <c r="R11" s="247"/>
      <c r="S11" s="64"/>
      <c r="T11" s="64"/>
      <c r="U11" s="64"/>
      <c r="V11" s="64"/>
    </row>
    <row r="12" spans="1:22" s="405" customFormat="1">
      <c r="A12" s="857"/>
      <c r="B12" s="58" t="s">
        <v>63</v>
      </c>
      <c r="C12" s="106">
        <v>196</v>
      </c>
      <c r="D12" s="436">
        <v>215162157.76574799</v>
      </c>
      <c r="E12" s="436">
        <v>102078374.17575823</v>
      </c>
      <c r="F12" s="436">
        <v>264032344.80648011</v>
      </c>
      <c r="G12" s="436">
        <v>102671892.85767052</v>
      </c>
      <c r="H12" s="436">
        <v>121695934.54045625</v>
      </c>
      <c r="I12" s="436">
        <f>VLOOKUP(C12, '2021_Internal_ModelLink'!$A$3:$Z$1000, 14, 0)</f>
        <v>0</v>
      </c>
      <c r="J12" s="146"/>
      <c r="K12" s="116"/>
      <c r="L12" s="116"/>
      <c r="M12" s="116"/>
      <c r="N12" s="116"/>
      <c r="O12" s="116"/>
      <c r="P12" s="116"/>
      <c r="Q12" s="116"/>
      <c r="R12" s="247"/>
      <c r="S12" s="64"/>
      <c r="T12" s="64"/>
      <c r="U12" s="64"/>
      <c r="V12" s="64"/>
    </row>
    <row r="13" spans="1:22" s="405" customFormat="1">
      <c r="A13" s="857"/>
      <c r="B13" s="58" t="s">
        <v>64</v>
      </c>
      <c r="C13" s="106">
        <v>197</v>
      </c>
      <c r="D13" s="436">
        <v>155638967.50607699</v>
      </c>
      <c r="E13" s="436">
        <v>70335418.773030251</v>
      </c>
      <c r="F13" s="436">
        <v>203184949.41917124</v>
      </c>
      <c r="G13" s="436">
        <v>85450449.032280743</v>
      </c>
      <c r="H13" s="436">
        <v>85131325.578947797</v>
      </c>
      <c r="I13" s="436">
        <f>VLOOKUP(C13, '2021_Internal_ModelLink'!$A$3:$Z$1000, 14, 0)</f>
        <v>0</v>
      </c>
      <c r="J13" s="146"/>
      <c r="K13" s="116"/>
      <c r="L13" s="116"/>
      <c r="M13" s="116"/>
      <c r="N13" s="116"/>
      <c r="O13" s="116"/>
      <c r="P13" s="116"/>
      <c r="Q13" s="116"/>
      <c r="R13" s="247"/>
      <c r="S13" s="64"/>
      <c r="T13" s="64"/>
      <c r="U13" s="64"/>
      <c r="V13" s="64"/>
    </row>
    <row r="14" spans="1:22" s="405" customFormat="1">
      <c r="A14" s="857"/>
      <c r="B14" s="58" t="s">
        <v>65</v>
      </c>
      <c r="C14" s="106">
        <v>198</v>
      </c>
      <c r="D14" s="436">
        <v>9847643.0532631408</v>
      </c>
      <c r="E14" s="436">
        <v>7906120.7257685047</v>
      </c>
      <c r="F14" s="436">
        <v>1457968.9561695815</v>
      </c>
      <c r="G14" s="436">
        <v>480219.7888017107</v>
      </c>
      <c r="H14" s="436">
        <v>1363967.5102556366</v>
      </c>
      <c r="I14" s="436">
        <f>VLOOKUP(C14, '2021_Internal_ModelLink'!$A$3:$Z$1000, 14, 0)</f>
        <v>0</v>
      </c>
      <c r="J14" s="146"/>
      <c r="K14" s="116"/>
      <c r="L14" s="116"/>
      <c r="M14" s="116"/>
      <c r="N14" s="116"/>
      <c r="O14" s="116"/>
      <c r="P14" s="116"/>
      <c r="Q14" s="116"/>
      <c r="R14" s="247"/>
      <c r="S14" s="64"/>
      <c r="T14" s="64"/>
      <c r="U14" s="64"/>
      <c r="V14" s="64"/>
    </row>
    <row r="15" spans="1:22" s="405" customFormat="1">
      <c r="A15" s="857"/>
      <c r="B15" s="58" t="s">
        <v>66</v>
      </c>
      <c r="C15" s="106">
        <v>199</v>
      </c>
      <c r="D15" s="436">
        <v>6000837.5956774</v>
      </c>
      <c r="E15" s="436">
        <v>4701231.2561380565</v>
      </c>
      <c r="F15" s="436">
        <v>908171.25417388184</v>
      </c>
      <c r="G15" s="436">
        <v>210730.83388234445</v>
      </c>
      <c r="H15" s="436">
        <v>985426.07679589977</v>
      </c>
      <c r="I15" s="436">
        <f>VLOOKUP(C15, '2021_Internal_ModelLink'!$A$3:$Z$1000, 14, 0)</f>
        <v>0</v>
      </c>
      <c r="J15" s="146"/>
      <c r="K15" s="116"/>
      <c r="L15" s="116"/>
      <c r="M15" s="116"/>
      <c r="N15" s="116"/>
      <c r="O15" s="116"/>
      <c r="P15" s="116"/>
      <c r="Q15" s="116"/>
      <c r="R15" s="247"/>
      <c r="S15" s="64"/>
      <c r="T15" s="64"/>
      <c r="U15" s="64"/>
      <c r="V15" s="64"/>
    </row>
    <row r="16" spans="1:22" s="405" customFormat="1">
      <c r="A16" s="857"/>
      <c r="B16" s="431"/>
      <c r="C16" s="58"/>
      <c r="D16" s="116"/>
      <c r="E16" s="116"/>
      <c r="F16" s="116"/>
      <c r="G16" s="116"/>
      <c r="H16" s="116"/>
      <c r="I16" s="116"/>
      <c r="J16" s="146"/>
      <c r="K16" s="116"/>
      <c r="L16" s="116"/>
      <c r="M16" s="116"/>
      <c r="N16" s="116"/>
      <c r="O16" s="116"/>
      <c r="P16" s="116"/>
      <c r="Q16" s="116"/>
      <c r="R16" s="247"/>
      <c r="S16" s="64"/>
      <c r="T16" s="64"/>
      <c r="U16" s="64"/>
      <c r="V16" s="64"/>
    </row>
    <row r="17" spans="1:22" s="41" customFormat="1" ht="15.95" customHeight="1">
      <c r="A17" s="859"/>
      <c r="B17" s="47"/>
      <c r="C17" s="48"/>
      <c r="D17" s="117"/>
      <c r="E17" s="117"/>
      <c r="F17" s="117"/>
      <c r="G17" s="117"/>
      <c r="H17" s="117"/>
      <c r="I17" s="117"/>
      <c r="J17" s="264"/>
      <c r="K17" s="47"/>
      <c r="L17" s="47"/>
      <c r="M17" s="47"/>
      <c r="N17" s="47"/>
      <c r="O17" s="47"/>
      <c r="P17" s="47"/>
      <c r="Q17" s="47"/>
      <c r="R17" s="566"/>
      <c r="S17" s="64"/>
      <c r="T17" s="64"/>
      <c r="U17" s="64"/>
      <c r="V17" s="64"/>
    </row>
    <row r="18" spans="1:22" s="41" customFormat="1" ht="15.95" customHeight="1">
      <c r="A18" s="62"/>
      <c r="B18" s="405"/>
      <c r="C18" s="405"/>
      <c r="D18" s="118"/>
      <c r="E18" s="118"/>
      <c r="F18" s="118"/>
      <c r="G18" s="118"/>
      <c r="H18" s="118"/>
      <c r="I18" s="118"/>
      <c r="J18" s="73"/>
      <c r="K18" s="405"/>
      <c r="L18" s="405"/>
      <c r="M18" s="405"/>
      <c r="N18" s="405"/>
      <c r="O18" s="405"/>
      <c r="P18" s="405"/>
      <c r="Q18" s="405"/>
      <c r="R18" s="130"/>
      <c r="S18" s="64"/>
      <c r="T18" s="64"/>
      <c r="U18" s="64"/>
      <c r="V18" s="64"/>
    </row>
    <row r="19" spans="1:22" s="41" customFormat="1" ht="15.95" customHeight="1">
      <c r="A19" s="856" t="s">
        <v>1761</v>
      </c>
      <c r="B19" s="893" t="s">
        <v>1865</v>
      </c>
      <c r="C19" s="893"/>
      <c r="D19" s="893"/>
      <c r="E19" s="893"/>
      <c r="F19" s="122"/>
      <c r="G19" s="605"/>
      <c r="H19" s="605"/>
      <c r="I19" s="605"/>
      <c r="J19" s="262"/>
      <c r="K19" s="114"/>
      <c r="L19" s="268"/>
      <c r="M19" s="268"/>
      <c r="N19" s="268"/>
      <c r="O19" s="609"/>
      <c r="P19" s="609"/>
      <c r="Q19" s="609"/>
      <c r="R19" s="979"/>
      <c r="S19" s="64"/>
      <c r="T19" s="64"/>
      <c r="U19" s="64"/>
      <c r="V19" s="64"/>
    </row>
    <row r="20" spans="1:22" s="41" customFormat="1" ht="15.95" customHeight="1">
      <c r="A20" s="859"/>
      <c r="B20" s="47"/>
      <c r="C20" s="200">
        <v>200</v>
      </c>
      <c r="D20" s="117">
        <f t="shared" ref="D20:F20" si="0">(D7*0.000707) + (D9*0.0053)</f>
        <v>11222.29901293838</v>
      </c>
      <c r="E20" s="117">
        <f t="shared" si="0"/>
        <v>8058.8041723150018</v>
      </c>
      <c r="F20" s="117">
        <f t="shared" si="0"/>
        <v>14405.767327942591</v>
      </c>
      <c r="G20" s="117">
        <f>(G7*0.000707) + (G9*0.0053)</f>
        <v>7489.1394575259537</v>
      </c>
      <c r="H20" s="117">
        <f>(H7*0.000707) + (H9*0.0053)</f>
        <v>8642.8496945248098</v>
      </c>
      <c r="I20" s="768">
        <f>VLOOKUP(C20, '2021_Internal_ModelLink'!$A$3:$Z$1000, 14, 0)</f>
        <v>0</v>
      </c>
      <c r="J20" s="264"/>
      <c r="K20" s="58"/>
      <c r="L20" s="209"/>
      <c r="M20" s="209"/>
      <c r="N20" s="209"/>
      <c r="O20" s="209"/>
      <c r="P20" s="209"/>
      <c r="Q20" s="209"/>
      <c r="R20" s="980"/>
      <c r="S20" s="64"/>
      <c r="T20" s="64"/>
      <c r="U20" s="64"/>
      <c r="V20" s="64"/>
    </row>
    <row r="21" spans="1:22" s="405" customFormat="1" ht="15.95" customHeight="1">
      <c r="A21" s="269"/>
      <c r="B21" s="47"/>
      <c r="C21" s="47"/>
      <c r="D21" s="121"/>
      <c r="E21" s="121"/>
      <c r="F21" s="121"/>
      <c r="G21" s="121"/>
      <c r="H21" s="121"/>
      <c r="I21" s="121"/>
      <c r="J21" s="60"/>
      <c r="K21" s="47"/>
      <c r="L21" s="52"/>
      <c r="M21" s="52"/>
      <c r="N21" s="52"/>
      <c r="O21" s="57"/>
      <c r="P21" s="57"/>
      <c r="Q21" s="57"/>
      <c r="R21" s="980"/>
      <c r="S21" s="64"/>
      <c r="T21" s="64"/>
      <c r="U21" s="64"/>
      <c r="V21" s="64"/>
    </row>
    <row r="22" spans="1:22" s="405" customFormat="1" ht="20.100000000000001" customHeight="1">
      <c r="A22" s="874" t="s">
        <v>219</v>
      </c>
      <c r="B22" s="115"/>
      <c r="C22" s="114"/>
      <c r="D22" s="122"/>
      <c r="E22" s="122"/>
      <c r="F22" s="122"/>
      <c r="G22" s="605"/>
      <c r="H22" s="605"/>
      <c r="I22" s="605"/>
      <c r="J22" s="262"/>
      <c r="K22" s="115"/>
      <c r="L22" s="187"/>
      <c r="M22" s="187"/>
      <c r="N22" s="187"/>
      <c r="O22" s="187"/>
      <c r="P22" s="188"/>
      <c r="Q22" s="188"/>
      <c r="R22" s="980"/>
      <c r="S22" s="64"/>
      <c r="T22" s="64"/>
      <c r="U22" s="64"/>
      <c r="V22" s="64"/>
    </row>
    <row r="23" spans="1:22" s="405" customFormat="1" ht="24.6" customHeight="1">
      <c r="A23" s="875"/>
      <c r="B23" s="850" t="s">
        <v>401</v>
      </c>
      <c r="C23" s="852">
        <v>201</v>
      </c>
      <c r="D23" s="963" t="s">
        <v>1680</v>
      </c>
      <c r="E23" s="963" t="s">
        <v>1680</v>
      </c>
      <c r="F23" s="963" t="s">
        <v>1680</v>
      </c>
      <c r="G23" s="963" t="s">
        <v>1680</v>
      </c>
      <c r="H23" s="963" t="s">
        <v>1680</v>
      </c>
      <c r="I23" s="963" t="s">
        <v>1680</v>
      </c>
      <c r="J23" s="242" t="s">
        <v>1218</v>
      </c>
      <c r="K23" s="215" t="s">
        <v>1762</v>
      </c>
      <c r="L23" s="511" t="s">
        <v>59</v>
      </c>
      <c r="M23" s="511" t="s">
        <v>59</v>
      </c>
      <c r="N23" s="511" t="s">
        <v>59</v>
      </c>
      <c r="O23" s="511" t="s">
        <v>59</v>
      </c>
      <c r="P23" s="511" t="s">
        <v>59</v>
      </c>
      <c r="Q23" s="511">
        <f>VLOOKUP(C23, '2021_Internal_ModelLink'!$A$3:$Z$1000, 15, 0)</f>
        <v>0</v>
      </c>
      <c r="R23" s="980"/>
      <c r="S23" s="64"/>
      <c r="T23" s="64"/>
      <c r="U23" s="64"/>
      <c r="V23" s="64"/>
    </row>
    <row r="24" spans="1:22" s="405" customFormat="1" ht="24.6" customHeight="1">
      <c r="A24" s="875"/>
      <c r="B24" s="865"/>
      <c r="C24" s="866"/>
      <c r="D24" s="964"/>
      <c r="E24" s="964"/>
      <c r="F24" s="964"/>
      <c r="G24" s="964"/>
      <c r="H24" s="964"/>
      <c r="I24" s="964"/>
      <c r="J24" s="250" t="s">
        <v>1219</v>
      </c>
      <c r="K24" s="408" t="s">
        <v>1763</v>
      </c>
      <c r="L24" s="532" t="s">
        <v>59</v>
      </c>
      <c r="M24" s="532" t="s">
        <v>59</v>
      </c>
      <c r="N24" s="532" t="s">
        <v>59</v>
      </c>
      <c r="O24" s="532" t="s">
        <v>59</v>
      </c>
      <c r="P24" s="532" t="s">
        <v>59</v>
      </c>
      <c r="Q24" s="532">
        <f>VLOOKUP(C23, '2021_Internal_ModelLink'!$A$3:$Z$1000, 16, 0)</f>
        <v>0</v>
      </c>
      <c r="R24" s="980"/>
      <c r="S24" s="64"/>
      <c r="T24" s="64"/>
      <c r="U24" s="64"/>
      <c r="V24" s="64"/>
    </row>
    <row r="25" spans="1:22" s="405" customFormat="1" ht="24.6" customHeight="1">
      <c r="A25" s="977"/>
      <c r="B25" s="115"/>
      <c r="C25" s="114"/>
      <c r="D25" s="122"/>
      <c r="E25" s="122"/>
      <c r="F25" s="122"/>
      <c r="G25" s="605"/>
      <c r="H25" s="605"/>
      <c r="I25" s="605"/>
      <c r="J25" s="262"/>
      <c r="K25" s="115"/>
      <c r="L25" s="187"/>
      <c r="M25" s="187"/>
      <c r="N25" s="187"/>
      <c r="O25" s="187"/>
      <c r="P25" s="188"/>
      <c r="Q25" s="188"/>
      <c r="R25" s="980"/>
      <c r="S25" s="64"/>
      <c r="T25" s="64"/>
      <c r="U25" s="64"/>
      <c r="V25" s="64"/>
    </row>
    <row r="26" spans="1:22" s="405" customFormat="1" ht="24.6" customHeight="1">
      <c r="A26" s="977"/>
      <c r="B26" s="850" t="s">
        <v>403</v>
      </c>
      <c r="C26" s="852">
        <v>202</v>
      </c>
      <c r="D26" s="963" t="s">
        <v>1680</v>
      </c>
      <c r="E26" s="963" t="s">
        <v>1680</v>
      </c>
      <c r="F26" s="963" t="s">
        <v>1680</v>
      </c>
      <c r="G26" s="963" t="s">
        <v>1680</v>
      </c>
      <c r="H26" s="963" t="s">
        <v>1680</v>
      </c>
      <c r="I26" s="963" t="s">
        <v>1680</v>
      </c>
      <c r="J26" s="242" t="s">
        <v>1220</v>
      </c>
      <c r="K26" s="215" t="s">
        <v>1762</v>
      </c>
      <c r="L26" s="511" t="s">
        <v>59</v>
      </c>
      <c r="M26" s="511" t="s">
        <v>59</v>
      </c>
      <c r="N26" s="511" t="s">
        <v>59</v>
      </c>
      <c r="O26" s="511" t="s">
        <v>59</v>
      </c>
      <c r="P26" s="511" t="s">
        <v>59</v>
      </c>
      <c r="Q26" s="511">
        <f>VLOOKUP(C26, '2021_Internal_ModelLink'!$A$3:$Z$1000, 15, 0)</f>
        <v>0</v>
      </c>
      <c r="R26" s="980"/>
      <c r="S26" s="64"/>
      <c r="T26" s="64"/>
      <c r="U26" s="64"/>
      <c r="V26" s="64"/>
    </row>
    <row r="27" spans="1:22" s="405" customFormat="1" ht="24.6" customHeight="1">
      <c r="A27" s="977"/>
      <c r="B27" s="865"/>
      <c r="C27" s="866"/>
      <c r="D27" s="964"/>
      <c r="E27" s="964"/>
      <c r="F27" s="964"/>
      <c r="G27" s="964"/>
      <c r="H27" s="964"/>
      <c r="I27" s="964"/>
      <c r="J27" s="250" t="s">
        <v>1221</v>
      </c>
      <c r="K27" s="408" t="s">
        <v>1763</v>
      </c>
      <c r="L27" s="532" t="s">
        <v>59</v>
      </c>
      <c r="M27" s="532" t="s">
        <v>59</v>
      </c>
      <c r="N27" s="532" t="s">
        <v>59</v>
      </c>
      <c r="O27" s="532" t="s">
        <v>59</v>
      </c>
      <c r="P27" s="532" t="s">
        <v>59</v>
      </c>
      <c r="Q27" s="532">
        <f>VLOOKUP(C26, '2021_Internal_ModelLink'!$A$3:$Z$1000, 16, 0)</f>
        <v>0</v>
      </c>
      <c r="R27" s="980"/>
      <c r="S27" s="64"/>
      <c r="T27" s="64"/>
      <c r="U27" s="64"/>
      <c r="V27" s="64"/>
    </row>
    <row r="28" spans="1:22" s="41" customFormat="1" ht="24.6" customHeight="1">
      <c r="A28" s="977"/>
      <c r="B28" s="115"/>
      <c r="C28" s="114"/>
      <c r="D28" s="122"/>
      <c r="E28" s="122"/>
      <c r="F28" s="122"/>
      <c r="G28" s="605"/>
      <c r="H28" s="605"/>
      <c r="I28" s="605"/>
      <c r="J28" s="262"/>
      <c r="K28" s="115"/>
      <c r="L28" s="187"/>
      <c r="M28" s="187"/>
      <c r="N28" s="187"/>
      <c r="O28" s="187"/>
      <c r="P28" s="608"/>
      <c r="Q28" s="608"/>
      <c r="R28" s="945"/>
      <c r="S28" s="64"/>
      <c r="T28" s="64"/>
      <c r="U28" s="64"/>
      <c r="V28" s="64"/>
    </row>
    <row r="29" spans="1:22" s="41" customFormat="1" ht="24.6" customHeight="1">
      <c r="A29" s="977"/>
      <c r="B29" s="850" t="s">
        <v>405</v>
      </c>
      <c r="C29" s="852">
        <v>203</v>
      </c>
      <c r="D29" s="963" t="s">
        <v>1680</v>
      </c>
      <c r="E29" s="963" t="s">
        <v>1680</v>
      </c>
      <c r="F29" s="963" t="s">
        <v>1680</v>
      </c>
      <c r="G29" s="963" t="s">
        <v>1680</v>
      </c>
      <c r="H29" s="963" t="s">
        <v>1680</v>
      </c>
      <c r="I29" s="963" t="s">
        <v>1680</v>
      </c>
      <c r="J29" s="242" t="s">
        <v>1222</v>
      </c>
      <c r="K29" s="215" t="s">
        <v>1762</v>
      </c>
      <c r="L29" s="511" t="s">
        <v>59</v>
      </c>
      <c r="M29" s="511" t="s">
        <v>59</v>
      </c>
      <c r="N29" s="511" t="s">
        <v>59</v>
      </c>
      <c r="O29" s="511" t="s">
        <v>59</v>
      </c>
      <c r="P29" s="511" t="s">
        <v>59</v>
      </c>
      <c r="Q29" s="511">
        <f>VLOOKUP(C29, '2021_Internal_ModelLink'!$A$3:$Z$1000, 15, 0)</f>
        <v>0</v>
      </c>
      <c r="R29" s="911"/>
      <c r="S29" s="64"/>
      <c r="T29" s="64"/>
      <c r="U29" s="64"/>
      <c r="V29" s="64"/>
    </row>
    <row r="30" spans="1:22" s="41" customFormat="1" ht="24.6" customHeight="1">
      <c r="A30" s="978"/>
      <c r="B30" s="865"/>
      <c r="C30" s="866"/>
      <c r="D30" s="964"/>
      <c r="E30" s="964"/>
      <c r="F30" s="964"/>
      <c r="G30" s="964"/>
      <c r="H30" s="964"/>
      <c r="I30" s="964"/>
      <c r="J30" s="250" t="s">
        <v>1223</v>
      </c>
      <c r="K30" s="408" t="s">
        <v>1763</v>
      </c>
      <c r="L30" s="532" t="s">
        <v>59</v>
      </c>
      <c r="M30" s="532" t="s">
        <v>59</v>
      </c>
      <c r="N30" s="532" t="s">
        <v>59</v>
      </c>
      <c r="O30" s="532" t="s">
        <v>59</v>
      </c>
      <c r="P30" s="532" t="s">
        <v>59</v>
      </c>
      <c r="Q30" s="532">
        <f>VLOOKUP(C29, '2021_Internal_ModelLink'!$A$3:$Z$1000, 16, 0)</f>
        <v>0</v>
      </c>
      <c r="R30" s="232"/>
      <c r="S30" s="64"/>
      <c r="T30" s="64"/>
      <c r="U30" s="64"/>
      <c r="V30" s="64"/>
    </row>
    <row r="31" spans="1:22" s="41" customFormat="1" ht="15.95" customHeight="1">
      <c r="A31" s="62"/>
      <c r="B31" s="405"/>
      <c r="C31" s="42"/>
      <c r="D31" s="118"/>
      <c r="E31" s="118"/>
      <c r="F31" s="118"/>
      <c r="G31" s="118"/>
      <c r="H31" s="118"/>
      <c r="I31" s="118"/>
      <c r="J31" s="59"/>
      <c r="K31" s="58"/>
      <c r="L31" s="57"/>
      <c r="M31" s="57"/>
      <c r="N31" s="57"/>
      <c r="O31" s="57"/>
      <c r="P31" s="57"/>
      <c r="Q31" s="57"/>
      <c r="R31" s="203"/>
      <c r="S31" s="64"/>
      <c r="T31" s="64"/>
      <c r="U31" s="64"/>
      <c r="V31" s="64"/>
    </row>
    <row r="32" spans="1:22" s="405" customFormat="1" ht="27.95" customHeight="1">
      <c r="A32" s="874" t="s">
        <v>1764</v>
      </c>
      <c r="B32" s="474" t="s">
        <v>1765</v>
      </c>
      <c r="C32" s="114"/>
      <c r="D32" s="122"/>
      <c r="E32" s="122"/>
      <c r="F32" s="122"/>
      <c r="G32" s="605"/>
      <c r="H32" s="605"/>
      <c r="I32" s="605"/>
      <c r="J32" s="262"/>
      <c r="K32" s="114"/>
      <c r="L32" s="187"/>
      <c r="M32" s="187"/>
      <c r="N32" s="187"/>
      <c r="O32" s="187"/>
      <c r="P32" s="608"/>
      <c r="Q32" s="608"/>
      <c r="R32" s="956"/>
      <c r="S32" s="64"/>
      <c r="T32" s="64"/>
      <c r="U32" s="64"/>
      <c r="V32" s="64"/>
    </row>
    <row r="33" spans="1:22" s="405" customFormat="1" ht="26.45" customHeight="1">
      <c r="A33" s="875"/>
      <c r="B33" s="913" t="s">
        <v>1766</v>
      </c>
      <c r="C33" s="852">
        <v>204</v>
      </c>
      <c r="D33" s="963" t="s">
        <v>1680</v>
      </c>
      <c r="E33" s="963" t="s">
        <v>1680</v>
      </c>
      <c r="F33" s="963" t="s">
        <v>1680</v>
      </c>
      <c r="G33" s="963" t="s">
        <v>1680</v>
      </c>
      <c r="H33" s="963" t="s">
        <v>1680</v>
      </c>
      <c r="I33" s="963" t="s">
        <v>1680</v>
      </c>
      <c r="J33" s="242" t="s">
        <v>1224</v>
      </c>
      <c r="K33" s="215" t="s">
        <v>1767</v>
      </c>
      <c r="L33" s="511" t="s">
        <v>59</v>
      </c>
      <c r="M33" s="511" t="s">
        <v>59</v>
      </c>
      <c r="N33" s="511" t="s">
        <v>59</v>
      </c>
      <c r="O33" s="511" t="s">
        <v>59</v>
      </c>
      <c r="P33" s="511" t="s">
        <v>59</v>
      </c>
      <c r="Q33" s="511">
        <f>VLOOKUP(C33, '2021_Internal_ModelLink'!$A$3:$Z$1000, 15, 0)</f>
        <v>0</v>
      </c>
      <c r="R33" s="957"/>
      <c r="S33" s="64"/>
      <c r="T33" s="64"/>
      <c r="U33" s="64"/>
      <c r="V33" s="64"/>
    </row>
    <row r="34" spans="1:22" s="405" customFormat="1" ht="27.95" customHeight="1">
      <c r="A34" s="875"/>
      <c r="B34" s="865"/>
      <c r="C34" s="866"/>
      <c r="D34" s="964"/>
      <c r="E34" s="964"/>
      <c r="F34" s="964"/>
      <c r="G34" s="964"/>
      <c r="H34" s="964"/>
      <c r="I34" s="964"/>
      <c r="J34" s="250" t="s">
        <v>1225</v>
      </c>
      <c r="K34" s="127" t="s">
        <v>1768</v>
      </c>
      <c r="L34" s="532" t="s">
        <v>59</v>
      </c>
      <c r="M34" s="532" t="s">
        <v>59</v>
      </c>
      <c r="N34" s="532" t="s">
        <v>59</v>
      </c>
      <c r="O34" s="532" t="s">
        <v>59</v>
      </c>
      <c r="P34" s="532" t="s">
        <v>59</v>
      </c>
      <c r="Q34" s="532">
        <f>VLOOKUP(C33, '2021_Internal_ModelLink'!$A$3:$Z$1000, 16, 0)</f>
        <v>5353.7176096287776</v>
      </c>
      <c r="R34" s="406"/>
      <c r="S34" s="64"/>
      <c r="T34" s="64"/>
      <c r="U34" s="64"/>
      <c r="V34" s="64"/>
    </row>
    <row r="35" spans="1:22" s="405" customFormat="1" ht="26.45" customHeight="1">
      <c r="A35" s="977"/>
      <c r="B35" s="913" t="s">
        <v>1766</v>
      </c>
      <c r="C35" s="852">
        <v>205</v>
      </c>
      <c r="D35" s="963" t="s">
        <v>1680</v>
      </c>
      <c r="E35" s="963" t="s">
        <v>1680</v>
      </c>
      <c r="F35" s="963" t="s">
        <v>1680</v>
      </c>
      <c r="G35" s="963" t="s">
        <v>1680</v>
      </c>
      <c r="H35" s="963" t="s">
        <v>1680</v>
      </c>
      <c r="I35" s="963" t="s">
        <v>1680</v>
      </c>
      <c r="J35" s="242" t="s">
        <v>1226</v>
      </c>
      <c r="K35" s="215" t="s">
        <v>1767</v>
      </c>
      <c r="L35" s="511" t="s">
        <v>59</v>
      </c>
      <c r="M35" s="511" t="s">
        <v>59</v>
      </c>
      <c r="N35" s="511" t="s">
        <v>59</v>
      </c>
      <c r="O35" s="511" t="s">
        <v>59</v>
      </c>
      <c r="P35" s="511" t="s">
        <v>59</v>
      </c>
      <c r="Q35" s="511">
        <f>VLOOKUP(C35, '2021_Internal_ModelLink'!$A$3:$Z$1000, 15, 0)</f>
        <v>0</v>
      </c>
      <c r="R35" s="568"/>
      <c r="S35" s="64"/>
      <c r="T35" s="64"/>
      <c r="U35" s="64"/>
      <c r="V35" s="64"/>
    </row>
    <row r="36" spans="1:22" s="405" customFormat="1" ht="27.95" customHeight="1">
      <c r="A36" s="977"/>
      <c r="B36" s="865"/>
      <c r="C36" s="866"/>
      <c r="D36" s="964"/>
      <c r="E36" s="964"/>
      <c r="F36" s="964"/>
      <c r="G36" s="964"/>
      <c r="H36" s="964"/>
      <c r="I36" s="964"/>
      <c r="J36" s="250" t="s">
        <v>1227</v>
      </c>
      <c r="K36" s="127" t="s">
        <v>1768</v>
      </c>
      <c r="L36" s="532" t="s">
        <v>59</v>
      </c>
      <c r="M36" s="532" t="s">
        <v>59</v>
      </c>
      <c r="N36" s="532" t="s">
        <v>59</v>
      </c>
      <c r="O36" s="532" t="s">
        <v>59</v>
      </c>
      <c r="P36" s="532" t="s">
        <v>59</v>
      </c>
      <c r="Q36" s="532">
        <f>VLOOKUP(C35, '2021_Internal_ModelLink'!$A$3:$Z$1000, 16, 0)</f>
        <v>5353.7176096287776</v>
      </c>
      <c r="R36" s="406"/>
      <c r="S36" s="64"/>
      <c r="T36" s="64"/>
      <c r="U36" s="64"/>
      <c r="V36" s="64"/>
    </row>
    <row r="37" spans="1:22" s="41" customFormat="1" ht="26.45" customHeight="1">
      <c r="A37" s="977"/>
      <c r="B37" s="913" t="s">
        <v>1766</v>
      </c>
      <c r="C37" s="852">
        <v>206</v>
      </c>
      <c r="D37" s="963" t="s">
        <v>1680</v>
      </c>
      <c r="E37" s="963" t="s">
        <v>1680</v>
      </c>
      <c r="F37" s="963" t="s">
        <v>1680</v>
      </c>
      <c r="G37" s="963" t="s">
        <v>1680</v>
      </c>
      <c r="H37" s="963" t="s">
        <v>1680</v>
      </c>
      <c r="I37" s="963" t="s">
        <v>1680</v>
      </c>
      <c r="J37" s="242" t="s">
        <v>1228</v>
      </c>
      <c r="K37" s="215" t="s">
        <v>1767</v>
      </c>
      <c r="L37" s="511" t="s">
        <v>59</v>
      </c>
      <c r="M37" s="511" t="s">
        <v>59</v>
      </c>
      <c r="N37" s="511" t="s">
        <v>59</v>
      </c>
      <c r="O37" s="511" t="s">
        <v>59</v>
      </c>
      <c r="P37" s="511" t="s">
        <v>59</v>
      </c>
      <c r="Q37" s="511">
        <f>VLOOKUP(C37, '2021_Internal_ModelLink'!$A$3:$Z$1000, 15, 0)</f>
        <v>0</v>
      </c>
      <c r="R37" s="568"/>
      <c r="S37" s="64"/>
      <c r="T37" s="64"/>
      <c r="U37" s="64"/>
      <c r="V37" s="64"/>
    </row>
    <row r="38" spans="1:22" s="41" customFormat="1" ht="27.95" customHeight="1">
      <c r="A38" s="978"/>
      <c r="B38" s="865"/>
      <c r="C38" s="866"/>
      <c r="D38" s="964"/>
      <c r="E38" s="964"/>
      <c r="F38" s="964"/>
      <c r="G38" s="964"/>
      <c r="H38" s="964"/>
      <c r="I38" s="964"/>
      <c r="J38" s="250" t="s">
        <v>1229</v>
      </c>
      <c r="K38" s="127" t="s">
        <v>1768</v>
      </c>
      <c r="L38" s="532" t="s">
        <v>59</v>
      </c>
      <c r="M38" s="532" t="s">
        <v>59</v>
      </c>
      <c r="N38" s="532" t="s">
        <v>59</v>
      </c>
      <c r="O38" s="532" t="s">
        <v>59</v>
      </c>
      <c r="P38" s="532" t="s">
        <v>59</v>
      </c>
      <c r="Q38" s="532">
        <f>VLOOKUP(C37, '2021_Internal_ModelLink'!$A$3:$Z$1000, 16, 0)</f>
        <v>5353.7176096287776</v>
      </c>
      <c r="R38" s="406"/>
      <c r="S38" s="64"/>
      <c r="T38" s="64"/>
      <c r="U38" s="64"/>
      <c r="V38" s="64"/>
    </row>
    <row r="39" spans="1:22" s="41" customFormat="1" ht="15.95" customHeight="1">
      <c r="A39" s="62"/>
      <c r="B39" s="405"/>
      <c r="C39" s="42"/>
      <c r="D39" s="123"/>
      <c r="E39" s="123"/>
      <c r="F39" s="123"/>
      <c r="G39" s="123"/>
      <c r="H39" s="123"/>
      <c r="I39" s="123"/>
      <c r="J39" s="59"/>
      <c r="K39" s="58"/>
      <c r="L39" s="129"/>
      <c r="M39" s="129"/>
      <c r="N39" s="129"/>
      <c r="O39" s="129"/>
      <c r="P39" s="129"/>
      <c r="Q39" s="129"/>
      <c r="R39" s="203"/>
      <c r="S39" s="64"/>
      <c r="T39" s="64"/>
      <c r="U39" s="64"/>
      <c r="V39" s="64"/>
    </row>
    <row r="40" spans="1:22" s="41" customFormat="1" ht="15.95" customHeight="1">
      <c r="A40" s="856" t="s">
        <v>416</v>
      </c>
      <c r="B40" s="115" t="s">
        <v>1769</v>
      </c>
      <c r="C40" s="104"/>
      <c r="D40" s="122"/>
      <c r="E40" s="122"/>
      <c r="F40" s="122"/>
      <c r="G40" s="605"/>
      <c r="H40" s="605"/>
      <c r="I40" s="605"/>
      <c r="J40" s="262"/>
      <c r="K40" s="114"/>
      <c r="L40" s="187"/>
      <c r="M40" s="187"/>
      <c r="N40" s="187"/>
      <c r="O40" s="187"/>
      <c r="P40" s="608"/>
      <c r="Q40" s="608"/>
      <c r="R40" s="249"/>
      <c r="S40" s="64"/>
      <c r="T40" s="64"/>
      <c r="U40" s="64"/>
      <c r="V40" s="64"/>
    </row>
    <row r="41" spans="1:22" s="41" customFormat="1" ht="15.95" customHeight="1">
      <c r="A41" s="857"/>
      <c r="B41" s="981" t="s">
        <v>1770</v>
      </c>
      <c r="C41" s="852">
        <v>209</v>
      </c>
      <c r="D41" s="963" t="s">
        <v>1680</v>
      </c>
      <c r="E41" s="963" t="s">
        <v>1680</v>
      </c>
      <c r="F41" s="963" t="s">
        <v>1680</v>
      </c>
      <c r="G41" s="963" t="s">
        <v>1680</v>
      </c>
      <c r="H41" s="963" t="s">
        <v>1680</v>
      </c>
      <c r="I41" s="963" t="s">
        <v>1680</v>
      </c>
      <c r="J41" s="242" t="s">
        <v>1234</v>
      </c>
      <c r="K41" s="215" t="s">
        <v>1771</v>
      </c>
      <c r="L41" s="511" t="s">
        <v>59</v>
      </c>
      <c r="M41" s="511" t="s">
        <v>59</v>
      </c>
      <c r="N41" s="511" t="s">
        <v>59</v>
      </c>
      <c r="O41" s="511" t="s">
        <v>59</v>
      </c>
      <c r="P41" s="511" t="s">
        <v>59</v>
      </c>
      <c r="Q41" s="511">
        <f>VLOOKUP(C41, '2021_Internal_ModelLink'!$A$3:$Z$1000, 15, 0)</f>
        <v>0</v>
      </c>
      <c r="R41" s="290"/>
      <c r="S41" s="64"/>
      <c r="T41" s="64"/>
      <c r="U41" s="64"/>
      <c r="V41" s="64"/>
    </row>
    <row r="42" spans="1:22" s="41" customFormat="1" ht="15.95" customHeight="1">
      <c r="A42" s="859"/>
      <c r="B42" s="982"/>
      <c r="C42" s="866"/>
      <c r="D42" s="964"/>
      <c r="E42" s="964"/>
      <c r="F42" s="964"/>
      <c r="G42" s="964"/>
      <c r="H42" s="964"/>
      <c r="I42" s="964"/>
      <c r="J42" s="250" t="s">
        <v>1235</v>
      </c>
      <c r="K42" s="127" t="s">
        <v>1772</v>
      </c>
      <c r="L42" s="511" t="s">
        <v>59</v>
      </c>
      <c r="M42" s="511" t="s">
        <v>59</v>
      </c>
      <c r="N42" s="511" t="s">
        <v>59</v>
      </c>
      <c r="O42" s="511" t="s">
        <v>59</v>
      </c>
      <c r="P42" s="511" t="s">
        <v>59</v>
      </c>
      <c r="Q42" s="511">
        <f>VLOOKUP(C41, '2021_Internal_ModelLink'!$A$3:$Z$1000, 16, 0)</f>
        <v>0</v>
      </c>
      <c r="R42" s="232"/>
      <c r="S42" s="64"/>
      <c r="T42" s="64"/>
      <c r="U42" s="64"/>
      <c r="V42" s="64"/>
    </row>
    <row r="43" spans="1:22" s="41" customFormat="1" ht="15.95" customHeight="1">
      <c r="A43" s="62"/>
      <c r="B43" s="405"/>
      <c r="C43" s="405"/>
      <c r="D43" s="118"/>
      <c r="E43" s="118"/>
      <c r="F43" s="118"/>
      <c r="G43" s="118"/>
      <c r="H43" s="118"/>
      <c r="I43" s="118"/>
      <c r="J43" s="59"/>
      <c r="K43" s="58"/>
      <c r="L43" s="210"/>
      <c r="M43" s="57"/>
      <c r="N43" s="57"/>
      <c r="O43" s="57"/>
      <c r="P43" s="57"/>
      <c r="Q43" s="57"/>
      <c r="R43" s="130"/>
      <c r="S43" s="64"/>
      <c r="T43" s="64"/>
      <c r="U43" s="64"/>
      <c r="V43" s="64"/>
    </row>
    <row r="44" spans="1:22" s="41" customFormat="1" ht="45">
      <c r="A44" s="856" t="s">
        <v>1773</v>
      </c>
      <c r="B44" s="202" t="s">
        <v>1774</v>
      </c>
      <c r="C44" s="202"/>
      <c r="D44" s="122"/>
      <c r="E44" s="122"/>
      <c r="F44" s="122"/>
      <c r="G44" s="605"/>
      <c r="H44" s="605"/>
      <c r="I44" s="605"/>
      <c r="J44" s="262"/>
      <c r="K44" s="114"/>
      <c r="L44" s="187"/>
      <c r="M44" s="187"/>
      <c r="N44" s="187"/>
      <c r="O44" s="608"/>
      <c r="P44" s="608"/>
      <c r="Q44" s="608"/>
      <c r="R44" s="249"/>
      <c r="S44" s="64"/>
      <c r="T44" s="64"/>
      <c r="U44" s="64"/>
      <c r="V44" s="64"/>
    </row>
    <row r="45" spans="1:22" s="41" customFormat="1" ht="15.95" customHeight="1">
      <c r="A45" s="857"/>
      <c r="B45" s="913" t="s">
        <v>424</v>
      </c>
      <c r="C45" s="852">
        <v>210</v>
      </c>
      <c r="D45" s="965">
        <f>L45/L46</f>
        <v>3.4340854264225909E-2</v>
      </c>
      <c r="E45" s="965">
        <f>M45/M46</f>
        <v>2.4270826047422537E-2</v>
      </c>
      <c r="F45" s="965">
        <f t="shared" ref="F45:I45" si="1">N45/N46</f>
        <v>2.2501747030048917E-2</v>
      </c>
      <c r="G45" s="965">
        <f t="shared" si="1"/>
        <v>1.644697779361121E-2</v>
      </c>
      <c r="H45" s="965">
        <f t="shared" si="1"/>
        <v>1.1600237953599048E-2</v>
      </c>
      <c r="I45" s="965">
        <f t="shared" si="1"/>
        <v>0</v>
      </c>
      <c r="J45" s="242" t="s">
        <v>1236</v>
      </c>
      <c r="K45" s="176" t="s">
        <v>1775</v>
      </c>
      <c r="L45" s="182">
        <v>484</v>
      </c>
      <c r="M45" s="182">
        <v>347</v>
      </c>
      <c r="N45" s="182">
        <v>322</v>
      </c>
      <c r="O45" s="182">
        <v>277</v>
      </c>
      <c r="P45" s="182">
        <v>195</v>
      </c>
      <c r="Q45" s="182">
        <f>VLOOKUP(C45, '2021_Internal_ModelLink'!$A$3:$Z$1000, 15, 0)</f>
        <v>0</v>
      </c>
      <c r="R45" s="911"/>
      <c r="S45" s="64"/>
      <c r="T45" s="64"/>
      <c r="U45" s="971" t="s">
        <v>760</v>
      </c>
      <c r="V45" s="64"/>
    </row>
    <row r="46" spans="1:22" s="41" customFormat="1" ht="15.95" customHeight="1">
      <c r="A46" s="857"/>
      <c r="B46" s="913"/>
      <c r="C46" s="852"/>
      <c r="D46" s="966"/>
      <c r="E46" s="966"/>
      <c r="F46" s="966"/>
      <c r="G46" s="966"/>
      <c r="H46" s="966"/>
      <c r="I46" s="966"/>
      <c r="J46" s="242" t="s">
        <v>1237</v>
      </c>
      <c r="K46" s="407" t="s">
        <v>1776</v>
      </c>
      <c r="L46" s="160">
        <v>14094</v>
      </c>
      <c r="M46" s="160">
        <v>14297</v>
      </c>
      <c r="N46" s="160">
        <v>14310</v>
      </c>
      <c r="O46" s="160">
        <v>16842</v>
      </c>
      <c r="P46" s="160">
        <v>16810</v>
      </c>
      <c r="Q46" s="160">
        <f>VLOOKUP(C45, '2021_Internal_ModelLink'!$A$3:$Z$1000, 16, 0)</f>
        <v>16719</v>
      </c>
      <c r="R46" s="911"/>
      <c r="S46" s="64"/>
      <c r="T46" s="64"/>
      <c r="U46" s="971"/>
      <c r="V46" s="64"/>
    </row>
    <row r="47" spans="1:22" s="41" customFormat="1" ht="24.6" customHeight="1">
      <c r="A47" s="857"/>
      <c r="B47" s="226"/>
      <c r="C47" s="226"/>
      <c r="D47" s="124"/>
      <c r="E47" s="124"/>
      <c r="F47" s="124"/>
      <c r="G47" s="124"/>
      <c r="H47" s="124"/>
      <c r="I47" s="124"/>
      <c r="J47" s="146"/>
      <c r="K47" s="116"/>
      <c r="L47" s="188"/>
      <c r="M47" s="188"/>
      <c r="N47" s="188"/>
      <c r="O47" s="188"/>
      <c r="P47" s="188"/>
      <c r="Q47" s="188"/>
      <c r="R47" s="568"/>
      <c r="S47" s="64"/>
      <c r="T47" s="64"/>
      <c r="U47" s="971"/>
      <c r="V47" s="64"/>
    </row>
    <row r="48" spans="1:22" s="405" customFormat="1" ht="15.95" customHeight="1">
      <c r="A48" s="62"/>
      <c r="D48" s="118"/>
      <c r="E48" s="118"/>
      <c r="F48" s="118"/>
      <c r="G48" s="118"/>
      <c r="H48" s="118"/>
      <c r="I48" s="118"/>
      <c r="J48" s="59"/>
      <c r="K48" s="58"/>
      <c r="L48" s="210"/>
      <c r="M48" s="57"/>
      <c r="N48" s="57"/>
      <c r="O48" s="57"/>
      <c r="P48" s="57"/>
      <c r="Q48" s="57"/>
      <c r="R48" s="130"/>
      <c r="S48" s="64"/>
      <c r="T48" s="64"/>
      <c r="U48" s="971"/>
      <c r="V48" s="64"/>
    </row>
    <row r="49" spans="1:30" s="405" customFormat="1" ht="15.95" customHeight="1">
      <c r="A49" s="983" t="s">
        <v>1777</v>
      </c>
      <c r="B49" s="973" t="s">
        <v>424</v>
      </c>
      <c r="C49" s="974">
        <v>211</v>
      </c>
      <c r="D49" s="975" t="s">
        <v>1680</v>
      </c>
      <c r="E49" s="976"/>
      <c r="F49" s="967">
        <f t="shared" ref="F49" si="2">N49/N50</f>
        <v>2.2501747030048917E-2</v>
      </c>
      <c r="G49" s="967">
        <f t="shared" ref="G49" si="3">O49/O50</f>
        <v>1.644697779361121E-2</v>
      </c>
      <c r="H49" s="967">
        <f t="shared" ref="H49:I49" si="4">P49/P50</f>
        <v>1.1600237953599048E-2</v>
      </c>
      <c r="I49" s="967">
        <f t="shared" si="4"/>
        <v>0</v>
      </c>
      <c r="J49" s="484" t="s">
        <v>1238</v>
      </c>
      <c r="K49" s="485" t="s">
        <v>1778</v>
      </c>
      <c r="L49" s="512" t="s">
        <v>59</v>
      </c>
      <c r="M49" s="486">
        <v>7969202</v>
      </c>
      <c r="N49" s="486">
        <v>7395052</v>
      </c>
      <c r="O49" s="610">
        <v>6361582</v>
      </c>
      <c r="P49" s="610">
        <v>4478370</v>
      </c>
      <c r="Q49" s="610">
        <f>VLOOKUP(C49, '2021_Internal_ModelLink'!$A$3:$Z$1000, 15, 0)</f>
        <v>0</v>
      </c>
      <c r="R49" s="945"/>
      <c r="S49" s="64"/>
      <c r="T49" s="64"/>
      <c r="U49" s="64"/>
      <c r="V49" s="64"/>
    </row>
    <row r="50" spans="1:30" s="405" customFormat="1" ht="15.95" customHeight="1">
      <c r="A50" s="984"/>
      <c r="B50" s="972"/>
      <c r="C50" s="866"/>
      <c r="D50" s="964"/>
      <c r="E50" s="962"/>
      <c r="F50" s="968"/>
      <c r="G50" s="968"/>
      <c r="H50" s="968"/>
      <c r="I50" s="968"/>
      <c r="J50" s="250" t="s">
        <v>1239</v>
      </c>
      <c r="K50" s="282" t="s">
        <v>1779</v>
      </c>
      <c r="L50" s="532" t="s">
        <v>59</v>
      </c>
      <c r="M50" s="128">
        <v>328344902</v>
      </c>
      <c r="N50" s="128">
        <v>328643460</v>
      </c>
      <c r="O50" s="128">
        <v>386793372</v>
      </c>
      <c r="P50" s="128">
        <v>386058460</v>
      </c>
      <c r="Q50" s="128">
        <f>VLOOKUP(C49, '2021_Internal_ModelLink'!$A$3:$Z$1000, 16, 0)</f>
        <v>383968554</v>
      </c>
      <c r="R50" s="919"/>
      <c r="S50" s="64"/>
      <c r="T50" s="64"/>
      <c r="U50" s="64"/>
      <c r="V50" s="64"/>
    </row>
    <row r="51" spans="1:30" s="405" customFormat="1" ht="15.95" customHeight="1">
      <c r="B51" s="226"/>
      <c r="C51" s="226"/>
      <c r="D51" s="124"/>
      <c r="E51" s="124"/>
      <c r="F51" s="124"/>
      <c r="G51" s="124"/>
      <c r="H51" s="124"/>
      <c r="I51" s="124"/>
      <c r="J51" s="146"/>
      <c r="K51" s="116"/>
      <c r="L51" s="188"/>
      <c r="M51" s="188"/>
      <c r="N51" s="188"/>
      <c r="O51" s="188"/>
      <c r="P51" s="188"/>
      <c r="Q51" s="188"/>
      <c r="R51" s="487"/>
      <c r="S51" s="64"/>
      <c r="T51" s="64"/>
      <c r="U51" s="64"/>
      <c r="V51" s="64"/>
    </row>
    <row r="52" spans="1:30" s="405" customFormat="1" ht="15.95" customHeight="1">
      <c r="A52" s="983" t="s">
        <v>1780</v>
      </c>
      <c r="B52" s="985" t="s">
        <v>1781</v>
      </c>
      <c r="C52" s="974">
        <v>212</v>
      </c>
      <c r="D52" s="975" t="s">
        <v>1680</v>
      </c>
      <c r="E52" s="975" t="s">
        <v>1680</v>
      </c>
      <c r="F52" s="975" t="s">
        <v>1680</v>
      </c>
      <c r="G52" s="975" t="s">
        <v>1680</v>
      </c>
      <c r="H52" s="975" t="s">
        <v>1680</v>
      </c>
      <c r="I52" s="975" t="s">
        <v>1680</v>
      </c>
      <c r="J52" s="484" t="s">
        <v>1240</v>
      </c>
      <c r="K52" s="485" t="s">
        <v>1782</v>
      </c>
      <c r="L52" s="512" t="s">
        <v>59</v>
      </c>
      <c r="M52" s="512" t="s">
        <v>59</v>
      </c>
      <c r="N52" s="512" t="s">
        <v>59</v>
      </c>
      <c r="O52" s="512" t="s">
        <v>59</v>
      </c>
      <c r="P52" s="512" t="s">
        <v>59</v>
      </c>
      <c r="Q52" s="512">
        <f>VLOOKUP(C52, '2021_Internal_ModelLink'!$A$3:$Z$1000, 15, 0)</f>
        <v>0</v>
      </c>
      <c r="R52" s="945"/>
      <c r="S52" s="64"/>
      <c r="T52" s="64"/>
      <c r="U52" s="64"/>
      <c r="V52" s="64"/>
    </row>
    <row r="53" spans="1:30" s="405" customFormat="1" ht="15.95" customHeight="1">
      <c r="A53" s="984"/>
      <c r="B53" s="972"/>
      <c r="C53" s="866"/>
      <c r="D53" s="964"/>
      <c r="E53" s="964"/>
      <c r="F53" s="964"/>
      <c r="G53" s="964"/>
      <c r="H53" s="964"/>
      <c r="I53" s="964"/>
      <c r="J53" s="250" t="s">
        <v>1241</v>
      </c>
      <c r="K53" s="282" t="s">
        <v>1783</v>
      </c>
      <c r="L53" s="717" t="s">
        <v>59</v>
      </c>
      <c r="M53" s="717" t="s">
        <v>59</v>
      </c>
      <c r="N53" s="717" t="s">
        <v>59</v>
      </c>
      <c r="O53" s="717" t="s">
        <v>59</v>
      </c>
      <c r="P53" s="717" t="s">
        <v>59</v>
      </c>
      <c r="Q53" s="717">
        <f>VLOOKUP(C52, '2021_Internal_ModelLink'!$A$3:$Z$1000, 16, 0)</f>
        <v>0</v>
      </c>
      <c r="R53" s="919"/>
      <c r="S53" s="64"/>
      <c r="T53" s="64"/>
      <c r="U53" s="64"/>
      <c r="V53" s="64"/>
    </row>
    <row r="54" spans="1:30" s="41" customFormat="1" ht="15.95" customHeight="1">
      <c r="A54" s="62"/>
      <c r="B54" s="405"/>
      <c r="C54" s="405"/>
      <c r="D54" s="118"/>
      <c r="E54" s="118"/>
      <c r="F54" s="118"/>
      <c r="G54" s="118"/>
      <c r="H54" s="118"/>
      <c r="I54" s="118"/>
      <c r="J54" s="59"/>
      <c r="K54" s="58"/>
      <c r="L54" s="129"/>
      <c r="M54" s="129"/>
      <c r="N54" s="129"/>
      <c r="O54" s="129"/>
      <c r="P54" s="129"/>
      <c r="Q54" s="129"/>
      <c r="R54" s="203"/>
      <c r="S54" s="64"/>
      <c r="T54" s="64"/>
      <c r="U54" s="64"/>
      <c r="V54" s="64"/>
      <c r="W54" s="405"/>
      <c r="X54" s="405"/>
      <c r="Y54" s="405"/>
      <c r="Z54" s="405"/>
      <c r="AA54" s="405"/>
      <c r="AB54" s="405"/>
      <c r="AC54" s="405"/>
      <c r="AD54" s="405"/>
    </row>
    <row r="55" spans="1:30" s="405" customFormat="1" ht="30" customHeight="1">
      <c r="A55" s="856" t="s">
        <v>1748</v>
      </c>
      <c r="B55" s="170" t="s">
        <v>1569</v>
      </c>
      <c r="C55" s="170"/>
      <c r="D55" s="170"/>
      <c r="E55" s="170"/>
      <c r="F55" s="381"/>
      <c r="G55" s="594"/>
      <c r="H55" s="594"/>
      <c r="I55" s="594"/>
      <c r="J55" s="114"/>
      <c r="K55" s="114"/>
      <c r="L55" s="122"/>
      <c r="M55" s="378"/>
      <c r="N55" s="378"/>
      <c r="O55" s="596"/>
      <c r="P55" s="596"/>
      <c r="Q55" s="596"/>
      <c r="R55" s="229"/>
      <c r="S55" s="43"/>
      <c r="T55" s="453"/>
      <c r="U55" s="44"/>
      <c r="V55" s="44"/>
      <c r="W55" s="44"/>
      <c r="X55" s="44"/>
      <c r="Y55" s="44"/>
      <c r="Z55" s="44"/>
      <c r="AA55" s="44"/>
      <c r="AB55" s="44"/>
      <c r="AC55" s="44"/>
      <c r="AD55" s="44"/>
    </row>
    <row r="56" spans="1:30" s="405" customFormat="1" ht="18.75" customHeight="1">
      <c r="A56" s="857"/>
      <c r="B56" s="850" t="s">
        <v>1571</v>
      </c>
      <c r="C56" s="852">
        <v>213</v>
      </c>
      <c r="D56" s="849">
        <f t="shared" ref="D56:H56" si="5">L56/L57</f>
        <v>252.79448034943113</v>
      </c>
      <c r="E56" s="849">
        <f t="shared" si="5"/>
        <v>218.18298505594356</v>
      </c>
      <c r="F56" s="849">
        <f t="shared" si="5"/>
        <v>219.63457345377984</v>
      </c>
      <c r="G56" s="849">
        <f t="shared" si="5"/>
        <v>259.84504371055107</v>
      </c>
      <c r="H56" s="849">
        <f t="shared" si="5"/>
        <v>331.3686375818254</v>
      </c>
      <c r="I56" s="849" t="str">
        <f>IFERROR(Q56/Q57,"N/A")</f>
        <v>N/A</v>
      </c>
      <c r="J56" s="242" t="s">
        <v>1242</v>
      </c>
      <c r="K56" s="235" t="s">
        <v>1572</v>
      </c>
      <c r="L56" s="212">
        <v>10553411.987121101</v>
      </c>
      <c r="M56" s="212">
        <v>2898764.2021833868</v>
      </c>
      <c r="N56" s="212">
        <v>7514137.2012361949</v>
      </c>
      <c r="O56" s="212">
        <v>5216577.0949020712</v>
      </c>
      <c r="P56" s="212">
        <v>4128534.80468019</v>
      </c>
      <c r="Q56" s="212" t="str">
        <f>VLOOKUP(C56, '2021_Internal_ModelLink'!$A$3:$Z$1000, 15, 0)</f>
        <v>N/A</v>
      </c>
      <c r="R56" s="853"/>
      <c r="S56" s="424"/>
      <c r="T56" s="453"/>
      <c r="U56" s="44"/>
      <c r="V56" s="44"/>
      <c r="W56" s="44"/>
      <c r="X56" s="44"/>
      <c r="Y56" s="44"/>
      <c r="Z56" s="44"/>
      <c r="AA56" s="44"/>
      <c r="AB56" s="44"/>
      <c r="AC56" s="44"/>
      <c r="AD56" s="44"/>
    </row>
    <row r="57" spans="1:30" s="405" customFormat="1" ht="18.75" customHeight="1">
      <c r="A57" s="857"/>
      <c r="B57" s="851"/>
      <c r="C57" s="852"/>
      <c r="D57" s="849"/>
      <c r="E57" s="849"/>
      <c r="F57" s="849"/>
      <c r="G57" s="849"/>
      <c r="H57" s="849"/>
      <c r="I57" s="849"/>
      <c r="J57" s="242" t="s">
        <v>1243</v>
      </c>
      <c r="K57" s="295" t="s">
        <v>1573</v>
      </c>
      <c r="L57" s="206">
        <v>41747.003227813359</v>
      </c>
      <c r="M57" s="206">
        <v>13285.9315378792</v>
      </c>
      <c r="N57" s="206">
        <v>34211.996240279899</v>
      </c>
      <c r="O57" s="206">
        <v>20075.722901657373</v>
      </c>
      <c r="P57" s="206">
        <v>12459.039077470705</v>
      </c>
      <c r="Q57" s="206">
        <f>VLOOKUP(C56, '2021_Internal_ModelLink'!$A$3:$Z$1000, 16, 0)</f>
        <v>0</v>
      </c>
      <c r="R57" s="853"/>
      <c r="S57" s="424"/>
      <c r="T57" s="453"/>
      <c r="U57" s="44"/>
      <c r="V57" s="44"/>
      <c r="W57" s="44"/>
      <c r="X57" s="44"/>
      <c r="Y57" s="44"/>
      <c r="Z57" s="44"/>
      <c r="AA57" s="44"/>
      <c r="AB57" s="44"/>
      <c r="AC57" s="44"/>
      <c r="AD57" s="44"/>
    </row>
    <row r="58" spans="1:30" s="405" customFormat="1" ht="18.75" customHeight="1">
      <c r="A58" s="857"/>
      <c r="B58" s="58"/>
      <c r="C58" s="573"/>
      <c r="D58" s="207"/>
      <c r="E58" s="207"/>
      <c r="F58" s="380"/>
      <c r="G58" s="380"/>
      <c r="H58" s="380"/>
      <c r="I58" s="380"/>
      <c r="J58" s="263"/>
      <c r="K58" s="58"/>
      <c r="L58" s="125"/>
      <c r="M58" s="379"/>
      <c r="N58" s="377"/>
      <c r="O58" s="377"/>
      <c r="P58" s="377"/>
      <c r="Q58" s="377"/>
      <c r="R58" s="568"/>
      <c r="S58" s="424"/>
      <c r="T58" s="453"/>
      <c r="U58" s="44"/>
      <c r="V58" s="44"/>
      <c r="W58" s="44"/>
      <c r="X58" s="44"/>
      <c r="Y58" s="44"/>
      <c r="Z58" s="44"/>
      <c r="AA58" s="44"/>
      <c r="AB58" s="44"/>
      <c r="AC58" s="44"/>
      <c r="AD58" s="44"/>
    </row>
    <row r="59" spans="1:30" s="405" customFormat="1" ht="18.75" customHeight="1">
      <c r="A59" s="857"/>
      <c r="B59" s="850" t="s">
        <v>1574</v>
      </c>
      <c r="C59" s="852">
        <v>214</v>
      </c>
      <c r="D59" s="849">
        <f t="shared" ref="D59:H59" si="6">L59/L60</f>
        <v>6.7807003324595175E-2</v>
      </c>
      <c r="E59" s="849">
        <f t="shared" si="6"/>
        <v>4.1213434891709221E-2</v>
      </c>
      <c r="F59" s="849">
        <f t="shared" si="6"/>
        <v>3.6981760817995001E-2</v>
      </c>
      <c r="G59" s="849">
        <f t="shared" si="6"/>
        <v>6.1047977558683082E-2</v>
      </c>
      <c r="H59" s="849">
        <f t="shared" si="6"/>
        <v>4.8496070942200147E-2</v>
      </c>
      <c r="I59" s="849" t="str">
        <f>IFERROR(Q59/Q60,"N/A")</f>
        <v>N/A</v>
      </c>
      <c r="J59" s="242" t="s">
        <v>1244</v>
      </c>
      <c r="K59" s="235" t="s">
        <v>1572</v>
      </c>
      <c r="L59" s="212">
        <v>10553411.987121101</v>
      </c>
      <c r="M59" s="212">
        <v>2898764.2021833868</v>
      </c>
      <c r="N59" s="634">
        <f>N56</f>
        <v>7514137.2012361949</v>
      </c>
      <c r="O59" s="634">
        <v>5216577.0949020712</v>
      </c>
      <c r="P59" s="634">
        <v>4128534.80468019</v>
      </c>
      <c r="Q59" s="634" t="str">
        <f>VLOOKUP(C59, '2021_Internal_ModelLink'!$A$3:$Z$1000, 15, 0)</f>
        <v>N/A</v>
      </c>
      <c r="R59" s="853"/>
      <c r="S59" s="424"/>
      <c r="T59" s="453"/>
      <c r="U59" s="44"/>
      <c r="V59" s="44"/>
      <c r="W59" s="44"/>
      <c r="X59" s="44"/>
      <c r="Y59" s="44"/>
      <c r="Z59" s="44"/>
      <c r="AA59" s="44"/>
      <c r="AB59" s="44"/>
      <c r="AC59" s="44"/>
      <c r="AD59" s="44"/>
    </row>
    <row r="60" spans="1:30" s="405" customFormat="1" ht="15" customHeight="1">
      <c r="A60" s="857"/>
      <c r="B60" s="851"/>
      <c r="C60" s="852"/>
      <c r="D60" s="849"/>
      <c r="E60" s="849"/>
      <c r="F60" s="849"/>
      <c r="G60" s="849"/>
      <c r="H60" s="849"/>
      <c r="I60" s="849"/>
      <c r="J60" s="242" t="s">
        <v>1245</v>
      </c>
      <c r="K60" s="295" t="s">
        <v>1575</v>
      </c>
      <c r="L60" s="206">
        <v>155638967.50607666</v>
      </c>
      <c r="M60" s="206">
        <v>70335418.773030296</v>
      </c>
      <c r="N60" s="635">
        <v>203184949.41917101</v>
      </c>
      <c r="O60" s="635">
        <v>85450449.032280803</v>
      </c>
      <c r="P60" s="635">
        <v>85131325.578947797</v>
      </c>
      <c r="Q60" s="635">
        <f>VLOOKUP(C59, '2021_Internal_ModelLink'!$A$3:$Z$1000, 16, 0)</f>
        <v>0</v>
      </c>
      <c r="R60" s="853"/>
      <c r="S60" s="424"/>
      <c r="T60" s="453"/>
      <c r="U60" s="44"/>
      <c r="V60" s="44"/>
      <c r="W60" s="44"/>
      <c r="X60" s="44"/>
      <c r="Y60" s="44"/>
      <c r="Z60" s="44"/>
      <c r="AA60" s="44"/>
      <c r="AB60" s="44"/>
      <c r="AC60" s="44"/>
      <c r="AD60" s="44"/>
    </row>
    <row r="61" spans="1:30" s="44" customFormat="1" ht="15" customHeight="1">
      <c r="A61" s="943"/>
      <c r="B61" s="418"/>
      <c r="C61" s="573"/>
      <c r="D61" s="419"/>
      <c r="E61" s="419"/>
      <c r="F61" s="419"/>
      <c r="G61" s="419"/>
      <c r="H61" s="419"/>
      <c r="I61" s="419"/>
      <c r="J61" s="420"/>
      <c r="K61" s="421"/>
      <c r="L61" s="422"/>
      <c r="M61" s="422"/>
      <c r="N61" s="422"/>
      <c r="O61" s="422"/>
      <c r="P61" s="422"/>
      <c r="Q61" s="422"/>
      <c r="R61" s="559"/>
      <c r="S61" s="424"/>
      <c r="T61" s="453"/>
    </row>
    <row r="62" spans="1:30" s="405" customFormat="1" ht="15" customHeight="1">
      <c r="A62" s="943"/>
      <c r="B62" s="850" t="s">
        <v>1576</v>
      </c>
      <c r="C62" s="852">
        <v>215</v>
      </c>
      <c r="D62" s="849">
        <f t="shared" ref="D62:H62" si="7">L62/L63</f>
        <v>0.47732983132924717</v>
      </c>
      <c r="E62" s="849">
        <f t="shared" si="7"/>
        <v>0.27974754402891922</v>
      </c>
      <c r="F62" s="849">
        <f t="shared" si="7"/>
        <v>0.41831196269124932</v>
      </c>
      <c r="G62" s="849">
        <f t="shared" si="7"/>
        <v>0.78441307302490493</v>
      </c>
      <c r="H62" s="849">
        <f t="shared" si="7"/>
        <v>0.68124918386781941</v>
      </c>
      <c r="I62" s="849" t="str">
        <f>IFERROR(Q62/Q63,"N/A")</f>
        <v>N/A</v>
      </c>
      <c r="J62" s="242" t="s">
        <v>1246</v>
      </c>
      <c r="K62" s="235" t="s">
        <v>1572</v>
      </c>
      <c r="L62" s="212">
        <v>2864378.7973788986</v>
      </c>
      <c r="M62" s="212">
        <v>1315157.8978166131</v>
      </c>
      <c r="N62" s="212">
        <v>379898.89979324501</v>
      </c>
      <c r="O62" s="212">
        <v>165300.02098675133</v>
      </c>
      <c r="P62" s="212">
        <v>671320.71057927387</v>
      </c>
      <c r="Q62" s="212" t="str">
        <f>VLOOKUP(C62, '2021_Internal_ModelLink'!$A$3:$Z$1000, 15, 0)</f>
        <v>N/A</v>
      </c>
      <c r="R62" s="560"/>
      <c r="S62" s="424"/>
      <c r="T62" s="453"/>
      <c r="U62" s="44"/>
      <c r="V62" s="44"/>
      <c r="W62" s="44"/>
      <c r="X62" s="44"/>
      <c r="Y62" s="44"/>
      <c r="Z62" s="44"/>
      <c r="AA62" s="44"/>
      <c r="AB62" s="44"/>
      <c r="AC62" s="44"/>
      <c r="AD62" s="44"/>
    </row>
    <row r="63" spans="1:30" s="405" customFormat="1" ht="15" customHeight="1">
      <c r="A63" s="944"/>
      <c r="B63" s="865"/>
      <c r="C63" s="866"/>
      <c r="D63" s="854"/>
      <c r="E63" s="854"/>
      <c r="F63" s="854"/>
      <c r="G63" s="854"/>
      <c r="H63" s="854"/>
      <c r="I63" s="854"/>
      <c r="J63" s="250" t="s">
        <v>1247</v>
      </c>
      <c r="K63" s="296" t="s">
        <v>1577</v>
      </c>
      <c r="L63" s="289">
        <v>6000837.5956774</v>
      </c>
      <c r="M63" s="289">
        <v>4701231.2561380602</v>
      </c>
      <c r="N63" s="128">
        <v>908171.25417386997</v>
      </c>
      <c r="O63" s="128">
        <v>210730.83388234544</v>
      </c>
      <c r="P63" s="128">
        <v>985426.07679589977</v>
      </c>
      <c r="Q63" s="128">
        <f>VLOOKUP(C62, '2021_Internal_ModelLink'!$A$3:$Z$1000, 16, 0)</f>
        <v>0</v>
      </c>
      <c r="R63" s="561"/>
      <c r="S63" s="424"/>
      <c r="T63" s="453"/>
      <c r="U63" s="44"/>
      <c r="V63" s="44"/>
      <c r="W63" s="44"/>
      <c r="X63" s="44"/>
      <c r="Y63" s="44"/>
      <c r="Z63" s="44"/>
      <c r="AA63" s="44"/>
      <c r="AB63" s="44"/>
      <c r="AC63" s="44"/>
      <c r="AD63" s="44"/>
    </row>
    <row r="64" spans="1:30" s="405" customFormat="1" ht="15.75">
      <c r="A64" s="49"/>
      <c r="B64" s="42"/>
      <c r="C64" s="45"/>
      <c r="R64" s="46"/>
      <c r="S64" s="43"/>
      <c r="T64" s="453"/>
      <c r="U64" s="44"/>
      <c r="V64" s="44"/>
      <c r="W64" s="44"/>
      <c r="X64" s="44"/>
      <c r="Y64" s="44"/>
      <c r="Z64" s="44"/>
      <c r="AA64" s="44"/>
      <c r="AB64" s="44"/>
      <c r="AC64" s="44"/>
      <c r="AD64" s="44"/>
    </row>
    <row r="65" spans="1:30" s="405" customFormat="1" ht="30" customHeight="1">
      <c r="A65" s="856" t="s">
        <v>1578</v>
      </c>
      <c r="B65" s="170" t="s">
        <v>1579</v>
      </c>
      <c r="C65" s="170"/>
      <c r="D65" s="170"/>
      <c r="E65" s="170"/>
      <c r="F65" s="381"/>
      <c r="G65" s="594"/>
      <c r="H65" s="594"/>
      <c r="I65" s="594"/>
      <c r="J65" s="114"/>
      <c r="K65" s="114"/>
      <c r="L65" s="122"/>
      <c r="M65" s="378"/>
      <c r="N65" s="378"/>
      <c r="O65" s="596"/>
      <c r="P65" s="596"/>
      <c r="Q65" s="596"/>
      <c r="R65" s="229"/>
      <c r="S65" s="43"/>
      <c r="T65" s="454"/>
      <c r="U65" s="44"/>
      <c r="V65" s="44"/>
      <c r="W65" s="44"/>
      <c r="X65" s="44"/>
      <c r="Y65" s="44"/>
      <c r="Z65" s="44"/>
      <c r="AA65" s="44"/>
      <c r="AB65" s="44"/>
      <c r="AC65" s="44"/>
      <c r="AD65" s="44"/>
    </row>
    <row r="66" spans="1:30" s="405" customFormat="1" ht="18.75" customHeight="1">
      <c r="A66" s="857"/>
      <c r="B66" s="850" t="s">
        <v>97</v>
      </c>
      <c r="C66" s="852">
        <v>216</v>
      </c>
      <c r="D66" s="849">
        <f t="shared" ref="D66:H66" si="8">L66/L67</f>
        <v>511.94720125703424</v>
      </c>
      <c r="E66" s="849">
        <f t="shared" si="8"/>
        <v>611.31127848128483</v>
      </c>
      <c r="F66" s="849">
        <f t="shared" si="8"/>
        <v>587.01052905849212</v>
      </c>
      <c r="G66" s="849">
        <f t="shared" si="8"/>
        <v>393.1078073186211</v>
      </c>
      <c r="H66" s="849">
        <f t="shared" si="8"/>
        <v>472.99893304018002</v>
      </c>
      <c r="I66" s="849" t="str">
        <f>IFERROR(Q66/Q67,"N/A")</f>
        <v>N/A</v>
      </c>
      <c r="J66" s="242" t="s">
        <v>1248</v>
      </c>
      <c r="K66" s="235" t="s">
        <v>1580</v>
      </c>
      <c r="L66" s="212">
        <v>21372261.463347424</v>
      </c>
      <c r="M66" s="212">
        <v>8121839.7942357566</v>
      </c>
      <c r="N66" s="634">
        <v>20082802.013153847</v>
      </c>
      <c r="O66" s="634">
        <v>7891923.4102067556</v>
      </c>
      <c r="P66" s="634">
        <v>5893112.1903495518</v>
      </c>
      <c r="Q66" s="634" t="str">
        <f>VLOOKUP(C66, '2021_Internal_ModelLink'!$A$3:$Z$1000, 15, 0)</f>
        <v>N/A</v>
      </c>
      <c r="R66" s="853"/>
      <c r="S66" s="424"/>
      <c r="T66" s="454"/>
      <c r="U66" s="44"/>
      <c r="V66" s="44"/>
      <c r="W66" s="44"/>
      <c r="X66" s="44"/>
      <c r="Y66" s="44"/>
      <c r="Z66" s="44"/>
      <c r="AA66" s="44"/>
      <c r="AB66" s="44"/>
      <c r="AC66" s="44"/>
      <c r="AD66" s="44"/>
    </row>
    <row r="67" spans="1:30" s="405" customFormat="1" ht="18.75" customHeight="1">
      <c r="A67" s="857"/>
      <c r="B67" s="851"/>
      <c r="C67" s="852"/>
      <c r="D67" s="849"/>
      <c r="E67" s="849"/>
      <c r="F67" s="849"/>
      <c r="G67" s="849"/>
      <c r="H67" s="849"/>
      <c r="I67" s="849"/>
      <c r="J67" s="242" t="s">
        <v>1249</v>
      </c>
      <c r="K67" s="295" t="s">
        <v>1784</v>
      </c>
      <c r="L67" s="206">
        <v>41747.003227813359</v>
      </c>
      <c r="M67" s="206">
        <v>13285.9315378792</v>
      </c>
      <c r="N67" s="635">
        <f>N57</f>
        <v>34211.996240279899</v>
      </c>
      <c r="O67" s="635">
        <v>20075.722901657373</v>
      </c>
      <c r="P67" s="635">
        <v>12459.039077470705</v>
      </c>
      <c r="Q67" s="635">
        <f>VLOOKUP(C66, '2021_Internal_ModelLink'!$A$3:$Z$1000, 16, 0)</f>
        <v>0</v>
      </c>
      <c r="R67" s="853"/>
      <c r="S67" s="424"/>
      <c r="T67" s="454"/>
      <c r="U67" s="44"/>
      <c r="V67" s="44"/>
      <c r="W67" s="44"/>
      <c r="X67" s="44"/>
      <c r="Y67" s="44"/>
      <c r="Z67" s="44"/>
      <c r="AA67" s="44"/>
      <c r="AB67" s="44"/>
      <c r="AC67" s="44"/>
      <c r="AD67" s="44"/>
    </row>
    <row r="68" spans="1:30" s="44" customFormat="1" ht="15" customHeight="1">
      <c r="A68" s="857"/>
      <c r="B68" s="418"/>
      <c r="C68" s="573"/>
      <c r="D68" s="207"/>
      <c r="E68" s="419"/>
      <c r="F68" s="419"/>
      <c r="G68" s="419"/>
      <c r="H68" s="419"/>
      <c r="I68" s="419"/>
      <c r="J68" s="420"/>
      <c r="K68" s="421"/>
      <c r="L68" s="422"/>
      <c r="M68" s="422"/>
      <c r="N68" s="459"/>
      <c r="O68" s="459"/>
      <c r="P68" s="459"/>
      <c r="Q68" s="459"/>
      <c r="R68" s="684"/>
      <c r="S68" s="424"/>
      <c r="T68" s="453"/>
    </row>
    <row r="69" spans="1:30" s="405" customFormat="1" ht="18.75" customHeight="1">
      <c r="A69" s="857"/>
      <c r="B69" s="850" t="s">
        <v>98</v>
      </c>
      <c r="C69" s="852">
        <v>217</v>
      </c>
      <c r="D69" s="849">
        <f t="shared" ref="D69:H69" si="9">L69/L70</f>
        <v>0.1373194760014903</v>
      </c>
      <c r="E69" s="849">
        <f t="shared" si="9"/>
        <v>0.11547297131257045</v>
      </c>
      <c r="F69" s="849">
        <f t="shared" si="9"/>
        <v>9.8840007936429303E-2</v>
      </c>
      <c r="G69" s="849">
        <f t="shared" si="9"/>
        <v>9.2356722516758291E-2</v>
      </c>
      <c r="H69" s="849">
        <f t="shared" si="9"/>
        <v>6.9223780438899513E-2</v>
      </c>
      <c r="I69" s="849" t="str">
        <f>IFERROR(Q69/Q70,"N/A")</f>
        <v>N/A</v>
      </c>
      <c r="J69" s="242" t="s">
        <v>1250</v>
      </c>
      <c r="K69" s="235" t="s">
        <v>1580</v>
      </c>
      <c r="L69" s="212">
        <v>21372261.463347424</v>
      </c>
      <c r="M69" s="212">
        <v>8121839.7942357566</v>
      </c>
      <c r="N69" s="634">
        <f>N66</f>
        <v>20082802.013153847</v>
      </c>
      <c r="O69" s="634">
        <v>7891923.4102067556</v>
      </c>
      <c r="P69" s="634">
        <v>5893112.1903495518</v>
      </c>
      <c r="Q69" s="634" t="str">
        <f>VLOOKUP(C69, '2021_Internal_ModelLink'!$A$3:$Z$1000, 15, 0)</f>
        <v>N/A</v>
      </c>
      <c r="R69" s="560"/>
      <c r="S69" s="424"/>
      <c r="T69" s="453"/>
      <c r="U69" s="44"/>
      <c r="V69" s="44"/>
      <c r="W69" s="44"/>
      <c r="X69" s="44"/>
      <c r="Y69" s="44"/>
      <c r="Z69" s="44"/>
      <c r="AA69" s="44"/>
      <c r="AB69" s="44"/>
      <c r="AC69" s="44"/>
      <c r="AD69" s="44"/>
    </row>
    <row r="70" spans="1:30" s="405" customFormat="1" ht="18.75" customHeight="1">
      <c r="A70" s="857"/>
      <c r="B70" s="851"/>
      <c r="C70" s="852"/>
      <c r="D70" s="849"/>
      <c r="E70" s="849"/>
      <c r="F70" s="849"/>
      <c r="G70" s="849"/>
      <c r="H70" s="849"/>
      <c r="I70" s="849"/>
      <c r="J70" s="242" t="s">
        <v>1251</v>
      </c>
      <c r="K70" s="295" t="s">
        <v>1581</v>
      </c>
      <c r="L70" s="206">
        <v>155638967.50607666</v>
      </c>
      <c r="M70" s="206">
        <v>70335418.773030296</v>
      </c>
      <c r="N70" s="635">
        <f>N60</f>
        <v>203184949.41917101</v>
      </c>
      <c r="O70" s="635">
        <v>85450449.032280803</v>
      </c>
      <c r="P70" s="635">
        <v>85131325.578947797</v>
      </c>
      <c r="Q70" s="635">
        <f>VLOOKUP(C69, '2021_Internal_ModelLink'!$A$3:$Z$1000, 16, 0)</f>
        <v>0</v>
      </c>
      <c r="R70" s="560"/>
      <c r="S70" s="424"/>
      <c r="T70" s="453"/>
      <c r="U70" s="44"/>
      <c r="V70" s="44"/>
      <c r="W70" s="44"/>
      <c r="X70" s="44"/>
      <c r="Y70" s="44"/>
      <c r="Z70" s="44"/>
      <c r="AA70" s="44"/>
      <c r="AB70" s="44"/>
      <c r="AC70" s="44"/>
      <c r="AD70" s="44"/>
    </row>
    <row r="71" spans="1:30" s="405" customFormat="1" ht="18.75" customHeight="1">
      <c r="A71" s="857"/>
      <c r="B71" s="58"/>
      <c r="C71" s="573"/>
      <c r="D71" s="419"/>
      <c r="E71" s="207"/>
      <c r="F71" s="380"/>
      <c r="G71" s="380"/>
      <c r="H71" s="380"/>
      <c r="I71" s="380"/>
      <c r="J71" s="263"/>
      <c r="K71" s="58"/>
      <c r="L71" s="125"/>
      <c r="M71" s="379"/>
      <c r="N71" s="422"/>
      <c r="O71" s="422"/>
      <c r="P71" s="422"/>
      <c r="Q71" s="422"/>
      <c r="R71" s="568"/>
      <c r="S71" s="424"/>
      <c r="T71" s="453"/>
      <c r="U71" s="44"/>
      <c r="V71" s="44"/>
      <c r="W71" s="44"/>
      <c r="X71" s="44"/>
      <c r="Y71" s="44"/>
      <c r="Z71" s="44"/>
      <c r="AA71" s="44"/>
      <c r="AB71" s="44"/>
      <c r="AC71" s="44"/>
      <c r="AD71" s="44"/>
    </row>
    <row r="72" spans="1:30" s="405" customFormat="1" ht="18.75" customHeight="1">
      <c r="A72" s="857"/>
      <c r="B72" s="850" t="s">
        <v>99</v>
      </c>
      <c r="C72" s="852">
        <v>218</v>
      </c>
      <c r="D72" s="849">
        <f t="shared" ref="D72:H72" si="10">L72/L73</f>
        <v>0.96666537531878627</v>
      </c>
      <c r="E72" s="849">
        <f t="shared" si="10"/>
        <v>0.78380460670876462</v>
      </c>
      <c r="F72" s="849">
        <f t="shared" si="10"/>
        <v>1.0248836267359509</v>
      </c>
      <c r="G72" s="849">
        <f t="shared" si="10"/>
        <v>1.18670303949446</v>
      </c>
      <c r="H72" s="849">
        <f t="shared" si="10"/>
        <v>0.9724219511401504</v>
      </c>
      <c r="I72" s="849" t="str">
        <f>IFERROR(Q72/Q73,"N/A")</f>
        <v>N/A</v>
      </c>
      <c r="J72" s="242" t="s">
        <v>1252</v>
      </c>
      <c r="K72" s="235" t="s">
        <v>1580</v>
      </c>
      <c r="L72" s="212">
        <v>5800801.9266525768</v>
      </c>
      <c r="M72" s="212">
        <v>3684846.7157642436</v>
      </c>
      <c r="N72" s="634">
        <v>930769.84867505298</v>
      </c>
      <c r="O72" s="634">
        <v>250074.92108338146</v>
      </c>
      <c r="P72" s="634">
        <v>958249.94830225257</v>
      </c>
      <c r="Q72" s="634" t="str">
        <f>VLOOKUP(C72, '2021_Internal_ModelLink'!$A$3:$Z$1000, 15, 0)</f>
        <v>N/A</v>
      </c>
      <c r="R72" s="853"/>
      <c r="S72" s="424"/>
      <c r="T72" s="453"/>
      <c r="U72" s="44"/>
      <c r="V72" s="44"/>
      <c r="W72" s="44"/>
      <c r="X72" s="44"/>
      <c r="Y72" s="44"/>
      <c r="Z72" s="44"/>
      <c r="AA72" s="44"/>
      <c r="AB72" s="44"/>
      <c r="AC72" s="44"/>
      <c r="AD72" s="44"/>
    </row>
    <row r="73" spans="1:30" s="405" customFormat="1" ht="15" customHeight="1">
      <c r="A73" s="859"/>
      <c r="B73" s="865"/>
      <c r="C73" s="866"/>
      <c r="D73" s="854"/>
      <c r="E73" s="854"/>
      <c r="F73" s="854"/>
      <c r="G73" s="854"/>
      <c r="H73" s="854"/>
      <c r="I73" s="854"/>
      <c r="J73" s="250" t="s">
        <v>1253</v>
      </c>
      <c r="K73" s="296" t="s">
        <v>1581</v>
      </c>
      <c r="L73" s="289">
        <v>6000837.5956774</v>
      </c>
      <c r="M73" s="289">
        <v>4701231.2561380602</v>
      </c>
      <c r="N73" s="638">
        <f>N63</f>
        <v>908171.25417386997</v>
      </c>
      <c r="O73" s="638">
        <v>210730.83388234544</v>
      </c>
      <c r="P73" s="638">
        <v>985426.07679589977</v>
      </c>
      <c r="Q73" s="638">
        <f>VLOOKUP(C72, '2021_Internal_ModelLink'!$A$3:$Z$1000, 16, 0)</f>
        <v>0</v>
      </c>
      <c r="R73" s="855"/>
      <c r="S73" s="424"/>
      <c r="T73" s="453"/>
      <c r="U73" s="44"/>
      <c r="V73" s="44"/>
      <c r="W73" s="44"/>
      <c r="X73" s="44"/>
      <c r="Y73" s="44"/>
      <c r="Z73" s="44"/>
      <c r="AA73" s="44"/>
      <c r="AB73" s="44"/>
      <c r="AC73" s="44"/>
      <c r="AD73" s="44"/>
    </row>
    <row r="74" spans="1:30" s="405" customFormat="1">
      <c r="A74" s="62"/>
      <c r="D74" s="118"/>
      <c r="E74" s="118"/>
      <c r="F74" s="118"/>
      <c r="G74" s="118"/>
      <c r="H74" s="118"/>
      <c r="I74" s="118"/>
      <c r="J74" s="59"/>
      <c r="K74" s="58"/>
      <c r="L74" s="129"/>
      <c r="M74" s="129"/>
      <c r="N74" s="129"/>
      <c r="O74" s="129"/>
      <c r="P74" s="129"/>
      <c r="Q74" s="129"/>
      <c r="R74" s="203"/>
      <c r="S74" s="64"/>
      <c r="T74" s="64"/>
      <c r="U74" s="64"/>
      <c r="V74" s="64"/>
    </row>
    <row r="75" spans="1:30" s="41" customFormat="1" ht="30">
      <c r="A75" s="856" t="s">
        <v>1785</v>
      </c>
      <c r="B75" s="202" t="s">
        <v>1786</v>
      </c>
      <c r="C75" s="120"/>
      <c r="D75" s="122"/>
      <c r="E75" s="122"/>
      <c r="F75" s="122"/>
      <c r="G75" s="605"/>
      <c r="H75" s="605"/>
      <c r="I75" s="605"/>
      <c r="J75" s="262"/>
      <c r="K75" s="115"/>
      <c r="L75" s="122"/>
      <c r="M75" s="122"/>
      <c r="N75" s="122"/>
      <c r="O75" s="605"/>
      <c r="P75" s="605"/>
      <c r="Q75" s="605"/>
      <c r="R75" s="254"/>
      <c r="S75" s="64"/>
      <c r="T75" s="64"/>
      <c r="U75" s="64"/>
      <c r="V75" s="64"/>
      <c r="W75" s="405"/>
      <c r="X75" s="405"/>
      <c r="Y75" s="405"/>
      <c r="Z75" s="405"/>
      <c r="AA75" s="405"/>
      <c r="AB75" s="405"/>
      <c r="AC75" s="405"/>
      <c r="AD75" s="405"/>
    </row>
    <row r="76" spans="1:30" s="41" customFormat="1" ht="20.100000000000001" customHeight="1">
      <c r="A76" s="857"/>
      <c r="B76" s="850" t="s">
        <v>1787</v>
      </c>
      <c r="C76" s="852">
        <v>221</v>
      </c>
      <c r="D76" s="969">
        <f t="shared" ref="D76:I76" si="11">L76/L77</f>
        <v>25.492516880921073</v>
      </c>
      <c r="E76" s="969">
        <f t="shared" si="11"/>
        <v>24.237238356781308</v>
      </c>
      <c r="F76" s="969">
        <f t="shared" si="11"/>
        <v>20.415816246080006</v>
      </c>
      <c r="G76" s="969">
        <f t="shared" si="11"/>
        <v>44.01682570672628</v>
      </c>
      <c r="H76" s="969">
        <f t="shared" si="11"/>
        <v>42.078878154197973</v>
      </c>
      <c r="I76" s="969">
        <f t="shared" si="11"/>
        <v>38.706905157743826</v>
      </c>
      <c r="J76" s="242" t="s">
        <v>1258</v>
      </c>
      <c r="K76" s="216" t="s">
        <v>1788</v>
      </c>
      <c r="L76" s="645">
        <f>2439720266*3.412142</f>
        <v>8324671987.869771</v>
      </c>
      <c r="M76" s="645">
        <v>7958173653.0079994</v>
      </c>
      <c r="N76" s="698">
        <f>2421132747*3.412142</f>
        <v>8261248733.6140738</v>
      </c>
      <c r="O76" s="698">
        <v>17025416439.84094</v>
      </c>
      <c r="P76" s="698">
        <v>16244906898.737312</v>
      </c>
      <c r="Q76" s="698">
        <f>VLOOKUP(C76, '2021_Internal_ModelLink'!$A$3:$Z$1000, 15, 0)</f>
        <v>14862234403.234037</v>
      </c>
      <c r="R76" s="290"/>
      <c r="S76" s="64"/>
      <c r="T76" s="64"/>
      <c r="U76" s="64"/>
      <c r="V76" s="64"/>
      <c r="W76" s="405"/>
      <c r="X76" s="405"/>
      <c r="Y76" s="405"/>
      <c r="Z76" s="405"/>
      <c r="AA76" s="405"/>
      <c r="AB76" s="405"/>
      <c r="AC76" s="405"/>
      <c r="AD76" s="405"/>
    </row>
    <row r="77" spans="1:30" s="41" customFormat="1" ht="20.100000000000001" customHeight="1">
      <c r="A77" s="859"/>
      <c r="B77" s="865"/>
      <c r="C77" s="866"/>
      <c r="D77" s="970"/>
      <c r="E77" s="970"/>
      <c r="F77" s="970"/>
      <c r="G77" s="970"/>
      <c r="H77" s="970"/>
      <c r="I77" s="970"/>
      <c r="J77" s="250" t="s">
        <v>1259</v>
      </c>
      <c r="K77" s="287" t="s">
        <v>1789</v>
      </c>
      <c r="L77" s="128">
        <v>326553554</v>
      </c>
      <c r="M77" s="646">
        <v>328344902</v>
      </c>
      <c r="N77" s="465">
        <v>404649446</v>
      </c>
      <c r="O77" s="682">
        <v>386793372</v>
      </c>
      <c r="P77" s="682">
        <v>386058460</v>
      </c>
      <c r="Q77" s="682">
        <f>VLOOKUP(C76, '2021_Internal_ModelLink'!$A$3:$Z$1000, 16, 0)</f>
        <v>383968554</v>
      </c>
      <c r="R77" s="708"/>
      <c r="S77" s="64"/>
      <c r="T77" s="64"/>
      <c r="U77" s="64"/>
      <c r="V77" s="64"/>
      <c r="W77" s="405"/>
      <c r="X77" s="405"/>
      <c r="Y77" s="405"/>
      <c r="Z77" s="405"/>
      <c r="AA77" s="405"/>
      <c r="AB77" s="405"/>
      <c r="AC77" s="405"/>
      <c r="AD77" s="405"/>
    </row>
    <row r="78" spans="1:30" s="41" customFormat="1" ht="15.95" customHeight="1">
      <c r="A78" s="62"/>
      <c r="B78" s="63"/>
      <c r="C78" s="63"/>
      <c r="D78" s="97"/>
      <c r="E78" s="97"/>
      <c r="F78" s="97"/>
      <c r="G78" s="97"/>
      <c r="H78" s="97"/>
      <c r="I78" s="97"/>
      <c r="J78" s="59"/>
      <c r="K78" s="214"/>
      <c r="L78" s="188"/>
      <c r="M78" s="188"/>
      <c r="N78" s="188"/>
      <c r="O78" s="188"/>
      <c r="P78" s="188"/>
      <c r="Q78" s="188"/>
      <c r="R78" s="203"/>
      <c r="S78" s="64"/>
      <c r="T78" s="64"/>
      <c r="U78" s="64"/>
      <c r="V78" s="64"/>
      <c r="W78" s="405"/>
      <c r="X78" s="405"/>
      <c r="Y78" s="405"/>
      <c r="Z78" s="405"/>
      <c r="AA78" s="405"/>
      <c r="AB78" s="405"/>
      <c r="AC78" s="405"/>
      <c r="AD78" s="405"/>
    </row>
    <row r="79" spans="1:30" s="41" customFormat="1" ht="15.95" customHeight="1">
      <c r="A79" s="62"/>
      <c r="B79" s="63"/>
      <c r="C79" s="63"/>
      <c r="D79" s="97"/>
      <c r="E79" s="97"/>
      <c r="F79" s="97"/>
      <c r="G79" s="97"/>
      <c r="H79" s="97"/>
      <c r="I79" s="97"/>
      <c r="J79" s="59"/>
      <c r="K79" s="214"/>
      <c r="L79" s="188"/>
      <c r="M79" s="188"/>
      <c r="N79" s="188"/>
      <c r="O79" s="188"/>
      <c r="P79" s="188"/>
      <c r="Q79" s="188"/>
      <c r="R79" s="203"/>
      <c r="S79" s="64"/>
      <c r="T79" s="64"/>
      <c r="U79" s="64"/>
      <c r="V79" s="64"/>
      <c r="W79" s="405"/>
      <c r="X79" s="405"/>
      <c r="Y79" s="405"/>
      <c r="Z79" s="405"/>
      <c r="AA79" s="405"/>
      <c r="AB79" s="405"/>
      <c r="AC79" s="405"/>
      <c r="AD79" s="405"/>
    </row>
    <row r="80" spans="1:30" s="41" customFormat="1" ht="15.95" customHeight="1">
      <c r="A80" s="856" t="s">
        <v>446</v>
      </c>
      <c r="B80" s="202" t="s">
        <v>1790</v>
      </c>
      <c r="C80" s="120"/>
      <c r="D80" s="122"/>
      <c r="E80" s="122"/>
      <c r="F80" s="122"/>
      <c r="G80" s="605"/>
      <c r="H80" s="605"/>
      <c r="I80" s="605"/>
      <c r="J80" s="262"/>
      <c r="K80" s="267"/>
      <c r="L80" s="187"/>
      <c r="M80" s="187"/>
      <c r="N80" s="187"/>
      <c r="O80" s="608"/>
      <c r="P80" s="608"/>
      <c r="Q80" s="608"/>
      <c r="R80" s="945"/>
      <c r="S80" s="64"/>
      <c r="T80" s="64"/>
      <c r="U80" s="64"/>
      <c r="V80" s="64"/>
      <c r="W80" s="405"/>
      <c r="X80" s="405"/>
      <c r="Y80" s="405"/>
      <c r="Z80" s="405"/>
      <c r="AA80" s="405"/>
      <c r="AB80" s="405"/>
      <c r="AC80" s="405"/>
      <c r="AD80" s="405"/>
    </row>
    <row r="81" spans="1:22" s="41" customFormat="1" ht="15.95" customHeight="1">
      <c r="A81" s="857"/>
      <c r="B81" s="912" t="s">
        <v>448</v>
      </c>
      <c r="C81" s="852">
        <v>220</v>
      </c>
      <c r="D81" s="960">
        <f t="shared" ref="D81:I81" si="12">L81/L82</f>
        <v>1.4687100893997445E-2</v>
      </c>
      <c r="E81" s="960">
        <f t="shared" si="12"/>
        <v>1.4758340910680562E-2</v>
      </c>
      <c r="F81" s="960">
        <f t="shared" si="12"/>
        <v>1.4744933612858141E-2</v>
      </c>
      <c r="G81" s="960">
        <f t="shared" si="12"/>
        <v>0.21392946205913788</v>
      </c>
      <c r="H81" s="960">
        <f t="shared" si="12"/>
        <v>4.164187983343248E-4</v>
      </c>
      <c r="I81" s="960">
        <f t="shared" si="12"/>
        <v>1.0646569770919313E-2</v>
      </c>
      <c r="J81" s="242" t="s">
        <v>1256</v>
      </c>
      <c r="K81" s="216" t="s">
        <v>1791</v>
      </c>
      <c r="L81" s="182">
        <v>207</v>
      </c>
      <c r="M81" s="182">
        <v>211</v>
      </c>
      <c r="N81" s="182">
        <v>211</v>
      </c>
      <c r="O81" s="645">
        <v>3603</v>
      </c>
      <c r="P81" s="645">
        <v>7</v>
      </c>
      <c r="Q81" s="645">
        <f>VLOOKUP(C81, '2021_Internal_ModelLink'!$A$3:$Z$1000, 15, 0)</f>
        <v>178</v>
      </c>
      <c r="R81" s="911"/>
      <c r="S81" s="64"/>
      <c r="T81" s="64"/>
      <c r="U81" s="64"/>
      <c r="V81" s="64"/>
    </row>
    <row r="82" spans="1:22" s="41" customFormat="1" ht="15.95" customHeight="1">
      <c r="A82" s="857"/>
      <c r="B82" s="913"/>
      <c r="C82" s="852"/>
      <c r="D82" s="960"/>
      <c r="E82" s="960"/>
      <c r="F82" s="960"/>
      <c r="G82" s="960"/>
      <c r="H82" s="960"/>
      <c r="I82" s="960"/>
      <c r="J82" s="242" t="s">
        <v>1257</v>
      </c>
      <c r="K82" s="213" t="s">
        <v>1776</v>
      </c>
      <c r="L82" s="160">
        <v>14094</v>
      </c>
      <c r="M82" s="160">
        <v>14297</v>
      </c>
      <c r="N82" s="160">
        <v>14310</v>
      </c>
      <c r="O82" s="129">
        <v>16842</v>
      </c>
      <c r="P82" s="129">
        <v>16810</v>
      </c>
      <c r="Q82" s="129">
        <f>VLOOKUP(C81, '2021_Internal_ModelLink'!$A$3:$Z$1000, 16, 0)</f>
        <v>16719</v>
      </c>
      <c r="R82" s="910"/>
      <c r="S82" s="64"/>
      <c r="T82" s="64"/>
      <c r="U82" s="64"/>
      <c r="V82" s="64"/>
    </row>
    <row r="83" spans="1:22" s="41" customFormat="1" ht="15.95" customHeight="1">
      <c r="A83" s="857"/>
      <c r="B83" s="226"/>
      <c r="C83" s="226"/>
      <c r="D83" s="125"/>
      <c r="E83" s="125"/>
      <c r="F83" s="125"/>
      <c r="G83" s="125"/>
      <c r="H83" s="125"/>
      <c r="I83" s="125"/>
      <c r="J83" s="146"/>
      <c r="K83" s="214"/>
      <c r="L83" s="188"/>
      <c r="M83" s="188"/>
      <c r="N83" s="188"/>
      <c r="O83" s="188"/>
      <c r="P83" s="188"/>
      <c r="Q83" s="188"/>
      <c r="R83" s="911"/>
      <c r="S83" s="64"/>
      <c r="T83" s="64"/>
      <c r="U83" s="64"/>
      <c r="V83" s="64"/>
    </row>
    <row r="84" spans="1:22" s="41" customFormat="1" ht="15.95" customHeight="1">
      <c r="A84" s="857"/>
      <c r="B84" s="912" t="s">
        <v>460</v>
      </c>
      <c r="C84" s="852">
        <v>222</v>
      </c>
      <c r="D84" s="961">
        <f t="shared" ref="D84:I84" si="13">L84/L85</f>
        <v>2.1558751079034769E-2</v>
      </c>
      <c r="E84" s="961">
        <f t="shared" si="13"/>
        <v>6.1371219340570118E-2</v>
      </c>
      <c r="F84" s="961">
        <f t="shared" si="13"/>
        <v>6.1315466311120261E-2</v>
      </c>
      <c r="G84" s="961">
        <f t="shared" si="13"/>
        <v>0.21392946205913788</v>
      </c>
      <c r="H84" s="961">
        <f t="shared" si="13"/>
        <v>4.164187983343248E-4</v>
      </c>
      <c r="I84" s="961">
        <f t="shared" si="13"/>
        <v>1.0646569770919313E-2</v>
      </c>
      <c r="J84" s="242" t="s">
        <v>1260</v>
      </c>
      <c r="K84" s="299" t="s">
        <v>1792</v>
      </c>
      <c r="L84" s="182">
        <v>6978197</v>
      </c>
      <c r="M84" s="182">
        <v>20150927</v>
      </c>
      <c r="N84" s="182">
        <v>20150927</v>
      </c>
      <c r="O84" s="645">
        <v>82746498</v>
      </c>
      <c r="P84" s="645">
        <v>160762</v>
      </c>
      <c r="Q84" s="645">
        <f>VLOOKUP(C84, '2021_Internal_ModelLink'!$A$3:$Z$1000, 15, 0)</f>
        <v>4087948</v>
      </c>
      <c r="R84" s="288"/>
      <c r="S84" s="64"/>
      <c r="T84" s="64"/>
      <c r="U84" s="64"/>
      <c r="V84" s="64"/>
    </row>
    <row r="85" spans="1:22" s="41" customFormat="1" ht="15.95" customHeight="1">
      <c r="A85" s="859"/>
      <c r="B85" s="972"/>
      <c r="C85" s="866"/>
      <c r="D85" s="962"/>
      <c r="E85" s="962"/>
      <c r="F85" s="962"/>
      <c r="G85" s="962"/>
      <c r="H85" s="962"/>
      <c r="I85" s="962"/>
      <c r="J85" s="250" t="s">
        <v>1261</v>
      </c>
      <c r="K85" s="478" t="s">
        <v>1793</v>
      </c>
      <c r="L85" s="479">
        <v>323682804</v>
      </c>
      <c r="M85" s="479">
        <v>328344902</v>
      </c>
      <c r="N85" s="479">
        <v>328643460</v>
      </c>
      <c r="O85" s="683">
        <v>386793372</v>
      </c>
      <c r="P85" s="683">
        <v>386058460</v>
      </c>
      <c r="Q85" s="683">
        <f>VLOOKUP(C84, '2021_Internal_ModelLink'!$A$3:$Z$1000, 16, 0)</f>
        <v>383968554</v>
      </c>
      <c r="R85" s="232"/>
      <c r="S85" s="64"/>
      <c r="T85" s="64"/>
      <c r="U85" s="64"/>
      <c r="V85" s="64"/>
    </row>
    <row r="86" spans="1:22">
      <c r="R86" s="203"/>
    </row>
    <row r="87" spans="1:22" ht="27.6" customHeight="1">
      <c r="A87" s="860"/>
      <c r="B87" s="860"/>
      <c r="C87" s="860"/>
      <c r="D87" s="860"/>
      <c r="E87" s="860"/>
      <c r="F87" s="557"/>
      <c r="G87" s="584"/>
      <c r="H87" s="690"/>
      <c r="I87" s="736"/>
      <c r="R87" s="203"/>
    </row>
    <row r="88" spans="1:22">
      <c r="A88" s="306" t="s">
        <v>1749</v>
      </c>
      <c r="B88" s="55"/>
      <c r="R88" s="203"/>
    </row>
    <row r="89" spans="1:22" ht="15.75">
      <c r="A89" s="130"/>
      <c r="B89" s="70"/>
    </row>
    <row r="90" spans="1:22" ht="15.75">
      <c r="A90" s="456" t="s">
        <v>1871</v>
      </c>
      <c r="B90" s="70"/>
    </row>
    <row r="91" spans="1:22" ht="15.75">
      <c r="A91" s="456" t="s">
        <v>1869</v>
      </c>
      <c r="B91" s="70"/>
    </row>
    <row r="92" spans="1:22" ht="32.1" customHeight="1">
      <c r="A92" s="712"/>
      <c r="B92" s="712"/>
      <c r="C92" s="712"/>
      <c r="D92" s="712"/>
      <c r="E92" s="712"/>
      <c r="F92" s="572"/>
      <c r="G92" s="588"/>
      <c r="H92" s="694"/>
      <c r="I92" s="740"/>
    </row>
    <row r="93" spans="1:22" ht="31.7" customHeight="1">
      <c r="A93" s="939"/>
      <c r="B93" s="939"/>
      <c r="C93" s="939"/>
      <c r="D93" s="939"/>
      <c r="E93" s="939"/>
      <c r="F93" s="572"/>
      <c r="G93" s="588"/>
      <c r="H93" s="694"/>
      <c r="I93" s="740"/>
    </row>
    <row r="94" spans="1:22" ht="15.75">
      <c r="A94" s="130"/>
      <c r="B94" s="70"/>
    </row>
  </sheetData>
  <mergeCells count="180">
    <mergeCell ref="H56:H57"/>
    <mergeCell ref="H59:H60"/>
    <mergeCell ref="H62:H63"/>
    <mergeCell ref="H66:H67"/>
    <mergeCell ref="H69:H70"/>
    <mergeCell ref="H72:H73"/>
    <mergeCell ref="H76:H77"/>
    <mergeCell ref="H81:H82"/>
    <mergeCell ref="H84:H85"/>
    <mergeCell ref="G35:G36"/>
    <mergeCell ref="H35:H36"/>
    <mergeCell ref="G37:G38"/>
    <mergeCell ref="H37:H38"/>
    <mergeCell ref="G41:G42"/>
    <mergeCell ref="H41:H42"/>
    <mergeCell ref="H45:H46"/>
    <mergeCell ref="G49:G50"/>
    <mergeCell ref="H49:H50"/>
    <mergeCell ref="G56:G57"/>
    <mergeCell ref="G59:G60"/>
    <mergeCell ref="G62:G63"/>
    <mergeCell ref="G66:G67"/>
    <mergeCell ref="G69:G70"/>
    <mergeCell ref="G72:G73"/>
    <mergeCell ref="G76:G77"/>
    <mergeCell ref="G81:G82"/>
    <mergeCell ref="G84:G85"/>
    <mergeCell ref="A49:A50"/>
    <mergeCell ref="A52:A53"/>
    <mergeCell ref="B52:B53"/>
    <mergeCell ref="C52:C53"/>
    <mergeCell ref="D52:D53"/>
    <mergeCell ref="E52:E53"/>
    <mergeCell ref="F52:F53"/>
    <mergeCell ref="R52:R53"/>
    <mergeCell ref="R49:R50"/>
    <mergeCell ref="G52:G53"/>
    <mergeCell ref="H52:H53"/>
    <mergeCell ref="I52:I53"/>
    <mergeCell ref="A32:A38"/>
    <mergeCell ref="B35:B36"/>
    <mergeCell ref="C35:C36"/>
    <mergeCell ref="D35:D36"/>
    <mergeCell ref="E35:E36"/>
    <mergeCell ref="F35:F36"/>
    <mergeCell ref="A40:A42"/>
    <mergeCell ref="D41:D42"/>
    <mergeCell ref="B33:B34"/>
    <mergeCell ref="C33:C34"/>
    <mergeCell ref="D33:D34"/>
    <mergeCell ref="E33:E34"/>
    <mergeCell ref="F33:F34"/>
    <mergeCell ref="A55:A63"/>
    <mergeCell ref="B56:B57"/>
    <mergeCell ref="C56:C57"/>
    <mergeCell ref="D56:D57"/>
    <mergeCell ref="E56:E57"/>
    <mergeCell ref="F56:F57"/>
    <mergeCell ref="B59:B60"/>
    <mergeCell ref="C59:C60"/>
    <mergeCell ref="D59:D60"/>
    <mergeCell ref="E59:E60"/>
    <mergeCell ref="F59:F60"/>
    <mergeCell ref="B62:B63"/>
    <mergeCell ref="C62:C63"/>
    <mergeCell ref="D62:D63"/>
    <mergeCell ref="E62:E63"/>
    <mergeCell ref="F62:F63"/>
    <mergeCell ref="R82:R83"/>
    <mergeCell ref="R80:R81"/>
    <mergeCell ref="R45:R46"/>
    <mergeCell ref="B37:B38"/>
    <mergeCell ref="C37:C38"/>
    <mergeCell ref="D37:D38"/>
    <mergeCell ref="F76:F77"/>
    <mergeCell ref="F81:F82"/>
    <mergeCell ref="R56:R57"/>
    <mergeCell ref="R59:R60"/>
    <mergeCell ref="B66:B67"/>
    <mergeCell ref="E66:E67"/>
    <mergeCell ref="F66:F67"/>
    <mergeCell ref="R66:R67"/>
    <mergeCell ref="E69:E70"/>
    <mergeCell ref="F69:F70"/>
    <mergeCell ref="B41:B42"/>
    <mergeCell ref="C41:C42"/>
    <mergeCell ref="R72:R73"/>
    <mergeCell ref="D66:D67"/>
    <mergeCell ref="B69:B70"/>
    <mergeCell ref="C69:C70"/>
    <mergeCell ref="D69:D70"/>
    <mergeCell ref="B45:B46"/>
    <mergeCell ref="R19:R27"/>
    <mergeCell ref="R28:R29"/>
    <mergeCell ref="F29:F30"/>
    <mergeCell ref="F37:F38"/>
    <mergeCell ref="F41:F42"/>
    <mergeCell ref="F45:F46"/>
    <mergeCell ref="E29:E30"/>
    <mergeCell ref="E45:E46"/>
    <mergeCell ref="E23:E24"/>
    <mergeCell ref="F23:F24"/>
    <mergeCell ref="E37:E38"/>
    <mergeCell ref="R32:R33"/>
    <mergeCell ref="E41:E42"/>
    <mergeCell ref="E26:E27"/>
    <mergeCell ref="F26:F27"/>
    <mergeCell ref="G45:G46"/>
    <mergeCell ref="G23:G24"/>
    <mergeCell ref="H23:H24"/>
    <mergeCell ref="G26:G27"/>
    <mergeCell ref="H26:H27"/>
    <mergeCell ref="G29:G30"/>
    <mergeCell ref="H29:H30"/>
    <mergeCell ref="G33:G34"/>
    <mergeCell ref="H33:H34"/>
    <mergeCell ref="A3:A17"/>
    <mergeCell ref="B29:B30"/>
    <mergeCell ref="C29:C30"/>
    <mergeCell ref="D29:D30"/>
    <mergeCell ref="A19:A20"/>
    <mergeCell ref="B23:B24"/>
    <mergeCell ref="C23:C24"/>
    <mergeCell ref="D23:D24"/>
    <mergeCell ref="B26:B27"/>
    <mergeCell ref="C26:C27"/>
    <mergeCell ref="D26:D27"/>
    <mergeCell ref="A22:A30"/>
    <mergeCell ref="B19:E19"/>
    <mergeCell ref="D45:D46"/>
    <mergeCell ref="D72:D73"/>
    <mergeCell ref="E72:E73"/>
    <mergeCell ref="F72:F73"/>
    <mergeCell ref="B49:B50"/>
    <mergeCell ref="C49:C50"/>
    <mergeCell ref="D49:D50"/>
    <mergeCell ref="E49:E50"/>
    <mergeCell ref="F49:F50"/>
    <mergeCell ref="U45:U48"/>
    <mergeCell ref="A93:E93"/>
    <mergeCell ref="A44:A47"/>
    <mergeCell ref="A75:A77"/>
    <mergeCell ref="A80:A85"/>
    <mergeCell ref="B84:B85"/>
    <mergeCell ref="C84:C85"/>
    <mergeCell ref="D84:D85"/>
    <mergeCell ref="E84:E85"/>
    <mergeCell ref="A87:E87"/>
    <mergeCell ref="E76:E77"/>
    <mergeCell ref="B81:B82"/>
    <mergeCell ref="C81:C82"/>
    <mergeCell ref="D81:D82"/>
    <mergeCell ref="E81:E82"/>
    <mergeCell ref="A65:A73"/>
    <mergeCell ref="C66:C67"/>
    <mergeCell ref="B72:B73"/>
    <mergeCell ref="C72:C73"/>
    <mergeCell ref="B76:B77"/>
    <mergeCell ref="C76:C77"/>
    <mergeCell ref="D76:D77"/>
    <mergeCell ref="F84:F85"/>
    <mergeCell ref="C45:C46"/>
    <mergeCell ref="I81:I82"/>
    <mergeCell ref="I84:I85"/>
    <mergeCell ref="I23:I24"/>
    <mergeCell ref="I26:I27"/>
    <mergeCell ref="I29:I30"/>
    <mergeCell ref="I33:I34"/>
    <mergeCell ref="I35:I36"/>
    <mergeCell ref="I37:I38"/>
    <mergeCell ref="I41:I42"/>
    <mergeCell ref="I45:I46"/>
    <mergeCell ref="I49:I50"/>
    <mergeCell ref="I56:I57"/>
    <mergeCell ref="I59:I60"/>
    <mergeCell ref="I62:I63"/>
    <mergeCell ref="I66:I67"/>
    <mergeCell ref="I69:I70"/>
    <mergeCell ref="I72:I73"/>
    <mergeCell ref="I76:I77"/>
  </mergeCells>
  <pageMargins left="0.7" right="0.7" top="0.75" bottom="0.75" header="0.3" footer="0.3"/>
  <pageSetup scale="75" fitToWidth="0" fitToHeight="0" orientation="landscape" r:id="rId1"/>
  <headerFooter>
    <oddFooter>&amp;RMay 1, 2019</oddFooter>
  </headerFooter>
  <colBreaks count="2" manualBreakCount="2">
    <brk id="9" max="1048575" man="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9">
    <tabColor rgb="FF92D050"/>
  </sheetPr>
  <dimension ref="A1:A3"/>
  <sheetViews>
    <sheetView zoomScaleNormal="100" workbookViewId="0">
      <selection activeCell="A2" sqref="A2"/>
    </sheetView>
  </sheetViews>
  <sheetFormatPr defaultColWidth="9.140625" defaultRowHeight="15"/>
  <cols>
    <col min="1" max="1" width="90.7109375" style="1" customWidth="1"/>
    <col min="2" max="16384" width="9.140625" style="1"/>
  </cols>
  <sheetData>
    <row r="1" spans="1:1" ht="26.25">
      <c r="A1" s="553" t="s">
        <v>1794</v>
      </c>
    </row>
    <row r="2" spans="1:1" ht="18.75">
      <c r="A2" s="8" t="s">
        <v>2231</v>
      </c>
    </row>
    <row r="3" spans="1:1" ht="18.75">
      <c r="A3" s="7"/>
    </row>
  </sheetData>
  <pageMargins left="0.7" right="0.7" top="0.75" bottom="0.75" header="0.3" footer="0.3"/>
  <pageSetup fitToHeight="0" orientation="portrait" r:id="rId1"/>
  <headerFooter>
    <oddFooter>&amp;RMay 1, 2019</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AD103"/>
  <sheetViews>
    <sheetView zoomScale="80" zoomScaleNormal="80" zoomScaleSheetLayoutView="90" workbookViewId="0">
      <pane ySplit="2" topLeftCell="A3" activePane="bottomLeft" state="frozen"/>
      <selection sqref="A1:A2"/>
      <selection pane="bottomLeft"/>
    </sheetView>
  </sheetViews>
  <sheetFormatPr defaultColWidth="9.140625" defaultRowHeight="15"/>
  <cols>
    <col min="1" max="1" width="14.7109375" style="94" customWidth="1"/>
    <col min="2" max="2" width="59.42578125" style="94" customWidth="1"/>
    <col min="3" max="3" width="9.85546875" style="94" customWidth="1"/>
    <col min="4" max="7" width="13.7109375" style="94" customWidth="1"/>
    <col min="8" max="8" width="16" style="94" customWidth="1"/>
    <col min="9" max="9" width="13.7109375" style="94" customWidth="1"/>
    <col min="10" max="10" width="6.85546875" style="94" customWidth="1"/>
    <col min="11" max="11" width="50.7109375" style="94" customWidth="1"/>
    <col min="12" max="17" width="13.7109375" style="94" customWidth="1"/>
    <col min="18" max="18" width="93.85546875" style="99" customWidth="1"/>
    <col min="19" max="16384" width="9.140625" style="94"/>
  </cols>
  <sheetData>
    <row r="1" spans="1:18" ht="21.95" customHeight="1">
      <c r="A1" s="256" t="s">
        <v>2234</v>
      </c>
    </row>
    <row r="2" spans="1:18" ht="21.95" customHeight="1">
      <c r="A2" s="220" t="s">
        <v>27</v>
      </c>
      <c r="B2" s="221" t="s">
        <v>1560</v>
      </c>
      <c r="C2" s="220" t="s">
        <v>1561</v>
      </c>
      <c r="D2" s="332">
        <v>2016</v>
      </c>
      <c r="E2" s="332">
        <v>2017</v>
      </c>
      <c r="F2" s="332">
        <v>2018</v>
      </c>
      <c r="G2" s="332">
        <v>2019</v>
      </c>
      <c r="H2" s="332">
        <v>2020</v>
      </c>
      <c r="I2" s="332">
        <v>2021</v>
      </c>
      <c r="J2" s="258" t="s">
        <v>1562</v>
      </c>
      <c r="K2" s="258"/>
      <c r="L2" s="259">
        <v>2016</v>
      </c>
      <c r="M2" s="259">
        <v>2017</v>
      </c>
      <c r="N2" s="259">
        <v>2018</v>
      </c>
      <c r="O2" s="259">
        <v>2019</v>
      </c>
      <c r="P2" s="259">
        <v>2020</v>
      </c>
      <c r="Q2" s="259">
        <v>2021</v>
      </c>
      <c r="R2" s="225" t="s">
        <v>1563</v>
      </c>
    </row>
    <row r="3" spans="1:18" s="77" customFormat="1" ht="30" customHeight="1">
      <c r="A3" s="569" t="s">
        <v>53</v>
      </c>
      <c r="B3" s="576" t="s">
        <v>1689</v>
      </c>
      <c r="C3" s="576"/>
      <c r="D3" s="576"/>
      <c r="E3" s="576"/>
      <c r="F3" s="576"/>
      <c r="G3" s="611"/>
      <c r="H3" s="611"/>
      <c r="I3" s="611"/>
      <c r="J3" s="109"/>
      <c r="K3" s="103"/>
      <c r="L3" s="103"/>
      <c r="M3" s="103"/>
      <c r="N3" s="103"/>
      <c r="O3" s="589"/>
      <c r="P3" s="589"/>
      <c r="Q3" s="589"/>
      <c r="R3" s="251"/>
    </row>
    <row r="4" spans="1:18" s="77" customFormat="1" ht="15.95" customHeight="1">
      <c r="A4" s="570"/>
      <c r="B4" s="58" t="s">
        <v>52</v>
      </c>
      <c r="C4" s="106">
        <v>223</v>
      </c>
      <c r="D4" s="165">
        <v>646.382896032644</v>
      </c>
      <c r="E4" s="165">
        <v>47.503317920000001</v>
      </c>
      <c r="F4" s="165">
        <v>302.2910458942402</v>
      </c>
      <c r="G4" s="165">
        <v>248.094280785423</v>
      </c>
      <c r="H4" s="165">
        <v>1372.1801163610985</v>
      </c>
      <c r="I4" s="165">
        <f>VLOOKUP(C4, '2021_Internal_ModelLink'!$A$3:$Z$1000, 14, 0)</f>
        <v>526.97448667001686</v>
      </c>
      <c r="J4" s="108"/>
      <c r="K4" s="400"/>
      <c r="L4" s="257"/>
      <c r="M4" s="257"/>
      <c r="N4" s="257"/>
      <c r="O4" s="257"/>
      <c r="P4" s="257"/>
      <c r="Q4" s="257"/>
      <c r="R4" s="288"/>
    </row>
    <row r="5" spans="1:18" s="77" customFormat="1" ht="15.95" customHeight="1">
      <c r="A5" s="570"/>
      <c r="B5" s="58" t="s">
        <v>55</v>
      </c>
      <c r="C5" s="106">
        <v>224</v>
      </c>
      <c r="D5" s="165">
        <v>420.14889831378099</v>
      </c>
      <c r="E5" s="165">
        <v>35.609316123607819</v>
      </c>
      <c r="F5" s="165">
        <v>212.64288722449444</v>
      </c>
      <c r="G5" s="165">
        <v>175.97140330581982</v>
      </c>
      <c r="H5" s="165">
        <v>987.68045846797577</v>
      </c>
      <c r="I5" s="165">
        <f>VLOOKUP(C5, '2021_Internal_ModelLink'!$A$3:$Z$1000, 14, 0)</f>
        <v>458.09941897824945</v>
      </c>
      <c r="J5" s="108"/>
      <c r="K5" s="400"/>
      <c r="L5" s="257"/>
      <c r="M5" s="257"/>
      <c r="N5" s="257"/>
      <c r="O5" s="257"/>
      <c r="P5" s="257"/>
      <c r="Q5" s="257"/>
      <c r="R5" s="288"/>
    </row>
    <row r="6" spans="1:18" s="77" customFormat="1" ht="15.95" customHeight="1">
      <c r="A6" s="570"/>
      <c r="B6" s="58" t="s">
        <v>56</v>
      </c>
      <c r="C6" s="106">
        <v>225</v>
      </c>
      <c r="D6" s="165">
        <v>3264127.5240094699</v>
      </c>
      <c r="E6" s="165">
        <v>291761.2069689713</v>
      </c>
      <c r="F6" s="165">
        <v>2474643.6614470836</v>
      </c>
      <c r="G6" s="165">
        <v>3813183.5491236742</v>
      </c>
      <c r="H6" s="165">
        <v>9817484.3249429446</v>
      </c>
      <c r="I6" s="165">
        <f>VLOOKUP(C6, '2021_Internal_ModelLink'!$A$3:$Z$1000, 14, 0)</f>
        <v>3936100.0098972721</v>
      </c>
      <c r="J6" s="108"/>
      <c r="K6" s="400"/>
      <c r="L6" s="257"/>
      <c r="M6" s="257"/>
      <c r="N6" s="257"/>
      <c r="O6" s="257"/>
      <c r="P6" s="257"/>
      <c r="Q6" s="257"/>
      <c r="R6" s="288"/>
    </row>
    <row r="7" spans="1:18" s="77" customFormat="1" ht="15.95" customHeight="1">
      <c r="A7" s="570"/>
      <c r="B7" s="58" t="s">
        <v>57</v>
      </c>
      <c r="C7" s="106">
        <v>226</v>
      </c>
      <c r="D7" s="165">
        <v>2121682.97086098</v>
      </c>
      <c r="E7" s="165">
        <v>209409.92369477506</v>
      </c>
      <c r="F7" s="165">
        <v>1679031.8749347455</v>
      </c>
      <c r="G7" s="165">
        <v>3619901.8057929631</v>
      </c>
      <c r="H7" s="165">
        <v>7125084.8235437535</v>
      </c>
      <c r="I7" s="165">
        <f>VLOOKUP(C7, '2021_Internal_ModelLink'!$A$3:$Z$1000, 14, 0)</f>
        <v>3456646.0931983329</v>
      </c>
      <c r="J7" s="108"/>
      <c r="K7" s="400"/>
      <c r="L7" s="257"/>
      <c r="M7" s="257"/>
      <c r="N7" s="257"/>
      <c r="O7" s="257"/>
      <c r="P7" s="257"/>
      <c r="Q7" s="257"/>
      <c r="R7" s="288"/>
    </row>
    <row r="8" spans="1:18" s="77" customFormat="1" ht="15.95" customHeight="1">
      <c r="A8" s="570"/>
      <c r="B8" s="58" t="s">
        <v>58</v>
      </c>
      <c r="C8" s="106">
        <v>227</v>
      </c>
      <c r="D8" s="165">
        <v>48436.624184992601</v>
      </c>
      <c r="E8" s="165">
        <v>-1941.6546065559999</v>
      </c>
      <c r="F8" s="165">
        <v>-4152.9136129688195</v>
      </c>
      <c r="G8" s="165">
        <v>20164.972400358296</v>
      </c>
      <c r="H8" s="165">
        <v>292276.78967055894</v>
      </c>
      <c r="I8" s="165">
        <f>VLOOKUP(C8, '2021_Internal_ModelLink'!$A$3:$Z$1000, 14, 0)</f>
        <v>115481.60817746399</v>
      </c>
      <c r="J8" s="108"/>
      <c r="K8" s="400"/>
      <c r="L8" s="257"/>
      <c r="M8" s="257"/>
      <c r="N8" s="257"/>
      <c r="O8" s="257"/>
      <c r="P8" s="257"/>
      <c r="Q8" s="257"/>
      <c r="R8" s="288"/>
    </row>
    <row r="9" spans="1:18" s="77" customFormat="1" ht="15.95" customHeight="1">
      <c r="A9" s="570"/>
      <c r="B9" s="58" t="s">
        <v>60</v>
      </c>
      <c r="C9" s="106">
        <v>228</v>
      </c>
      <c r="D9" s="165">
        <v>31483.806911152398</v>
      </c>
      <c r="E9" s="165">
        <v>-1456.1893425801695</v>
      </c>
      <c r="F9" s="165">
        <v>-3327.7555219824312</v>
      </c>
      <c r="G9" s="165">
        <v>24234.285731187785</v>
      </c>
      <c r="H9" s="165">
        <v>210107.61719250251</v>
      </c>
      <c r="I9" s="165">
        <f>VLOOKUP(C9, '2021_Internal_ModelLink'!$A$3:$Z$1000, 14, 0)</f>
        <v>87063.557028289157</v>
      </c>
      <c r="J9" s="108"/>
      <c r="K9" s="400"/>
      <c r="L9" s="257"/>
      <c r="M9" s="257"/>
      <c r="N9" s="257"/>
      <c r="O9" s="257"/>
      <c r="P9" s="257"/>
      <c r="Q9" s="257"/>
      <c r="R9" s="288"/>
    </row>
    <row r="10" spans="1:18" s="77" customFormat="1" ht="15.95" customHeight="1">
      <c r="A10" s="570"/>
      <c r="B10" s="58" t="s">
        <v>61</v>
      </c>
      <c r="C10" s="106">
        <v>229</v>
      </c>
      <c r="D10" s="165">
        <v>7727.1798534766604</v>
      </c>
      <c r="E10" s="165">
        <v>489.68608959999995</v>
      </c>
      <c r="F10" s="165">
        <v>1878.559677919385</v>
      </c>
      <c r="G10" s="165">
        <v>1677.5531917804171</v>
      </c>
      <c r="H10" s="165">
        <v>8754.3145610059328</v>
      </c>
      <c r="I10" s="165">
        <f>VLOOKUP(C10, '2021_Internal_ModelLink'!$A$3:$Z$1000, 14, 0)</f>
        <v>4795.1123763680444</v>
      </c>
      <c r="J10" s="108"/>
      <c r="K10" s="400"/>
      <c r="L10" s="257"/>
      <c r="M10" s="257"/>
      <c r="N10" s="257"/>
      <c r="O10" s="257"/>
      <c r="P10" s="257"/>
      <c r="Q10" s="257"/>
      <c r="R10" s="288"/>
    </row>
    <row r="11" spans="1:18" s="77" customFormat="1" ht="15.95" customHeight="1">
      <c r="A11" s="570"/>
      <c r="B11" s="58" t="s">
        <v>62</v>
      </c>
      <c r="C11" s="106">
        <v>230</v>
      </c>
      <c r="D11" s="165">
        <v>5022.6670947473503</v>
      </c>
      <c r="E11" s="165">
        <v>367.17370279982521</v>
      </c>
      <c r="F11" s="165">
        <v>1341.5709739246363</v>
      </c>
      <c r="G11" s="165">
        <v>1216.4466901061928</v>
      </c>
      <c r="H11" s="165">
        <v>5805.9411367620278</v>
      </c>
      <c r="I11" s="165">
        <f>VLOOKUP(C11, '2021_Internal_ModelLink'!$A$3:$Z$1000, 14, 0)</f>
        <v>3696.9631093570561</v>
      </c>
      <c r="J11" s="108"/>
      <c r="K11" s="400"/>
      <c r="L11" s="257"/>
      <c r="M11" s="257"/>
      <c r="N11" s="257"/>
      <c r="O11" s="257"/>
      <c r="P11" s="257"/>
      <c r="Q11" s="257"/>
      <c r="R11" s="288"/>
    </row>
    <row r="12" spans="1:18" s="77" customFormat="1" ht="15.95" customHeight="1">
      <c r="A12" s="570"/>
      <c r="B12" s="58" t="s">
        <v>63</v>
      </c>
      <c r="C12" s="106">
        <v>231</v>
      </c>
      <c r="D12" s="165">
        <v>39626177.006536797</v>
      </c>
      <c r="E12" s="165">
        <v>3179336.26369166</v>
      </c>
      <c r="F12" s="165">
        <v>19950472.589892048</v>
      </c>
      <c r="G12" s="165">
        <v>10966376.625013541</v>
      </c>
      <c r="H12" s="165">
        <v>65312681.870597742</v>
      </c>
      <c r="I12" s="165">
        <f>VLOOKUP(C12, '2021_Internal_ModelLink'!$A$3:$Z$1000, 14, 0)</f>
        <v>35235683.539573707</v>
      </c>
      <c r="J12" s="108"/>
      <c r="K12" s="400"/>
      <c r="L12" s="257"/>
      <c r="M12" s="257"/>
      <c r="N12" s="257"/>
      <c r="O12" s="257"/>
      <c r="P12" s="257"/>
      <c r="Q12" s="257"/>
      <c r="R12" s="288"/>
    </row>
    <row r="13" spans="1:18" s="77" customFormat="1" ht="15.95" customHeight="1">
      <c r="A13" s="570"/>
      <c r="B13" s="58" t="s">
        <v>64</v>
      </c>
      <c r="C13" s="106">
        <v>232</v>
      </c>
      <c r="D13" s="165">
        <v>25757016.028534401</v>
      </c>
      <c r="E13" s="165">
        <v>2271941.1560426923</v>
      </c>
      <c r="F13" s="165">
        <v>13511816.746513564</v>
      </c>
      <c r="G13" s="165">
        <v>8743089.0239656307</v>
      </c>
      <c r="H13" s="165">
        <v>43343327.729591675</v>
      </c>
      <c r="I13" s="165">
        <f>VLOOKUP(C13, '2021_Internal_ModelLink'!$A$3:$Z$1000, 14, 0)</f>
        <v>27414475.355412994</v>
      </c>
      <c r="J13" s="108"/>
      <c r="K13" s="400"/>
      <c r="L13" s="257"/>
      <c r="M13" s="257"/>
      <c r="N13" s="257"/>
      <c r="O13" s="257"/>
      <c r="P13" s="257"/>
      <c r="Q13" s="257"/>
      <c r="R13" s="288"/>
    </row>
    <row r="14" spans="1:18" s="77" customFormat="1" ht="15.95" customHeight="1">
      <c r="A14" s="570"/>
      <c r="B14" s="58" t="s">
        <v>65</v>
      </c>
      <c r="C14" s="106">
        <v>233</v>
      </c>
      <c r="D14" s="165">
        <v>479625.92932918598</v>
      </c>
      <c r="E14" s="165">
        <v>-20172.72153278</v>
      </c>
      <c r="F14" s="165">
        <v>-20162.196607501144</v>
      </c>
      <c r="G14" s="165">
        <v>-24820.18808390445</v>
      </c>
      <c r="H14" s="165">
        <v>1856513.035534106</v>
      </c>
      <c r="I14" s="165">
        <f>VLOOKUP(C14, '2021_Internal_ModelLink'!$A$3:$Z$1000, 14, 0)</f>
        <v>1418645.2185403905</v>
      </c>
      <c r="J14" s="108"/>
      <c r="K14" s="400"/>
      <c r="L14" s="257"/>
      <c r="M14" s="257"/>
      <c r="N14" s="257"/>
      <c r="O14" s="257"/>
      <c r="P14" s="257"/>
      <c r="Q14" s="257"/>
      <c r="R14" s="288"/>
    </row>
    <row r="15" spans="1:18" s="77" customFormat="1" ht="15.95" customHeight="1">
      <c r="A15" s="570"/>
      <c r="B15" s="58" t="s">
        <v>66</v>
      </c>
      <c r="C15" s="106">
        <v>234</v>
      </c>
      <c r="D15" s="165">
        <v>311756.86585649301</v>
      </c>
      <c r="E15" s="165">
        <v>-15129.282970951517</v>
      </c>
      <c r="F15" s="165">
        <v>-17678.491556422654</v>
      </c>
      <c r="G15" s="165">
        <v>-8735.7087914481344</v>
      </c>
      <c r="H15" s="165">
        <v>1225721.3908956638</v>
      </c>
      <c r="I15" s="165">
        <f>VLOOKUP(C15, '2021_Internal_ModelLink'!$A$3:$Z$1000, 14, 0)</f>
        <v>981539.22067260125</v>
      </c>
      <c r="J15" s="108"/>
      <c r="K15" s="108"/>
      <c r="L15" s="108"/>
      <c r="M15" s="108"/>
      <c r="N15" s="108"/>
      <c r="O15" s="108"/>
      <c r="P15" s="108"/>
      <c r="Q15" s="108"/>
      <c r="R15" s="247"/>
    </row>
    <row r="16" spans="1:18" s="77" customFormat="1" ht="15.95" customHeight="1">
      <c r="A16" s="570"/>
      <c r="B16" s="89"/>
      <c r="C16" s="106"/>
      <c r="D16" s="165"/>
      <c r="E16" s="165"/>
      <c r="F16" s="165"/>
      <c r="G16" s="165"/>
      <c r="H16" s="165"/>
      <c r="I16" s="165"/>
      <c r="J16" s="108"/>
      <c r="K16" s="89"/>
      <c r="L16" s="89"/>
      <c r="M16" s="89"/>
      <c r="N16" s="89"/>
      <c r="O16" s="89"/>
      <c r="P16" s="89"/>
      <c r="Q16" s="89"/>
      <c r="R16" s="247"/>
    </row>
    <row r="17" spans="1:18" s="77" customFormat="1" ht="15.95" customHeight="1">
      <c r="A17" s="994" t="s">
        <v>44</v>
      </c>
      <c r="B17" s="893" t="s">
        <v>1602</v>
      </c>
      <c r="C17" s="893"/>
      <c r="D17" s="893"/>
      <c r="E17" s="893"/>
      <c r="F17" s="562"/>
      <c r="G17" s="612"/>
      <c r="H17" s="612"/>
      <c r="I17" s="612"/>
      <c r="J17" s="109"/>
      <c r="K17" s="109"/>
      <c r="L17" s="109"/>
      <c r="M17" s="109"/>
      <c r="N17" s="109"/>
      <c r="O17" s="590"/>
      <c r="P17" s="590"/>
      <c r="Q17" s="590"/>
      <c r="R17" s="945"/>
    </row>
    <row r="18" spans="1:18" s="77" customFormat="1" ht="15.95" customHeight="1">
      <c r="A18" s="995"/>
      <c r="B18" s="86"/>
      <c r="C18" s="48">
        <v>235</v>
      </c>
      <c r="D18" s="90">
        <f>(D7*0.000707) + (D9*0.0053)</f>
        <v>1666.8940370278206</v>
      </c>
      <c r="E18" s="90">
        <f t="shared" ref="E18:H18" si="0">(E7*0.000707) + (E9*0.0053)</f>
        <v>140.33501253653108</v>
      </c>
      <c r="F18" s="90">
        <f t="shared" si="0"/>
        <v>1169.438431312358</v>
      </c>
      <c r="G18" s="90">
        <f t="shared" si="0"/>
        <v>2687.7122910709199</v>
      </c>
      <c r="H18" s="90">
        <f t="shared" si="0"/>
        <v>6151.0053413656969</v>
      </c>
      <c r="I18" s="90">
        <f>VLOOKUP(C18, '2021_Internal_ModelLink'!$A$3:$Z$1000, 14, 0)</f>
        <v>698.3958442475863</v>
      </c>
      <c r="J18" s="730"/>
      <c r="K18" s="86"/>
      <c r="L18" s="90"/>
      <c r="M18" s="90"/>
      <c r="N18" s="90"/>
      <c r="O18" s="90"/>
      <c r="P18" s="90"/>
      <c r="Q18" s="90"/>
      <c r="R18" s="919"/>
    </row>
    <row r="19" spans="1:18" s="77" customFormat="1" ht="15.95" customHeight="1">
      <c r="A19" s="467"/>
      <c r="B19" s="89"/>
      <c r="C19" s="106"/>
      <c r="D19" s="165"/>
      <c r="E19" s="165"/>
      <c r="F19" s="165"/>
      <c r="G19" s="165"/>
      <c r="H19" s="165"/>
      <c r="I19" s="165"/>
      <c r="J19" s="108"/>
      <c r="K19" s="89"/>
      <c r="L19" s="165"/>
      <c r="M19" s="165"/>
      <c r="N19" s="165"/>
      <c r="O19" s="165"/>
      <c r="P19" s="165"/>
      <c r="Q19" s="165"/>
      <c r="R19" s="178"/>
    </row>
    <row r="20" spans="1:18" s="77" customFormat="1" ht="15.95" customHeight="1">
      <c r="A20" s="93"/>
      <c r="D20" s="102"/>
      <c r="E20" s="102"/>
      <c r="F20" s="102"/>
      <c r="G20" s="102"/>
      <c r="H20" s="102"/>
      <c r="I20" s="102"/>
      <c r="R20" s="203"/>
    </row>
    <row r="21" spans="1:18" s="77" customFormat="1" ht="52.5" customHeight="1">
      <c r="A21" s="940" t="s">
        <v>1795</v>
      </c>
      <c r="B21" s="204" t="s">
        <v>1796</v>
      </c>
      <c r="C21" s="204"/>
      <c r="D21" s="204"/>
      <c r="E21" s="204"/>
      <c r="F21" s="204"/>
      <c r="G21" s="613"/>
      <c r="H21" s="613"/>
      <c r="I21" s="613"/>
      <c r="J21" s="109"/>
      <c r="K21" s="103"/>
      <c r="L21" s="105"/>
      <c r="M21" s="105"/>
      <c r="N21" s="105"/>
      <c r="O21" s="591"/>
      <c r="P21" s="591"/>
      <c r="Q21" s="591"/>
      <c r="R21" s="251"/>
    </row>
    <row r="22" spans="1:18" s="77" customFormat="1" ht="15.95" customHeight="1">
      <c r="A22" s="941"/>
      <c r="B22" s="993" t="s">
        <v>1797</v>
      </c>
      <c r="C22" s="991">
        <v>236</v>
      </c>
      <c r="D22" s="986">
        <f t="shared" ref="D22:I22" si="1">L22/L23</f>
        <v>7.1428571428571425E-2</v>
      </c>
      <c r="E22" s="986">
        <f t="shared" si="1"/>
        <v>1.8761726078799251E-2</v>
      </c>
      <c r="F22" s="986">
        <f t="shared" si="1"/>
        <v>3.2015065913370999E-2</v>
      </c>
      <c r="G22" s="986">
        <f t="shared" si="1"/>
        <v>0.06</v>
      </c>
      <c r="H22" s="986">
        <f t="shared" si="1"/>
        <v>8.1081081081081086E-2</v>
      </c>
      <c r="I22" s="986">
        <f t="shared" si="1"/>
        <v>1.5438054805094559E-3</v>
      </c>
      <c r="J22" s="242" t="s">
        <v>1289</v>
      </c>
      <c r="K22" s="480" t="s">
        <v>1798</v>
      </c>
      <c r="L22" s="540">
        <v>39</v>
      </c>
      <c r="M22" s="374">
        <v>10</v>
      </c>
      <c r="N22" s="374">
        <v>17</v>
      </c>
      <c r="O22" s="374">
        <v>39</v>
      </c>
      <c r="P22" s="374">
        <v>51</v>
      </c>
      <c r="Q22" s="374">
        <f>VLOOKUP(C22, '2021_Internal_ModelLink'!$A$3:$Z$1000, 15, 0)</f>
        <v>16</v>
      </c>
      <c r="R22" s="290"/>
    </row>
    <row r="23" spans="1:18" s="77" customFormat="1" ht="15.95" customHeight="1">
      <c r="A23" s="941"/>
      <c r="B23" s="993"/>
      <c r="C23" s="991"/>
      <c r="D23" s="986"/>
      <c r="E23" s="986"/>
      <c r="F23" s="986"/>
      <c r="G23" s="986"/>
      <c r="H23" s="986"/>
      <c r="I23" s="986"/>
      <c r="J23" s="242" t="s">
        <v>1290</v>
      </c>
      <c r="K23" s="291" t="s">
        <v>1799</v>
      </c>
      <c r="L23" s="181">
        <v>546</v>
      </c>
      <c r="M23" s="181">
        <v>533</v>
      </c>
      <c r="N23" s="181">
        <v>531</v>
      </c>
      <c r="O23" s="181">
        <v>650</v>
      </c>
      <c r="P23" s="181">
        <v>629</v>
      </c>
      <c r="Q23" s="181">
        <f>VLOOKUP(C22, '2021_Internal_ModelLink'!$A$3:$Z$1000, 16, 0)</f>
        <v>10364</v>
      </c>
      <c r="R23" s="290"/>
    </row>
    <row r="24" spans="1:18" s="77" customFormat="1" ht="15.95" customHeight="1">
      <c r="A24" s="941"/>
      <c r="B24" s="574"/>
      <c r="C24" s="106"/>
      <c r="D24" s="166"/>
      <c r="E24" s="166"/>
      <c r="F24" s="166"/>
      <c r="G24" s="166"/>
      <c r="H24" s="166"/>
      <c r="I24" s="166"/>
      <c r="J24" s="89"/>
      <c r="K24" s="108"/>
      <c r="L24" s="168"/>
      <c r="M24" s="168"/>
      <c r="N24" s="168"/>
      <c r="O24" s="168"/>
      <c r="P24" s="168"/>
      <c r="Q24" s="168"/>
      <c r="R24" s="288"/>
    </row>
    <row r="25" spans="1:18" s="77" customFormat="1" ht="15.95" customHeight="1">
      <c r="A25" s="941"/>
      <c r="B25" s="993" t="s">
        <v>1800</v>
      </c>
      <c r="C25" s="991">
        <v>237</v>
      </c>
      <c r="D25" s="986" t="s">
        <v>59</v>
      </c>
      <c r="E25" s="986" t="s">
        <v>59</v>
      </c>
      <c r="F25" s="986" t="s">
        <v>59</v>
      </c>
      <c r="G25" s="986" t="s">
        <v>59</v>
      </c>
      <c r="H25" s="986" t="s">
        <v>59</v>
      </c>
      <c r="I25" s="986" t="s">
        <v>59</v>
      </c>
      <c r="J25" s="242" t="s">
        <v>1291</v>
      </c>
      <c r="K25" s="375" t="s">
        <v>1801</v>
      </c>
      <c r="L25" s="374" t="s">
        <v>59</v>
      </c>
      <c r="M25" s="374" t="s">
        <v>59</v>
      </c>
      <c r="N25" s="374" t="s">
        <v>59</v>
      </c>
      <c r="O25" s="374" t="s">
        <v>59</v>
      </c>
      <c r="P25" s="374" t="s">
        <v>59</v>
      </c>
      <c r="Q25" s="374" t="s">
        <v>59</v>
      </c>
      <c r="R25" s="288"/>
    </row>
    <row r="26" spans="1:18" s="77" customFormat="1" ht="15.95" customHeight="1">
      <c r="A26" s="941"/>
      <c r="B26" s="993"/>
      <c r="C26" s="991"/>
      <c r="D26" s="986"/>
      <c r="E26" s="986"/>
      <c r="F26" s="986"/>
      <c r="G26" s="986"/>
      <c r="H26" s="986"/>
      <c r="I26" s="986"/>
      <c r="J26" s="242" t="s">
        <v>1292</v>
      </c>
      <c r="K26" s="277" t="s">
        <v>1802</v>
      </c>
      <c r="L26" s="181" t="s">
        <v>59</v>
      </c>
      <c r="M26" s="181" t="s">
        <v>59</v>
      </c>
      <c r="N26" s="181" t="s">
        <v>59</v>
      </c>
      <c r="O26" s="181" t="s">
        <v>59</v>
      </c>
      <c r="P26" s="181" t="s">
        <v>59</v>
      </c>
      <c r="Q26" s="181" t="s">
        <v>59</v>
      </c>
      <c r="R26" s="288"/>
    </row>
    <row r="27" spans="1:18" s="77" customFormat="1" ht="15.95" customHeight="1">
      <c r="A27" s="941"/>
      <c r="B27" s="574"/>
      <c r="C27" s="574"/>
      <c r="D27" s="166"/>
      <c r="E27" s="166"/>
      <c r="F27" s="167"/>
      <c r="G27" s="167"/>
      <c r="H27" s="167"/>
      <c r="I27" s="167"/>
      <c r="J27" s="89"/>
      <c r="K27" s="108"/>
      <c r="L27" s="190"/>
      <c r="M27" s="190"/>
      <c r="N27" s="190"/>
      <c r="O27" s="190"/>
      <c r="P27" s="190"/>
      <c r="Q27" s="190"/>
      <c r="R27" s="288"/>
    </row>
    <row r="28" spans="1:18" s="77" customFormat="1" ht="15.95" customHeight="1">
      <c r="A28" s="941"/>
      <c r="B28" s="989" t="s">
        <v>1803</v>
      </c>
      <c r="C28" s="991">
        <v>238</v>
      </c>
      <c r="D28" s="986" t="s">
        <v>59</v>
      </c>
      <c r="E28" s="986" t="s">
        <v>59</v>
      </c>
      <c r="F28" s="986" t="s">
        <v>59</v>
      </c>
      <c r="G28" s="986" t="s">
        <v>59</v>
      </c>
      <c r="H28" s="986" t="s">
        <v>59</v>
      </c>
      <c r="I28" s="986" t="s">
        <v>59</v>
      </c>
      <c r="J28" s="242" t="s">
        <v>1293</v>
      </c>
      <c r="K28" s="480" t="s">
        <v>1804</v>
      </c>
      <c r="L28" s="374" t="s">
        <v>59</v>
      </c>
      <c r="M28" s="374" t="s">
        <v>59</v>
      </c>
      <c r="N28" s="374" t="s">
        <v>59</v>
      </c>
      <c r="O28" s="374" t="s">
        <v>59</v>
      </c>
      <c r="P28" s="374" t="s">
        <v>59</v>
      </c>
      <c r="Q28" s="374" t="s">
        <v>59</v>
      </c>
      <c r="R28" s="288"/>
    </row>
    <row r="29" spans="1:18" s="77" customFormat="1" ht="15.95" customHeight="1">
      <c r="A29" s="942"/>
      <c r="B29" s="990"/>
      <c r="C29" s="992"/>
      <c r="D29" s="987"/>
      <c r="E29" s="987"/>
      <c r="F29" s="987"/>
      <c r="G29" s="987"/>
      <c r="H29" s="987"/>
      <c r="I29" s="987"/>
      <c r="J29" s="250" t="s">
        <v>1294</v>
      </c>
      <c r="K29" s="292" t="s">
        <v>1805</v>
      </c>
      <c r="L29" s="376" t="s">
        <v>59</v>
      </c>
      <c r="M29" s="376" t="s">
        <v>59</v>
      </c>
      <c r="N29" s="376" t="s">
        <v>59</v>
      </c>
      <c r="O29" s="376" t="s">
        <v>59</v>
      </c>
      <c r="P29" s="376" t="s">
        <v>59</v>
      </c>
      <c r="Q29" s="376" t="s">
        <v>59</v>
      </c>
      <c r="R29" s="406"/>
    </row>
    <row r="30" spans="1:18" s="77" customFormat="1" ht="15.95" customHeight="1">
      <c r="A30" s="87"/>
      <c r="D30" s="102"/>
      <c r="E30" s="102"/>
      <c r="F30" s="102"/>
      <c r="G30" s="102"/>
      <c r="H30" s="102"/>
      <c r="I30" s="102"/>
      <c r="K30" s="89"/>
      <c r="L30" s="107"/>
      <c r="M30" s="107"/>
      <c r="N30" s="107"/>
      <c r="O30" s="107"/>
      <c r="P30" s="107"/>
      <c r="Q30" s="107"/>
      <c r="R30" s="130"/>
    </row>
    <row r="31" spans="1:18" s="77" customFormat="1" ht="30" customHeight="1">
      <c r="A31" s="996" t="s">
        <v>1806</v>
      </c>
      <c r="B31" s="111" t="s">
        <v>1807</v>
      </c>
      <c r="C31" s="111"/>
      <c r="D31" s="111"/>
      <c r="E31" s="111"/>
      <c r="F31" s="111"/>
      <c r="G31" s="614"/>
      <c r="H31" s="614"/>
      <c r="I31" s="614"/>
      <c r="J31" s="109"/>
      <c r="K31" s="103"/>
      <c r="L31" s="260"/>
      <c r="M31" s="260"/>
      <c r="N31" s="260"/>
      <c r="O31" s="615"/>
      <c r="P31" s="615"/>
      <c r="Q31" s="615"/>
      <c r="R31" s="279"/>
    </row>
    <row r="32" spans="1:18" s="77" customFormat="1" ht="15.95" customHeight="1">
      <c r="A32" s="997"/>
      <c r="B32" s="989" t="s">
        <v>1808</v>
      </c>
      <c r="C32" s="991">
        <v>239</v>
      </c>
      <c r="D32" s="986" t="s">
        <v>1809</v>
      </c>
      <c r="E32" s="986" t="s">
        <v>1809</v>
      </c>
      <c r="F32" s="986" t="s">
        <v>1809</v>
      </c>
      <c r="G32" s="986" t="s">
        <v>1809</v>
      </c>
      <c r="H32" s="986" t="s">
        <v>1809</v>
      </c>
      <c r="I32" s="986" t="s">
        <v>1809</v>
      </c>
      <c r="J32" s="242" t="s">
        <v>1296</v>
      </c>
      <c r="K32" s="293" t="s">
        <v>1810</v>
      </c>
      <c r="L32" s="374" t="s">
        <v>59</v>
      </c>
      <c r="M32" s="374" t="s">
        <v>59</v>
      </c>
      <c r="N32" s="374" t="s">
        <v>59</v>
      </c>
      <c r="O32" s="374" t="s">
        <v>59</v>
      </c>
      <c r="P32" s="374" t="s">
        <v>59</v>
      </c>
      <c r="Q32" s="374" t="s">
        <v>59</v>
      </c>
      <c r="R32" s="910"/>
    </row>
    <row r="33" spans="1:30" s="77" customFormat="1" ht="15.95" customHeight="1">
      <c r="A33" s="997"/>
      <c r="B33" s="993"/>
      <c r="C33" s="991"/>
      <c r="D33" s="986"/>
      <c r="E33" s="986"/>
      <c r="F33" s="986"/>
      <c r="G33" s="986"/>
      <c r="H33" s="986"/>
      <c r="I33" s="986"/>
      <c r="J33" s="242" t="s">
        <v>1297</v>
      </c>
      <c r="K33" s="194" t="s">
        <v>1811</v>
      </c>
      <c r="L33" s="374" t="s">
        <v>59</v>
      </c>
      <c r="M33" s="374" t="s">
        <v>59</v>
      </c>
      <c r="N33" s="374" t="s">
        <v>59</v>
      </c>
      <c r="O33" s="374" t="s">
        <v>59</v>
      </c>
      <c r="P33" s="374" t="s">
        <v>59</v>
      </c>
      <c r="Q33" s="374" t="s">
        <v>59</v>
      </c>
      <c r="R33" s="910"/>
    </row>
    <row r="34" spans="1:30" s="77" customFormat="1" ht="15.95" customHeight="1">
      <c r="A34" s="997"/>
      <c r="B34" s="574"/>
      <c r="C34" s="106"/>
      <c r="D34" s="167"/>
      <c r="E34" s="167"/>
      <c r="F34" s="167"/>
      <c r="G34" s="167"/>
      <c r="H34" s="167"/>
      <c r="I34" s="167"/>
      <c r="J34" s="89"/>
      <c r="K34" s="108"/>
      <c r="L34" s="190"/>
      <c r="M34" s="190"/>
      <c r="N34" s="190"/>
      <c r="O34" s="190"/>
      <c r="P34" s="190"/>
      <c r="Q34" s="190"/>
      <c r="R34" s="910"/>
    </row>
    <row r="35" spans="1:30" s="77" customFormat="1" ht="15.95" customHeight="1">
      <c r="A35" s="997"/>
      <c r="B35" s="993" t="s">
        <v>1812</v>
      </c>
      <c r="C35" s="991">
        <v>240</v>
      </c>
      <c r="D35" s="986" t="s">
        <v>1809</v>
      </c>
      <c r="E35" s="986" t="s">
        <v>1809</v>
      </c>
      <c r="F35" s="986" t="s">
        <v>1809</v>
      </c>
      <c r="G35" s="986" t="s">
        <v>1809</v>
      </c>
      <c r="H35" s="986" t="s">
        <v>1809</v>
      </c>
      <c r="I35" s="986" t="s">
        <v>1809</v>
      </c>
      <c r="J35" s="242" t="s">
        <v>1299</v>
      </c>
      <c r="K35" s="274" t="s">
        <v>1813</v>
      </c>
      <c r="L35" s="374" t="s">
        <v>59</v>
      </c>
      <c r="M35" s="374" t="s">
        <v>59</v>
      </c>
      <c r="N35" s="374" t="s">
        <v>59</v>
      </c>
      <c r="O35" s="374" t="s">
        <v>59</v>
      </c>
      <c r="P35" s="374" t="s">
        <v>59</v>
      </c>
      <c r="Q35" s="374" t="s">
        <v>59</v>
      </c>
      <c r="R35" s="910"/>
    </row>
    <row r="36" spans="1:30" s="77" customFormat="1" ht="15.95" customHeight="1">
      <c r="A36" s="997"/>
      <c r="B36" s="993"/>
      <c r="C36" s="991"/>
      <c r="D36" s="986"/>
      <c r="E36" s="986"/>
      <c r="F36" s="986"/>
      <c r="G36" s="986"/>
      <c r="H36" s="986"/>
      <c r="I36" s="986"/>
      <c r="J36" s="242" t="s">
        <v>1300</v>
      </c>
      <c r="K36" s="330" t="s">
        <v>1802</v>
      </c>
      <c r="L36" s="181" t="s">
        <v>59</v>
      </c>
      <c r="M36" s="181" t="s">
        <v>59</v>
      </c>
      <c r="N36" s="181" t="s">
        <v>59</v>
      </c>
      <c r="O36" s="181" t="s">
        <v>59</v>
      </c>
      <c r="P36" s="181" t="s">
        <v>59</v>
      </c>
      <c r="Q36" s="181" t="s">
        <v>59</v>
      </c>
      <c r="R36" s="910"/>
    </row>
    <row r="37" spans="1:30" s="77" customFormat="1" ht="15.95" customHeight="1">
      <c r="A37" s="997"/>
      <c r="B37" s="574"/>
      <c r="C37" s="574"/>
      <c r="D37" s="167"/>
      <c r="E37" s="167"/>
      <c r="F37" s="167"/>
      <c r="G37" s="167"/>
      <c r="H37" s="167"/>
      <c r="I37" s="167"/>
      <c r="J37" s="89"/>
      <c r="K37" s="108"/>
      <c r="L37" s="190"/>
      <c r="M37" s="190"/>
      <c r="N37" s="190"/>
      <c r="O37" s="190"/>
      <c r="P37" s="190"/>
      <c r="Q37" s="190"/>
      <c r="R37" s="290"/>
    </row>
    <row r="38" spans="1:30" s="77" customFormat="1" ht="15.95" customHeight="1">
      <c r="A38" s="997"/>
      <c r="B38" s="989" t="s">
        <v>1814</v>
      </c>
      <c r="C38" s="991">
        <v>241</v>
      </c>
      <c r="D38" s="986" t="s">
        <v>1809</v>
      </c>
      <c r="E38" s="986" t="s">
        <v>1809</v>
      </c>
      <c r="F38" s="986" t="s">
        <v>1809</v>
      </c>
      <c r="G38" s="986" t="s">
        <v>1809</v>
      </c>
      <c r="H38" s="986" t="s">
        <v>1809</v>
      </c>
      <c r="I38" s="986" t="s">
        <v>1809</v>
      </c>
      <c r="J38" s="242" t="s">
        <v>1302</v>
      </c>
      <c r="K38" s="274" t="s">
        <v>1815</v>
      </c>
      <c r="L38" s="374" t="s">
        <v>59</v>
      </c>
      <c r="M38" s="374" t="s">
        <v>59</v>
      </c>
      <c r="N38" s="374" t="s">
        <v>59</v>
      </c>
      <c r="O38" s="374" t="s">
        <v>59</v>
      </c>
      <c r="P38" s="374" t="s">
        <v>59</v>
      </c>
      <c r="Q38" s="374" t="s">
        <v>59</v>
      </c>
      <c r="R38" s="288"/>
    </row>
    <row r="39" spans="1:30" s="77" customFormat="1" ht="15.95" customHeight="1">
      <c r="A39" s="998"/>
      <c r="B39" s="990"/>
      <c r="C39" s="992"/>
      <c r="D39" s="987"/>
      <c r="E39" s="987"/>
      <c r="F39" s="987"/>
      <c r="G39" s="987"/>
      <c r="H39" s="987"/>
      <c r="I39" s="987"/>
      <c r="J39" s="250" t="s">
        <v>1303</v>
      </c>
      <c r="K39" s="292" t="s">
        <v>1799</v>
      </c>
      <c r="L39" s="376" t="s">
        <v>59</v>
      </c>
      <c r="M39" s="376" t="s">
        <v>59</v>
      </c>
      <c r="N39" s="376" t="s">
        <v>59</v>
      </c>
      <c r="O39" s="376" t="s">
        <v>59</v>
      </c>
      <c r="P39" s="376" t="s">
        <v>59</v>
      </c>
      <c r="Q39" s="376" t="s">
        <v>59</v>
      </c>
      <c r="R39" s="280"/>
    </row>
    <row r="40" spans="1:30" s="77" customFormat="1" ht="15.95" customHeight="1">
      <c r="A40" s="87"/>
      <c r="D40" s="102"/>
      <c r="E40" s="102"/>
      <c r="F40" s="102"/>
      <c r="G40" s="102"/>
      <c r="H40" s="102"/>
      <c r="I40" s="102"/>
      <c r="R40" s="130"/>
    </row>
    <row r="41" spans="1:30" s="405" customFormat="1" ht="30" customHeight="1">
      <c r="A41" s="856" t="s">
        <v>1748</v>
      </c>
      <c r="B41" s="170" t="s">
        <v>1569</v>
      </c>
      <c r="C41" s="170"/>
      <c r="D41" s="170"/>
      <c r="E41" s="170"/>
      <c r="F41" s="381"/>
      <c r="G41" s="594"/>
      <c r="H41" s="594"/>
      <c r="I41" s="594"/>
      <c r="J41" s="114"/>
      <c r="K41" s="114"/>
      <c r="L41" s="122"/>
      <c r="M41" s="378" t="s">
        <v>1570</v>
      </c>
      <c r="N41" s="378"/>
      <c r="O41" s="596"/>
      <c r="P41" s="596"/>
      <c r="Q41" s="596"/>
      <c r="R41" s="229"/>
      <c r="S41" s="43"/>
      <c r="T41" s="453"/>
      <c r="U41" s="44"/>
      <c r="V41" s="44"/>
      <c r="W41" s="44"/>
      <c r="X41" s="44"/>
      <c r="Y41" s="44"/>
      <c r="Z41" s="44"/>
      <c r="AA41" s="44"/>
      <c r="AB41" s="44"/>
      <c r="AC41" s="44"/>
      <c r="AD41" s="44"/>
    </row>
    <row r="42" spans="1:30" s="405" customFormat="1" ht="18.75" customHeight="1">
      <c r="A42" s="857"/>
      <c r="B42" s="850" t="s">
        <v>1571</v>
      </c>
      <c r="C42" s="852">
        <v>242</v>
      </c>
      <c r="D42" s="849">
        <f t="shared" ref="D42:I42" si="2">L42/L43</f>
        <v>642.94933091567736</v>
      </c>
      <c r="E42" s="849">
        <f t="shared" si="2"/>
        <v>2279.073617715474</v>
      </c>
      <c r="F42" s="849">
        <f t="shared" si="2"/>
        <v>219.63457345377984</v>
      </c>
      <c r="G42" s="849">
        <f t="shared" si="2"/>
        <v>1087.7047566259882</v>
      </c>
      <c r="H42" s="849">
        <f t="shared" si="2"/>
        <v>384.1424812936512</v>
      </c>
      <c r="I42" s="849">
        <f t="shared" si="2"/>
        <v>237.86750549205007</v>
      </c>
      <c r="J42" s="242" t="s">
        <v>1304</v>
      </c>
      <c r="K42" s="235" t="s">
        <v>1572</v>
      </c>
      <c r="L42" s="634">
        <v>3229320.4479800011</v>
      </c>
      <c r="M42" s="634">
        <v>836815.89916998346</v>
      </c>
      <c r="N42" s="634">
        <v>7514137.2012361949</v>
      </c>
      <c r="O42" s="634">
        <v>1323134.8510104455</v>
      </c>
      <c r="P42" s="634">
        <v>2230308.6345206471</v>
      </c>
      <c r="Q42" s="634">
        <f>VLOOKUP(C42, '2021_Internal_ModelLink'!$A$3:$Z$1000, 15, 0)</f>
        <v>879387.39271889604</v>
      </c>
      <c r="R42" s="853"/>
      <c r="S42" s="424"/>
      <c r="T42" s="453"/>
      <c r="U42" s="44"/>
      <c r="V42" s="44"/>
      <c r="W42" s="44"/>
      <c r="X42" s="44"/>
      <c r="Y42" s="44"/>
      <c r="Z42" s="44"/>
      <c r="AA42" s="44"/>
      <c r="AB42" s="44"/>
      <c r="AC42" s="44"/>
      <c r="AD42" s="44"/>
    </row>
    <row r="43" spans="1:30" s="405" customFormat="1" ht="18.75" customHeight="1">
      <c r="A43" s="857"/>
      <c r="B43" s="851"/>
      <c r="C43" s="852"/>
      <c r="D43" s="849"/>
      <c r="E43" s="849"/>
      <c r="F43" s="849"/>
      <c r="G43" s="849"/>
      <c r="H43" s="849"/>
      <c r="I43" s="849"/>
      <c r="J43" s="242" t="s">
        <v>1305</v>
      </c>
      <c r="K43" s="295" t="s">
        <v>1573</v>
      </c>
      <c r="L43" s="635">
        <v>5022.6670947473549</v>
      </c>
      <c r="M43" s="635">
        <v>367.17370279982498</v>
      </c>
      <c r="N43" s="635">
        <v>34211.996240279899</v>
      </c>
      <c r="O43" s="635">
        <v>1216.4466901061928</v>
      </c>
      <c r="P43" s="635">
        <v>5805.9411367620278</v>
      </c>
      <c r="Q43" s="635">
        <f>VLOOKUP(C42, '2021_Internal_ModelLink'!$A$3:$Z$1000, 16, 0)</f>
        <v>3696.9631093570561</v>
      </c>
      <c r="R43" s="853"/>
      <c r="S43" s="424"/>
      <c r="T43" s="453"/>
      <c r="U43" s="44"/>
      <c r="V43" s="44"/>
      <c r="W43" s="44"/>
      <c r="X43" s="44"/>
      <c r="Y43" s="44"/>
      <c r="Z43" s="44"/>
      <c r="AA43" s="44"/>
      <c r="AB43" s="44"/>
      <c r="AC43" s="44"/>
      <c r="AD43" s="44"/>
    </row>
    <row r="44" spans="1:30" s="405" customFormat="1" ht="18.75" customHeight="1">
      <c r="A44" s="857"/>
      <c r="B44" s="58"/>
      <c r="C44" s="573"/>
      <c r="D44" s="207"/>
      <c r="E44" s="207"/>
      <c r="F44" s="380"/>
      <c r="G44" s="380"/>
      <c r="H44" s="380"/>
      <c r="I44" s="380"/>
      <c r="J44" s="263"/>
      <c r="K44" s="58"/>
      <c r="L44" s="632"/>
      <c r="M44" s="632"/>
      <c r="N44" s="459"/>
      <c r="O44" s="459"/>
      <c r="P44" s="459"/>
      <c r="Q44" s="459"/>
      <c r="R44" s="568"/>
      <c r="S44" s="424"/>
      <c r="T44" s="453"/>
      <c r="U44" s="44"/>
      <c r="V44" s="44"/>
      <c r="W44" s="44"/>
      <c r="X44" s="44"/>
      <c r="Y44" s="44"/>
      <c r="Z44" s="44"/>
      <c r="AA44" s="44"/>
      <c r="AB44" s="44"/>
      <c r="AC44" s="44"/>
      <c r="AD44" s="44"/>
    </row>
    <row r="45" spans="1:30" s="405" customFormat="1" ht="18.75" customHeight="1">
      <c r="A45" s="857"/>
      <c r="B45" s="850" t="s">
        <v>1574</v>
      </c>
      <c r="C45" s="852">
        <v>243</v>
      </c>
      <c r="D45" s="849">
        <f t="shared" ref="D45:I45" si="3">L45/L46</f>
        <v>0.12537634190243419</v>
      </c>
      <c r="E45" s="849">
        <f t="shared" si="3"/>
        <v>0.36832639654609944</v>
      </c>
      <c r="F45" s="849">
        <f t="shared" si="3"/>
        <v>3.6981760817995001E-2</v>
      </c>
      <c r="G45" s="849">
        <f t="shared" si="3"/>
        <v>0.15133493978885609</v>
      </c>
      <c r="H45" s="849">
        <f t="shared" si="3"/>
        <v>5.145679280638054E-2</v>
      </c>
      <c r="I45" s="849">
        <f t="shared" si="3"/>
        <v>3.2077483932052009E-2</v>
      </c>
      <c r="J45" s="242" t="s">
        <v>1306</v>
      </c>
      <c r="K45" s="235" t="s">
        <v>1572</v>
      </c>
      <c r="L45" s="634">
        <v>3229320.4479800011</v>
      </c>
      <c r="M45" s="634">
        <v>836815.89916998346</v>
      </c>
      <c r="N45" s="634">
        <f>N42</f>
        <v>7514137.2012361949</v>
      </c>
      <c r="O45" s="634">
        <v>1323134.8510104455</v>
      </c>
      <c r="P45" s="634">
        <v>2230308.6345206471</v>
      </c>
      <c r="Q45" s="634">
        <f>VLOOKUP(C45, '2021_Internal_ModelLink'!$A$3:$Z$1000, 15, 0)</f>
        <v>879387.39271889604</v>
      </c>
      <c r="R45" s="853"/>
      <c r="S45" s="424"/>
      <c r="T45" s="453"/>
      <c r="U45" s="44"/>
      <c r="V45" s="44"/>
      <c r="W45" s="44"/>
      <c r="X45" s="44"/>
      <c r="Y45" s="44"/>
      <c r="Z45" s="44"/>
      <c r="AA45" s="44"/>
      <c r="AB45" s="44"/>
      <c r="AC45" s="44"/>
      <c r="AD45" s="44"/>
    </row>
    <row r="46" spans="1:30" s="405" customFormat="1" ht="15" customHeight="1">
      <c r="A46" s="857"/>
      <c r="B46" s="851"/>
      <c r="C46" s="852"/>
      <c r="D46" s="849"/>
      <c r="E46" s="849"/>
      <c r="F46" s="849"/>
      <c r="G46" s="849"/>
      <c r="H46" s="849"/>
      <c r="I46" s="849"/>
      <c r="J46" s="242" t="s">
        <v>1307</v>
      </c>
      <c r="K46" s="295" t="s">
        <v>1575</v>
      </c>
      <c r="L46" s="635">
        <v>25757016.02853436</v>
      </c>
      <c r="M46" s="635">
        <v>2271941.1560426899</v>
      </c>
      <c r="N46" s="635">
        <v>203184949.41917101</v>
      </c>
      <c r="O46" s="635">
        <v>8743089.0239656195</v>
      </c>
      <c r="P46" s="635">
        <v>43343327.729591675</v>
      </c>
      <c r="Q46" s="635">
        <f>VLOOKUP(C45, '2021_Internal_ModelLink'!$A$3:$Z$1000, 16, 0)</f>
        <v>27414475.355412994</v>
      </c>
      <c r="R46" s="853"/>
      <c r="S46" s="424"/>
      <c r="T46" s="453"/>
      <c r="U46" s="44"/>
      <c r="V46" s="44"/>
      <c r="W46" s="44"/>
      <c r="X46" s="44"/>
      <c r="Y46" s="44"/>
      <c r="Z46" s="44"/>
      <c r="AA46" s="44"/>
      <c r="AB46" s="44"/>
      <c r="AC46" s="44"/>
      <c r="AD46" s="44"/>
    </row>
    <row r="47" spans="1:30" s="44" customFormat="1" ht="15" customHeight="1">
      <c r="A47" s="943"/>
      <c r="B47" s="418"/>
      <c r="C47" s="573"/>
      <c r="D47" s="419"/>
      <c r="E47" s="419"/>
      <c r="F47" s="419"/>
      <c r="G47" s="419"/>
      <c r="H47" s="419"/>
      <c r="I47" s="419"/>
      <c r="J47" s="420"/>
      <c r="K47" s="421"/>
      <c r="L47" s="422"/>
      <c r="M47" s="422"/>
      <c r="N47" s="422"/>
      <c r="O47" s="422"/>
      <c r="P47" s="422"/>
      <c r="Q47" s="422"/>
      <c r="R47" s="559"/>
      <c r="S47" s="424"/>
      <c r="T47" s="453"/>
    </row>
    <row r="48" spans="1:30" s="405" customFormat="1" ht="15" customHeight="1">
      <c r="A48" s="943"/>
      <c r="B48" s="850" t="s">
        <v>1576</v>
      </c>
      <c r="C48" s="852">
        <v>244</v>
      </c>
      <c r="D48" s="849">
        <f t="shared" ref="D48:I48" si="4">L48/L49</f>
        <v>0.93905945941463409</v>
      </c>
      <c r="E48" s="849">
        <f t="shared" si="4"/>
        <v>2.8731189213291426</v>
      </c>
      <c r="F48" s="849">
        <f t="shared" si="4"/>
        <v>0.41831196269124932</v>
      </c>
      <c r="G48" s="849">
        <f t="shared" si="4"/>
        <v>0.31540465908446702</v>
      </c>
      <c r="H48" s="849">
        <f t="shared" si="4"/>
        <v>0.73082070892054685</v>
      </c>
      <c r="I48" s="849">
        <f t="shared" si="4"/>
        <v>0.39160901698294409</v>
      </c>
      <c r="J48" s="242" t="s">
        <v>1308</v>
      </c>
      <c r="K48" s="235" t="s">
        <v>1572</v>
      </c>
      <c r="L48" s="634">
        <v>292758.23391999915</v>
      </c>
      <c r="M48" s="634">
        <v>-43468.22916998354</v>
      </c>
      <c r="N48" s="634">
        <v>379898.89979324501</v>
      </c>
      <c r="O48" s="634">
        <v>-2755.2832532278835</v>
      </c>
      <c r="P48" s="634">
        <v>895782.57583344774</v>
      </c>
      <c r="Q48" s="634">
        <f>VLOOKUP(C48, '2021_Internal_ModelLink'!$A$3:$Z$1000, 15, 0)</f>
        <v>384379.60933780239</v>
      </c>
      <c r="R48" s="560"/>
      <c r="S48" s="424"/>
      <c r="T48" s="453"/>
      <c r="U48" s="44"/>
      <c r="V48" s="44"/>
      <c r="W48" s="44"/>
      <c r="X48" s="44"/>
      <c r="Y48" s="44"/>
      <c r="Z48" s="44"/>
      <c r="AA48" s="44"/>
      <c r="AB48" s="44"/>
      <c r="AC48" s="44"/>
      <c r="AD48" s="44"/>
    </row>
    <row r="49" spans="1:30" s="405" customFormat="1" ht="15" customHeight="1">
      <c r="A49" s="944"/>
      <c r="B49" s="865"/>
      <c r="C49" s="866"/>
      <c r="D49" s="854"/>
      <c r="E49" s="854"/>
      <c r="F49" s="854"/>
      <c r="G49" s="854"/>
      <c r="H49" s="854"/>
      <c r="I49" s="854"/>
      <c r="J49" s="250" t="s">
        <v>1309</v>
      </c>
      <c r="K49" s="296" t="s">
        <v>1577</v>
      </c>
      <c r="L49" s="638">
        <v>311756.86585649324</v>
      </c>
      <c r="M49" s="638">
        <v>-15129.282970951501</v>
      </c>
      <c r="N49" s="465">
        <v>908171.25417386997</v>
      </c>
      <c r="O49" s="465">
        <v>-8735.7087914481453</v>
      </c>
      <c r="P49" s="465">
        <v>1225721.3908956638</v>
      </c>
      <c r="Q49" s="465">
        <f>VLOOKUP(C48, '2021_Internal_ModelLink'!$A$3:$Z$1000, 16, 0)</f>
        <v>981539.22067260125</v>
      </c>
      <c r="R49" s="561"/>
      <c r="S49" s="424"/>
      <c r="T49" s="453"/>
      <c r="U49" s="44"/>
      <c r="V49" s="44"/>
      <c r="W49" s="44"/>
      <c r="X49" s="44"/>
      <c r="Y49" s="44"/>
      <c r="Z49" s="44"/>
      <c r="AA49" s="44"/>
      <c r="AB49" s="44"/>
      <c r="AC49" s="44"/>
      <c r="AD49" s="44"/>
    </row>
    <row r="50" spans="1:30" s="405" customFormat="1" ht="15.75">
      <c r="A50" s="49"/>
      <c r="B50" s="42"/>
      <c r="C50" s="45"/>
      <c r="L50" s="44"/>
      <c r="M50" s="44"/>
      <c r="N50" s="44"/>
      <c r="O50" s="44"/>
      <c r="P50" s="44"/>
      <c r="Q50" s="44"/>
      <c r="R50" s="46"/>
      <c r="S50" s="43"/>
      <c r="T50" s="453"/>
      <c r="U50" s="44"/>
      <c r="V50" s="44"/>
      <c r="W50" s="44"/>
      <c r="X50" s="44"/>
      <c r="Y50" s="44"/>
      <c r="Z50" s="44"/>
      <c r="AA50" s="44"/>
      <c r="AB50" s="44"/>
      <c r="AC50" s="44"/>
      <c r="AD50" s="44"/>
    </row>
    <row r="51" spans="1:30" s="405" customFormat="1" ht="30" customHeight="1">
      <c r="A51" s="856" t="s">
        <v>1578</v>
      </c>
      <c r="B51" s="170" t="s">
        <v>1579</v>
      </c>
      <c r="C51" s="170"/>
      <c r="D51" s="170"/>
      <c r="E51" s="170"/>
      <c r="F51" s="381"/>
      <c r="G51" s="594"/>
      <c r="H51" s="594"/>
      <c r="I51" s="594"/>
      <c r="J51" s="114"/>
      <c r="K51" s="114"/>
      <c r="L51" s="636"/>
      <c r="M51" s="636"/>
      <c r="N51" s="636"/>
      <c r="O51" s="637"/>
      <c r="P51" s="637"/>
      <c r="Q51" s="637"/>
      <c r="R51" s="229"/>
      <c r="S51" s="43"/>
      <c r="T51" s="454"/>
      <c r="U51" s="44"/>
      <c r="V51" s="44"/>
      <c r="W51" s="44"/>
      <c r="X51" s="44"/>
      <c r="Y51" s="44"/>
      <c r="Z51" s="44"/>
      <c r="AA51" s="44"/>
      <c r="AB51" s="44"/>
      <c r="AC51" s="44"/>
      <c r="AD51" s="44"/>
    </row>
    <row r="52" spans="1:30" s="405" customFormat="1" ht="18.75" customHeight="1">
      <c r="A52" s="857"/>
      <c r="B52" s="850" t="s">
        <v>97</v>
      </c>
      <c r="C52" s="852">
        <v>245</v>
      </c>
      <c r="D52" s="849">
        <f t="shared" ref="D52:I52" si="5">L52/L53</f>
        <v>762.10704985271639</v>
      </c>
      <c r="E52" s="849">
        <f t="shared" si="5"/>
        <v>2496.4886004839304</v>
      </c>
      <c r="F52" s="849">
        <f t="shared" si="5"/>
        <v>587.01052905849212</v>
      </c>
      <c r="G52" s="849">
        <f t="shared" si="5"/>
        <v>1168.1836618815444</v>
      </c>
      <c r="H52" s="849">
        <f t="shared" si="5"/>
        <v>634.57457503020896</v>
      </c>
      <c r="I52" s="849">
        <f t="shared" si="5"/>
        <v>387.03783924478273</v>
      </c>
      <c r="J52" s="242" t="s">
        <v>1310</v>
      </c>
      <c r="K52" s="235" t="s">
        <v>1580</v>
      </c>
      <c r="L52" s="634">
        <v>3827810.0019702204</v>
      </c>
      <c r="M52" s="634">
        <v>916644.96343723766</v>
      </c>
      <c r="N52" s="634">
        <v>20082802.013153847</v>
      </c>
      <c r="O52" s="634">
        <v>1421033.1489319366</v>
      </c>
      <c r="P52" s="634">
        <v>3684302.629511172</v>
      </c>
      <c r="Q52" s="634">
        <f>VLOOKUP(C52, '2021_Internal_ModelLink'!$A$3:$Z$1000, 15, 0)</f>
        <v>1430864.6136132283</v>
      </c>
      <c r="R52" s="853"/>
      <c r="S52" s="424"/>
      <c r="T52" s="454"/>
      <c r="U52" s="44"/>
      <c r="V52" s="44"/>
      <c r="W52" s="44"/>
      <c r="X52" s="44"/>
      <c r="Y52" s="44"/>
      <c r="Z52" s="44"/>
      <c r="AA52" s="44"/>
      <c r="AB52" s="44"/>
      <c r="AC52" s="44"/>
      <c r="AD52" s="44"/>
    </row>
    <row r="53" spans="1:30" s="405" customFormat="1" ht="18.75" customHeight="1">
      <c r="A53" s="857"/>
      <c r="B53" s="851"/>
      <c r="C53" s="852"/>
      <c r="D53" s="849"/>
      <c r="E53" s="849"/>
      <c r="F53" s="849"/>
      <c r="G53" s="849"/>
      <c r="H53" s="849"/>
      <c r="I53" s="849"/>
      <c r="J53" s="242" t="s">
        <v>1311</v>
      </c>
      <c r="K53" s="295" t="s">
        <v>1784</v>
      </c>
      <c r="L53" s="635">
        <v>5022.6670947473549</v>
      </c>
      <c r="M53" s="635">
        <v>367.17370279982498</v>
      </c>
      <c r="N53" s="635">
        <f>N43</f>
        <v>34211.996240279899</v>
      </c>
      <c r="O53" s="635">
        <v>1216.4466901061928</v>
      </c>
      <c r="P53" s="635">
        <v>5805.9411367620278</v>
      </c>
      <c r="Q53" s="635">
        <f>VLOOKUP(C52, '2021_Internal_ModelLink'!$A$3:$Z$1000, 16, 0)</f>
        <v>3696.9631093570561</v>
      </c>
      <c r="R53" s="853"/>
      <c r="S53" s="424"/>
      <c r="T53" s="454"/>
      <c r="U53" s="44"/>
      <c r="V53" s="44"/>
      <c r="W53" s="44"/>
      <c r="X53" s="44"/>
      <c r="Y53" s="44"/>
      <c r="Z53" s="44"/>
      <c r="AA53" s="44"/>
      <c r="AB53" s="44"/>
      <c r="AC53" s="44"/>
      <c r="AD53" s="44"/>
    </row>
    <row r="54" spans="1:30" s="44" customFormat="1" ht="15" customHeight="1">
      <c r="A54" s="857"/>
      <c r="B54" s="418"/>
      <c r="C54" s="573"/>
      <c r="D54" s="207"/>
      <c r="E54" s="419"/>
      <c r="F54" s="419"/>
      <c r="G54" s="419"/>
      <c r="H54" s="419"/>
      <c r="I54" s="419"/>
      <c r="J54" s="420"/>
      <c r="K54" s="421"/>
      <c r="L54" s="422"/>
      <c r="M54" s="422"/>
      <c r="N54" s="459"/>
      <c r="O54" s="459"/>
      <c r="P54" s="459"/>
      <c r="Q54" s="459"/>
      <c r="R54" s="423"/>
      <c r="S54" s="424"/>
      <c r="T54" s="453"/>
    </row>
    <row r="55" spans="1:30" s="405" customFormat="1" ht="18.75" customHeight="1">
      <c r="A55" s="857"/>
      <c r="B55" s="850" t="s">
        <v>98</v>
      </c>
      <c r="C55" s="852">
        <v>246</v>
      </c>
      <c r="D55" s="849">
        <f t="shared" ref="D55:I55" si="6">L55/L56</f>
        <v>0.14861232363755425</v>
      </c>
      <c r="E55" s="849">
        <f t="shared" si="6"/>
        <v>0.40346333838763115</v>
      </c>
      <c r="F55" s="849">
        <f t="shared" si="6"/>
        <v>9.8840007936429303E-2</v>
      </c>
      <c r="G55" s="849">
        <f t="shared" si="6"/>
        <v>0.16253216054837744</v>
      </c>
      <c r="H55" s="849">
        <f t="shared" si="6"/>
        <v>8.5002763343336882E-2</v>
      </c>
      <c r="I55" s="849">
        <f t="shared" si="6"/>
        <v>5.2193762421599794E-2</v>
      </c>
      <c r="J55" s="242" t="s">
        <v>1312</v>
      </c>
      <c r="K55" s="235" t="s">
        <v>1580</v>
      </c>
      <c r="L55" s="634">
        <v>3827810.0019702204</v>
      </c>
      <c r="M55" s="635">
        <v>916644.96343723766</v>
      </c>
      <c r="N55" s="634">
        <f>N52</f>
        <v>20082802.013153847</v>
      </c>
      <c r="O55" s="634">
        <v>1421033.1489319366</v>
      </c>
      <c r="P55" s="634">
        <v>3684302.629511172</v>
      </c>
      <c r="Q55" s="634">
        <f>VLOOKUP(C55, '2021_Internal_ModelLink'!$A$3:$Z$1000, 15, 0)</f>
        <v>1430864.6136132283</v>
      </c>
      <c r="R55" s="560"/>
      <c r="S55" s="424"/>
      <c r="T55" s="453"/>
      <c r="U55" s="44"/>
      <c r="V55" s="44"/>
      <c r="W55" s="44"/>
      <c r="X55" s="44"/>
      <c r="Y55" s="44"/>
      <c r="Z55" s="44"/>
      <c r="AA55" s="44"/>
      <c r="AB55" s="44"/>
      <c r="AC55" s="44"/>
      <c r="AD55" s="44"/>
    </row>
    <row r="56" spans="1:30" s="405" customFormat="1" ht="18.75" customHeight="1">
      <c r="A56" s="857"/>
      <c r="B56" s="851"/>
      <c r="C56" s="852"/>
      <c r="D56" s="849"/>
      <c r="E56" s="849"/>
      <c r="F56" s="849"/>
      <c r="G56" s="849"/>
      <c r="H56" s="849"/>
      <c r="I56" s="849"/>
      <c r="J56" s="242" t="s">
        <v>1290</v>
      </c>
      <c r="K56" s="295" t="s">
        <v>1581</v>
      </c>
      <c r="L56" s="635">
        <v>25757016.02853436</v>
      </c>
      <c r="M56" s="635">
        <v>2271941.1560426899</v>
      </c>
      <c r="N56" s="635">
        <f>N46</f>
        <v>203184949.41917101</v>
      </c>
      <c r="O56" s="635">
        <v>8743089.0239656195</v>
      </c>
      <c r="P56" s="635">
        <v>43343327.729591675</v>
      </c>
      <c r="Q56" s="635">
        <f>VLOOKUP(C55, '2021_Internal_ModelLink'!$A$3:$Z$1000, 16, 0)</f>
        <v>27414475.355412994</v>
      </c>
      <c r="R56" s="560"/>
      <c r="S56" s="424"/>
      <c r="T56" s="453"/>
      <c r="U56" s="44"/>
      <c r="V56" s="44"/>
      <c r="W56" s="44"/>
      <c r="X56" s="44"/>
      <c r="Y56" s="44"/>
      <c r="Z56" s="44"/>
      <c r="AA56" s="44"/>
      <c r="AB56" s="44"/>
      <c r="AC56" s="44"/>
      <c r="AD56" s="44"/>
    </row>
    <row r="57" spans="1:30" s="405" customFormat="1" ht="18.75" customHeight="1">
      <c r="A57" s="857"/>
      <c r="B57" s="58"/>
      <c r="C57" s="573"/>
      <c r="D57" s="419"/>
      <c r="E57" s="207"/>
      <c r="F57" s="380"/>
      <c r="G57" s="380"/>
      <c r="H57" s="380"/>
      <c r="I57" s="380"/>
      <c r="J57" s="263"/>
      <c r="K57" s="58"/>
      <c r="L57" s="632"/>
      <c r="M57" s="632"/>
      <c r="N57" s="422"/>
      <c r="O57" s="422"/>
      <c r="P57" s="422"/>
      <c r="Q57" s="422"/>
      <c r="R57" s="568"/>
      <c r="S57" s="424"/>
      <c r="T57" s="453"/>
      <c r="U57" s="44"/>
      <c r="V57" s="44"/>
      <c r="W57" s="44"/>
      <c r="X57" s="44"/>
      <c r="Y57" s="44"/>
      <c r="Z57" s="44"/>
      <c r="AA57" s="44"/>
      <c r="AB57" s="44"/>
      <c r="AC57" s="44"/>
      <c r="AD57" s="44"/>
    </row>
    <row r="58" spans="1:30" s="405" customFormat="1" ht="18.75" customHeight="1">
      <c r="A58" s="857"/>
      <c r="B58" s="850" t="s">
        <v>99</v>
      </c>
      <c r="C58" s="852">
        <v>247</v>
      </c>
      <c r="D58" s="849">
        <f t="shared" ref="D58:I58" si="7">L58/L59</f>
        <v>1.1130952313637799</v>
      </c>
      <c r="E58" s="849">
        <f t="shared" si="7"/>
        <v>3.1472035739340263</v>
      </c>
      <c r="F58" s="849">
        <f t="shared" si="7"/>
        <v>1.0248836267359509</v>
      </c>
      <c r="G58" s="849">
        <f t="shared" si="7"/>
        <v>0.3387413426109398</v>
      </c>
      <c r="H58" s="849">
        <f t="shared" si="7"/>
        <v>1.2072610121764127</v>
      </c>
      <c r="I58" s="849">
        <f t="shared" si="7"/>
        <v>0.63719299299970056</v>
      </c>
      <c r="J58" s="242" t="s">
        <v>1314</v>
      </c>
      <c r="K58" s="235" t="s">
        <v>1580</v>
      </c>
      <c r="L58" s="634">
        <v>347015.08072978019</v>
      </c>
      <c r="M58" s="634">
        <v>-47614.933437237763</v>
      </c>
      <c r="N58" s="634">
        <v>930769.84867505298</v>
      </c>
      <c r="O58" s="634">
        <v>-2959.1457246733353</v>
      </c>
      <c r="P58" s="634">
        <v>1479765.6470189795</v>
      </c>
      <c r="Q58" s="634">
        <f>VLOOKUP(C58, '2021_Internal_ModelLink'!$A$3:$Z$1000, 15, 0)</f>
        <v>625429.9137669683</v>
      </c>
      <c r="R58" s="853"/>
      <c r="S58" s="424"/>
      <c r="T58" s="453"/>
      <c r="U58" s="44"/>
      <c r="V58" s="44"/>
      <c r="W58" s="44"/>
      <c r="X58" s="44"/>
      <c r="Y58" s="44"/>
      <c r="Z58" s="44"/>
      <c r="AA58" s="44"/>
      <c r="AB58" s="44"/>
      <c r="AC58" s="44"/>
      <c r="AD58" s="44"/>
    </row>
    <row r="59" spans="1:30" s="405" customFormat="1" ht="15" customHeight="1">
      <c r="A59" s="859"/>
      <c r="B59" s="865"/>
      <c r="C59" s="866"/>
      <c r="D59" s="854"/>
      <c r="E59" s="854"/>
      <c r="F59" s="854"/>
      <c r="G59" s="854"/>
      <c r="H59" s="854"/>
      <c r="I59" s="854"/>
      <c r="J59" s="250" t="s">
        <v>1315</v>
      </c>
      <c r="K59" s="296" t="s">
        <v>1581</v>
      </c>
      <c r="L59" s="638">
        <v>311756.86585649324</v>
      </c>
      <c r="M59" s="638">
        <v>-15129.282970951501</v>
      </c>
      <c r="N59" s="638">
        <f>N49</f>
        <v>908171.25417386997</v>
      </c>
      <c r="O59" s="638">
        <v>-8735.7087914481453</v>
      </c>
      <c r="P59" s="638">
        <v>1225721.3908956638</v>
      </c>
      <c r="Q59" s="638">
        <f>VLOOKUP(C58, '2021_Internal_ModelLink'!$A$3:$Z$1000, 16, 0)</f>
        <v>981539.22067260125</v>
      </c>
      <c r="R59" s="855"/>
      <c r="S59" s="424"/>
      <c r="T59" s="453"/>
      <c r="U59" s="44"/>
      <c r="V59" s="44"/>
      <c r="W59" s="44"/>
      <c r="X59" s="44"/>
      <c r="Y59" s="44"/>
      <c r="Z59" s="44"/>
      <c r="AA59" s="44"/>
      <c r="AB59" s="44"/>
      <c r="AC59" s="44"/>
      <c r="AD59" s="44"/>
    </row>
    <row r="60" spans="1:30" s="77" customFormat="1" ht="15.95" customHeight="1">
      <c r="A60" s="87"/>
      <c r="J60" s="84"/>
      <c r="R60" s="130"/>
    </row>
    <row r="61" spans="1:30" s="77" customFormat="1" ht="60.95" customHeight="1">
      <c r="A61" s="940" t="s">
        <v>298</v>
      </c>
      <c r="B61" s="113" t="s">
        <v>1690</v>
      </c>
      <c r="C61" s="113"/>
      <c r="D61" s="109"/>
      <c r="E61" s="109"/>
      <c r="F61" s="109"/>
      <c r="G61" s="590"/>
      <c r="H61" s="590"/>
      <c r="I61" s="590"/>
      <c r="J61" s="109"/>
      <c r="K61" s="109"/>
      <c r="L61" s="109"/>
      <c r="M61" s="109"/>
      <c r="N61" s="109"/>
      <c r="O61" s="590"/>
      <c r="P61" s="590"/>
      <c r="Q61" s="590"/>
      <c r="R61" s="571"/>
    </row>
    <row r="62" spans="1:30" s="77" customFormat="1" ht="15.95" customHeight="1">
      <c r="A62" s="941"/>
      <c r="B62" s="89"/>
      <c r="C62" s="89"/>
      <c r="D62" s="108"/>
      <c r="E62" s="108"/>
      <c r="F62" s="108"/>
      <c r="G62" s="108"/>
      <c r="H62" s="108"/>
      <c r="I62" s="108"/>
      <c r="J62" s="89"/>
      <c r="K62" s="108"/>
      <c r="L62" s="168"/>
      <c r="M62" s="168"/>
      <c r="N62" s="168"/>
      <c r="O62" s="168"/>
      <c r="P62" s="168"/>
      <c r="Q62" s="168"/>
      <c r="R62" s="911"/>
    </row>
    <row r="63" spans="1:30" s="77" customFormat="1" ht="15.95" customHeight="1">
      <c r="A63" s="941"/>
      <c r="B63" s="935" t="s">
        <v>297</v>
      </c>
      <c r="C63" s="934">
        <v>248</v>
      </c>
      <c r="D63" s="928">
        <f t="shared" ref="D63:I63" si="8">L63/L64</f>
        <v>9.6619766678112263E-4</v>
      </c>
      <c r="E63" s="928">
        <f t="shared" si="8"/>
        <v>7.3983662364915303E-5</v>
      </c>
      <c r="F63" s="928">
        <f t="shared" si="8"/>
        <v>5.10399338113581E-4</v>
      </c>
      <c r="G63" s="928">
        <f t="shared" si="8"/>
        <v>3.805093740521333E-4</v>
      </c>
      <c r="H63" s="928">
        <f t="shared" si="8"/>
        <v>2.8264866281909121E-3</v>
      </c>
      <c r="I63" s="928">
        <f t="shared" si="8"/>
        <v>5.039499796822939E-4</v>
      </c>
      <c r="J63" s="242" t="s">
        <v>1316</v>
      </c>
      <c r="K63" s="274" t="s">
        <v>1691</v>
      </c>
      <c r="L63" s="191">
        <f>D4</f>
        <v>646.382896032644</v>
      </c>
      <c r="M63" s="191">
        <v>47.503317920000001</v>
      </c>
      <c r="N63" s="191">
        <v>302.29104589424162</v>
      </c>
      <c r="O63" s="191">
        <v>248.094280785423</v>
      </c>
      <c r="P63" s="191">
        <v>1372.1801163610985</v>
      </c>
      <c r="Q63" s="191">
        <f>VLOOKUP(C63, '2021_Internal_ModelLink'!$A$3:$Z$1000, 15, 0)</f>
        <v>526.97448667001686</v>
      </c>
      <c r="R63" s="911"/>
    </row>
    <row r="64" spans="1:30" s="77" customFormat="1" ht="15.95" customHeight="1">
      <c r="A64" s="941"/>
      <c r="B64" s="938"/>
      <c r="C64" s="934"/>
      <c r="D64" s="928"/>
      <c r="E64" s="928"/>
      <c r="F64" s="928"/>
      <c r="G64" s="928"/>
      <c r="H64" s="928"/>
      <c r="I64" s="928"/>
      <c r="J64" s="242" t="s">
        <v>1317</v>
      </c>
      <c r="K64" s="138" t="s">
        <v>1692</v>
      </c>
      <c r="L64" s="181">
        <v>668996.54</v>
      </c>
      <c r="M64" s="181">
        <v>642078.48600000003</v>
      </c>
      <c r="N64" s="181">
        <v>592263.78899999999</v>
      </c>
      <c r="O64" s="181">
        <v>652005.69999999995</v>
      </c>
      <c r="P64" s="181">
        <v>485472</v>
      </c>
      <c r="Q64" s="181">
        <f>VLOOKUP(C63, '2021_Internal_ModelLink'!$A$3:$Z$1000, 16, 0)</f>
        <v>1045688.08</v>
      </c>
      <c r="R64" s="911"/>
    </row>
    <row r="65" spans="1:18" s="77" customFormat="1" ht="15.95" customHeight="1">
      <c r="A65" s="941"/>
      <c r="B65" s="89"/>
      <c r="C65" s="132"/>
      <c r="D65" s="300"/>
      <c r="E65" s="300"/>
      <c r="F65" s="300"/>
      <c r="G65" s="300"/>
      <c r="H65" s="300"/>
      <c r="I65" s="300"/>
      <c r="J65" s="89"/>
      <c r="K65" s="108"/>
      <c r="L65" s="190"/>
      <c r="M65" s="190"/>
      <c r="N65" s="190"/>
      <c r="O65" s="190"/>
      <c r="P65" s="190"/>
      <c r="Q65" s="190"/>
      <c r="R65" s="911"/>
    </row>
    <row r="66" spans="1:18" s="77" customFormat="1" ht="15.95" customHeight="1">
      <c r="A66" s="941"/>
      <c r="B66" s="935" t="s">
        <v>300</v>
      </c>
      <c r="C66" s="934">
        <v>249</v>
      </c>
      <c r="D66" s="928">
        <f t="shared" ref="D66:I66" si="9">L66/L67</f>
        <v>6.2802850716355116E-4</v>
      </c>
      <c r="E66" s="928">
        <f t="shared" si="9"/>
        <v>5.5459444444939428E-5</v>
      </c>
      <c r="F66" s="928">
        <f t="shared" si="9"/>
        <v>3.5903408442972476E-4</v>
      </c>
      <c r="G66" s="928">
        <f t="shared" si="9"/>
        <v>2.6989243085730668E-4</v>
      </c>
      <c r="H66" s="928">
        <f t="shared" si="9"/>
        <v>2.0344746112401454E-3</v>
      </c>
      <c r="I66" s="928">
        <f t="shared" si="9"/>
        <v>4.3808419330767303E-4</v>
      </c>
      <c r="J66" s="242" t="s">
        <v>1318</v>
      </c>
      <c r="K66" s="274" t="s">
        <v>1693</v>
      </c>
      <c r="L66" s="191">
        <f>D5</f>
        <v>420.14889831378099</v>
      </c>
      <c r="M66" s="191">
        <v>35.609316123607819</v>
      </c>
      <c r="N66" s="191">
        <v>212.6428872244947</v>
      </c>
      <c r="O66" s="191">
        <v>175.97140330581982</v>
      </c>
      <c r="P66" s="191">
        <v>987.68045846797577</v>
      </c>
      <c r="Q66" s="191">
        <f>VLOOKUP(C66, '2021_Internal_ModelLink'!$A$3:$Z$1000, 15, 0)</f>
        <v>458.09941897824945</v>
      </c>
      <c r="R66" s="911"/>
    </row>
    <row r="67" spans="1:18" s="77" customFormat="1" ht="15.95" customHeight="1">
      <c r="A67" s="941"/>
      <c r="B67" s="938"/>
      <c r="C67" s="934"/>
      <c r="D67" s="928"/>
      <c r="E67" s="928"/>
      <c r="F67" s="928"/>
      <c r="G67" s="928"/>
      <c r="H67" s="928"/>
      <c r="I67" s="928"/>
      <c r="J67" s="242" t="s">
        <v>1319</v>
      </c>
      <c r="K67" s="138" t="s">
        <v>1692</v>
      </c>
      <c r="L67" s="181">
        <v>668996.54</v>
      </c>
      <c r="M67" s="181">
        <v>642078.48600000003</v>
      </c>
      <c r="N67" s="181">
        <v>592263.78899999999</v>
      </c>
      <c r="O67" s="181">
        <v>652005.69999999995</v>
      </c>
      <c r="P67" s="181">
        <v>485472</v>
      </c>
      <c r="Q67" s="181">
        <f>VLOOKUP(C66, '2021_Internal_ModelLink'!$A$3:$Z$1000, 16, 0)</f>
        <v>1045688.08</v>
      </c>
      <c r="R67" s="911"/>
    </row>
    <row r="68" spans="1:18" s="77" customFormat="1" ht="27.95" customHeight="1">
      <c r="A68" s="941"/>
      <c r="B68" s="89"/>
      <c r="C68" s="132"/>
      <c r="D68" s="300"/>
      <c r="E68" s="300"/>
      <c r="F68" s="300"/>
      <c r="G68" s="300"/>
      <c r="H68" s="300"/>
      <c r="I68" s="300"/>
      <c r="J68" s="89"/>
      <c r="K68" s="108"/>
      <c r="L68" s="190"/>
      <c r="M68" s="190"/>
      <c r="N68" s="190"/>
      <c r="O68" s="190"/>
      <c r="P68" s="190"/>
      <c r="Q68" s="190"/>
      <c r="R68" s="911"/>
    </row>
    <row r="69" spans="1:18" s="77" customFormat="1" ht="15.95" customHeight="1">
      <c r="A69" s="941"/>
      <c r="B69" s="935" t="s">
        <v>301</v>
      </c>
      <c r="C69" s="934">
        <v>250</v>
      </c>
      <c r="D69" s="928">
        <f t="shared" ref="D69:I69" si="10">L69/L70</f>
        <v>7.2796534293688669E-4</v>
      </c>
      <c r="E69" s="928">
        <f t="shared" si="10"/>
        <v>9.7088945714961247E-5</v>
      </c>
      <c r="F69" s="928">
        <f t="shared" si="10"/>
        <v>8.1704607597687267E-4</v>
      </c>
      <c r="G69" s="928">
        <f t="shared" si="10"/>
        <v>1.3776113514909569E-3</v>
      </c>
      <c r="H69" s="928">
        <f t="shared" si="10"/>
        <v>3.9128989842017684E-3</v>
      </c>
      <c r="I69" s="928">
        <f t="shared" si="10"/>
        <v>4.145190655787708E-3</v>
      </c>
      <c r="J69" s="242" t="s">
        <v>1320</v>
      </c>
      <c r="K69" s="274" t="s">
        <v>1694</v>
      </c>
      <c r="L69" s="191">
        <f>D6</f>
        <v>3264127.5240094699</v>
      </c>
      <c r="M69" s="191">
        <v>291761.2069689713</v>
      </c>
      <c r="N69" s="191">
        <v>2474643.6614470892</v>
      </c>
      <c r="O69" s="191">
        <v>3813183.5491236742</v>
      </c>
      <c r="P69" s="191">
        <v>9817484.3249429446</v>
      </c>
      <c r="Q69" s="191">
        <f>VLOOKUP(C69, '2021_Internal_ModelLink'!$A$3:$Z$1000, 15, 0)</f>
        <v>3936100.0098972721</v>
      </c>
      <c r="R69" s="288"/>
    </row>
    <row r="70" spans="1:18" s="77" customFormat="1" ht="15.95" customHeight="1">
      <c r="A70" s="941"/>
      <c r="B70" s="938"/>
      <c r="C70" s="934"/>
      <c r="D70" s="928"/>
      <c r="E70" s="928"/>
      <c r="F70" s="928"/>
      <c r="G70" s="928"/>
      <c r="H70" s="928"/>
      <c r="I70" s="928"/>
      <c r="J70" s="242" t="s">
        <v>1321</v>
      </c>
      <c r="K70" s="138" t="s">
        <v>1692</v>
      </c>
      <c r="L70" s="189">
        <v>4483905114</v>
      </c>
      <c r="M70" s="189">
        <v>3005091927</v>
      </c>
      <c r="N70" s="181">
        <v>3028768798</v>
      </c>
      <c r="O70" s="181">
        <v>2767967573</v>
      </c>
      <c r="P70" s="181">
        <v>2509005309</v>
      </c>
      <c r="Q70" s="181">
        <f>VLOOKUP(C69, '2021_Internal_ModelLink'!$A$3:$Z$1000, 16, 0)</f>
        <v>949558256</v>
      </c>
      <c r="R70" s="911"/>
    </row>
    <row r="71" spans="1:18" s="77" customFormat="1" ht="26.45" customHeight="1">
      <c r="A71" s="941"/>
      <c r="B71" s="89"/>
      <c r="C71" s="132"/>
      <c r="D71" s="300"/>
      <c r="E71" s="300"/>
      <c r="F71" s="300"/>
      <c r="G71" s="300"/>
      <c r="H71" s="300"/>
      <c r="I71" s="300"/>
      <c r="J71" s="89"/>
      <c r="K71" s="108"/>
      <c r="L71" s="190"/>
      <c r="M71" s="190"/>
      <c r="N71" s="190"/>
      <c r="O71" s="190"/>
      <c r="P71" s="190"/>
      <c r="Q71" s="190"/>
      <c r="R71" s="911"/>
    </row>
    <row r="72" spans="1:18" s="77" customFormat="1" ht="15.95" customHeight="1">
      <c r="A72" s="941"/>
      <c r="B72" s="935" t="s">
        <v>302</v>
      </c>
      <c r="C72" s="934">
        <v>251</v>
      </c>
      <c r="D72" s="928">
        <f t="shared" ref="D72:I72" si="11">L72/L73</f>
        <v>4.7317749080739801E-4</v>
      </c>
      <c r="E72" s="928">
        <f t="shared" si="11"/>
        <v>6.9685030868200473E-5</v>
      </c>
      <c r="F72" s="928">
        <f t="shared" si="11"/>
        <v>5.5436118994737105E-4</v>
      </c>
      <c r="G72" s="928">
        <f t="shared" si="11"/>
        <v>1.3077833140471415E-3</v>
      </c>
      <c r="H72" s="928">
        <f t="shared" si="11"/>
        <v>2.8398046022403826E-3</v>
      </c>
      <c r="I72" s="928">
        <f t="shared" si="11"/>
        <v>3.640267536358857E-3</v>
      </c>
      <c r="J72" s="242" t="s">
        <v>1322</v>
      </c>
      <c r="K72" s="274" t="s">
        <v>1695</v>
      </c>
      <c r="L72" s="191">
        <f>D7</f>
        <v>2121682.97086098</v>
      </c>
      <c r="M72" s="191">
        <v>209409.92369477506</v>
      </c>
      <c r="N72" s="191">
        <v>1679031.8749347487</v>
      </c>
      <c r="O72" s="191">
        <v>3619901.8057929631</v>
      </c>
      <c r="P72" s="191">
        <v>7125084.8235437535</v>
      </c>
      <c r="Q72" s="191">
        <f>VLOOKUP(C72, '2021_Internal_ModelLink'!$A$3:$Z$1000, 15, 0)</f>
        <v>3456646.0931983329</v>
      </c>
      <c r="R72" s="288"/>
    </row>
    <row r="73" spans="1:18" s="77" customFormat="1" ht="15.95" customHeight="1">
      <c r="A73" s="941"/>
      <c r="B73" s="936"/>
      <c r="C73" s="937"/>
      <c r="D73" s="929"/>
      <c r="E73" s="929"/>
      <c r="F73" s="929"/>
      <c r="G73" s="929"/>
      <c r="H73" s="929"/>
      <c r="I73" s="929"/>
      <c r="J73" s="250" t="s">
        <v>1323</v>
      </c>
      <c r="K73" s="140" t="s">
        <v>1692</v>
      </c>
      <c r="L73" s="192">
        <v>4483905114</v>
      </c>
      <c r="M73" s="192">
        <v>3005091927</v>
      </c>
      <c r="N73" s="376">
        <v>3028768798</v>
      </c>
      <c r="O73" s="376">
        <v>2767967573</v>
      </c>
      <c r="P73" s="376">
        <v>2509005309</v>
      </c>
      <c r="Q73" s="376">
        <f>VLOOKUP(C72, '2021_Internal_ModelLink'!$A$3:$Z$1000, 16, 0)</f>
        <v>949558256</v>
      </c>
      <c r="R73" s="232"/>
    </row>
    <row r="74" spans="1:18" s="77" customFormat="1" ht="15.95" customHeight="1">
      <c r="A74" s="941"/>
      <c r="B74" s="89"/>
      <c r="C74" s="89"/>
      <c r="D74" s="108"/>
      <c r="E74" s="108"/>
      <c r="F74" s="108"/>
      <c r="G74" s="108"/>
      <c r="H74" s="108"/>
      <c r="I74" s="108"/>
      <c r="J74" s="89"/>
      <c r="K74" s="108"/>
      <c r="L74" s="168"/>
      <c r="M74" s="168"/>
      <c r="N74" s="168"/>
      <c r="O74" s="168"/>
      <c r="P74" s="168"/>
      <c r="Q74" s="168"/>
      <c r="R74" s="911"/>
    </row>
    <row r="75" spans="1:18" s="77" customFormat="1" ht="15.95" customHeight="1">
      <c r="A75" s="941"/>
      <c r="B75" s="935" t="s">
        <v>303</v>
      </c>
      <c r="C75" s="934">
        <v>252</v>
      </c>
      <c r="D75" s="928">
        <f t="shared" ref="D75:I75" si="12">L75/L76</f>
        <v>1.7724245040813888E-4</v>
      </c>
      <c r="E75" s="928">
        <f t="shared" si="12"/>
        <v>-6.2256861275032305E-6</v>
      </c>
      <c r="F75" s="928">
        <f t="shared" si="12"/>
        <v>-1.7515103085964824E-5</v>
      </c>
      <c r="G75" s="928">
        <f t="shared" si="12"/>
        <v>1.1987473801171199E-4</v>
      </c>
      <c r="H75" s="928">
        <f t="shared" si="12"/>
        <v>8.3530389254277246E-4</v>
      </c>
      <c r="I75" s="928">
        <f t="shared" si="12"/>
        <v>3.0810051781206792E-4</v>
      </c>
      <c r="J75" s="242" t="s">
        <v>1324</v>
      </c>
      <c r="K75" s="274" t="s">
        <v>1696</v>
      </c>
      <c r="L75" s="191">
        <f>D8</f>
        <v>48436.624184992601</v>
      </c>
      <c r="M75" s="191">
        <v>-1941.6546065559999</v>
      </c>
      <c r="N75" s="191">
        <v>-4152.9136129688259</v>
      </c>
      <c r="O75" s="191">
        <v>20164.972400358296</v>
      </c>
      <c r="P75" s="191">
        <v>292276.78967055894</v>
      </c>
      <c r="Q75" s="191">
        <f>VLOOKUP(C75, '2021_Internal_ModelLink'!$A$3:$Z$1000, 15, 0)</f>
        <v>115481.60817746399</v>
      </c>
      <c r="R75" s="911"/>
    </row>
    <row r="76" spans="1:18" s="77" customFormat="1" ht="15.95" customHeight="1">
      <c r="A76" s="941"/>
      <c r="B76" s="938"/>
      <c r="C76" s="934"/>
      <c r="D76" s="928"/>
      <c r="E76" s="928"/>
      <c r="F76" s="928"/>
      <c r="G76" s="928"/>
      <c r="H76" s="928"/>
      <c r="I76" s="928"/>
      <c r="J76" s="242" t="s">
        <v>1325</v>
      </c>
      <c r="K76" s="138" t="s">
        <v>1692</v>
      </c>
      <c r="L76" s="181">
        <v>273278913</v>
      </c>
      <c r="M76" s="181">
        <v>311878011</v>
      </c>
      <c r="N76" s="181">
        <v>237104720</v>
      </c>
      <c r="O76" s="181">
        <v>168217030</v>
      </c>
      <c r="P76" s="181">
        <v>349904738</v>
      </c>
      <c r="Q76" s="181">
        <f>VLOOKUP(C75, '2021_Internal_ModelLink'!$A$3:$Z$1000, 16, 0)</f>
        <v>374817962</v>
      </c>
      <c r="R76" s="911"/>
    </row>
    <row r="77" spans="1:18" s="77" customFormat="1" ht="15.95" customHeight="1">
      <c r="A77" s="941"/>
      <c r="B77" s="89"/>
      <c r="C77" s="132"/>
      <c r="D77" s="300"/>
      <c r="E77" s="300"/>
      <c r="F77" s="300"/>
      <c r="G77" s="300"/>
      <c r="H77" s="300"/>
      <c r="I77" s="300"/>
      <c r="J77" s="89"/>
      <c r="K77" s="108"/>
      <c r="L77" s="190"/>
      <c r="M77" s="190"/>
      <c r="N77" s="190"/>
      <c r="O77" s="190"/>
      <c r="P77" s="190"/>
      <c r="Q77" s="190"/>
      <c r="R77" s="911"/>
    </row>
    <row r="78" spans="1:18" s="77" customFormat="1" ht="15.95" customHeight="1">
      <c r="A78" s="941"/>
      <c r="B78" s="935" t="s">
        <v>305</v>
      </c>
      <c r="C78" s="934">
        <v>253</v>
      </c>
      <c r="D78" s="928">
        <f t="shared" ref="D78:I78" si="13">L78/L79</f>
        <v>1.1520759712313551E-4</v>
      </c>
      <c r="E78" s="928">
        <f t="shared" si="13"/>
        <v>-4.6690991067663614E-6</v>
      </c>
      <c r="F78" s="928">
        <f t="shared" si="13"/>
        <v>-1.4034961100658147E-5</v>
      </c>
      <c r="G78" s="928">
        <f t="shared" si="13"/>
        <v>1.4406559033403328E-4</v>
      </c>
      <c r="H78" s="928">
        <f t="shared" si="13"/>
        <v>6.0047091215010217E-4</v>
      </c>
      <c r="I78" s="928">
        <f t="shared" si="13"/>
        <v>2.3228224326210162E-4</v>
      </c>
      <c r="J78" s="242" t="s">
        <v>1326</v>
      </c>
      <c r="K78" s="274" t="s">
        <v>1697</v>
      </c>
      <c r="L78" s="191">
        <f>D9</f>
        <v>31483.806911152398</v>
      </c>
      <c r="M78" s="191">
        <v>-1456.1893425801695</v>
      </c>
      <c r="N78" s="191">
        <v>-3327.7555219824417</v>
      </c>
      <c r="O78" s="191">
        <v>24234.285731187785</v>
      </c>
      <c r="P78" s="191">
        <v>210107.61719250251</v>
      </c>
      <c r="Q78" s="191">
        <f>VLOOKUP(C78, '2021_Internal_ModelLink'!$A$3:$Z$1000, 15, 0)</f>
        <v>87063.557028289157</v>
      </c>
      <c r="R78" s="911"/>
    </row>
    <row r="79" spans="1:18" s="77" customFormat="1" ht="15.95" customHeight="1">
      <c r="A79" s="941"/>
      <c r="B79" s="938"/>
      <c r="C79" s="934"/>
      <c r="D79" s="928"/>
      <c r="E79" s="928"/>
      <c r="F79" s="928"/>
      <c r="G79" s="928"/>
      <c r="H79" s="928"/>
      <c r="I79" s="928"/>
      <c r="J79" s="242" t="s">
        <v>1327</v>
      </c>
      <c r="K79" s="138" t="s">
        <v>1692</v>
      </c>
      <c r="L79" s="181">
        <v>273278913</v>
      </c>
      <c r="M79" s="181">
        <v>311878011</v>
      </c>
      <c r="N79" s="181">
        <v>237104720</v>
      </c>
      <c r="O79" s="181">
        <v>168217030</v>
      </c>
      <c r="P79" s="181">
        <v>349904738</v>
      </c>
      <c r="Q79" s="181">
        <f>VLOOKUP(C78, '2021_Internal_ModelLink'!$A$3:$Z$1000, 16, 0)</f>
        <v>374817962</v>
      </c>
      <c r="R79" s="911"/>
    </row>
    <row r="80" spans="1:18" s="77" customFormat="1" ht="27.95" customHeight="1">
      <c r="A80" s="941"/>
      <c r="B80" s="89"/>
      <c r="C80" s="132"/>
      <c r="D80" s="300"/>
      <c r="E80" s="300"/>
      <c r="F80" s="300"/>
      <c r="G80" s="300"/>
      <c r="H80" s="300"/>
      <c r="I80" s="300"/>
      <c r="J80" s="89"/>
      <c r="K80" s="108"/>
      <c r="L80" s="190"/>
      <c r="M80" s="190"/>
      <c r="N80" s="190"/>
      <c r="O80" s="190"/>
      <c r="P80" s="190"/>
      <c r="Q80" s="190"/>
      <c r="R80" s="911"/>
    </row>
    <row r="81" spans="1:18" s="77" customFormat="1" ht="15.95" customHeight="1">
      <c r="A81" s="941"/>
      <c r="B81" s="935" t="s">
        <v>306</v>
      </c>
      <c r="C81" s="934">
        <v>254</v>
      </c>
      <c r="D81" s="928">
        <f t="shared" ref="D81:I81" si="14">L81/L82</f>
        <v>1.1550403315204979E-2</v>
      </c>
      <c r="E81" s="928">
        <f t="shared" si="14"/>
        <v>7.6265768169656435E-4</v>
      </c>
      <c r="F81" s="928">
        <f t="shared" si="14"/>
        <v>3.1718293652414878E-3</v>
      </c>
      <c r="G81" s="928">
        <f t="shared" si="14"/>
        <v>2.5729118499737305E-3</v>
      </c>
      <c r="H81" s="928">
        <f t="shared" si="14"/>
        <v>1.8032583879206077E-2</v>
      </c>
      <c r="I81" s="928">
        <f t="shared" si="14"/>
        <v>4.5856048931609168E-3</v>
      </c>
      <c r="J81" s="242" t="s">
        <v>1328</v>
      </c>
      <c r="K81" s="274" t="s">
        <v>1698</v>
      </c>
      <c r="L81" s="191">
        <f>D10</f>
        <v>7727.1798534766604</v>
      </c>
      <c r="M81" s="191">
        <v>489.68608959999995</v>
      </c>
      <c r="N81" s="191">
        <v>1878.5596779193884</v>
      </c>
      <c r="O81" s="191">
        <v>1677.5531917804171</v>
      </c>
      <c r="P81" s="191">
        <v>8754.3145610059328</v>
      </c>
      <c r="Q81" s="191">
        <f>VLOOKUP(C81, '2021_Internal_ModelLink'!$A$3:$Z$1000, 15, 0)</f>
        <v>4795.1123763680444</v>
      </c>
      <c r="R81" s="288"/>
    </row>
    <row r="82" spans="1:18" s="77" customFormat="1" ht="15.95" customHeight="1">
      <c r="A82" s="941"/>
      <c r="B82" s="938"/>
      <c r="C82" s="934"/>
      <c r="D82" s="928"/>
      <c r="E82" s="928"/>
      <c r="F82" s="928"/>
      <c r="G82" s="928"/>
      <c r="H82" s="928"/>
      <c r="I82" s="928"/>
      <c r="J82" s="242" t="s">
        <v>1329</v>
      </c>
      <c r="K82" s="138" t="s">
        <v>1692</v>
      </c>
      <c r="L82" s="189">
        <v>668996.54</v>
      </c>
      <c r="M82" s="189">
        <v>642078.48600000003</v>
      </c>
      <c r="N82" s="181">
        <v>592263.78899999999</v>
      </c>
      <c r="O82" s="181">
        <v>652005.69999999995</v>
      </c>
      <c r="P82" s="181">
        <v>485472</v>
      </c>
      <c r="Q82" s="181">
        <f>VLOOKUP(C81, '2021_Internal_ModelLink'!$A$3:$Z$1000, 16, 0)</f>
        <v>1045688.08</v>
      </c>
      <c r="R82" s="911"/>
    </row>
    <row r="83" spans="1:18" s="77" customFormat="1" ht="26.45" customHeight="1">
      <c r="A83" s="941"/>
      <c r="B83" s="89"/>
      <c r="C83" s="132"/>
      <c r="D83" s="300"/>
      <c r="E83" s="300"/>
      <c r="F83" s="300"/>
      <c r="G83" s="300"/>
      <c r="H83" s="300"/>
      <c r="I83" s="300"/>
      <c r="J83" s="89"/>
      <c r="K83" s="108"/>
      <c r="L83" s="190"/>
      <c r="M83" s="190"/>
      <c r="N83" s="190"/>
      <c r="O83" s="190"/>
      <c r="P83" s="190"/>
      <c r="Q83" s="190"/>
      <c r="R83" s="911"/>
    </row>
    <row r="84" spans="1:18" s="77" customFormat="1" ht="15.95" customHeight="1">
      <c r="A84" s="941"/>
      <c r="B84" s="935" t="s">
        <v>307</v>
      </c>
      <c r="C84" s="934">
        <v>255</v>
      </c>
      <c r="D84" s="928">
        <f t="shared" ref="D84:I84" si="15">L84/L85</f>
        <v>7.507762438872031E-3</v>
      </c>
      <c r="E84" s="928">
        <f t="shared" si="15"/>
        <v>5.7185174523948336E-4</v>
      </c>
      <c r="F84" s="928">
        <f t="shared" si="15"/>
        <v>2.2651578550662342E-3</v>
      </c>
      <c r="G84" s="928">
        <f t="shared" si="15"/>
        <v>1.8656994718085945E-3</v>
      </c>
      <c r="H84" s="928">
        <f t="shared" si="15"/>
        <v>1.1959373839813683E-2</v>
      </c>
      <c r="I84" s="928">
        <f t="shared" si="15"/>
        <v>3.5354358341323508E-3</v>
      </c>
      <c r="J84" s="242" t="s">
        <v>1330</v>
      </c>
      <c r="K84" s="274" t="s">
        <v>1699</v>
      </c>
      <c r="L84" s="191">
        <f>D11</f>
        <v>5022.6670947473503</v>
      </c>
      <c r="M84" s="191">
        <v>367.17370279982521</v>
      </c>
      <c r="N84" s="191">
        <v>1341.5709739246408</v>
      </c>
      <c r="O84" s="191">
        <v>1216.4466901061928</v>
      </c>
      <c r="P84" s="191">
        <v>5805.9411367620278</v>
      </c>
      <c r="Q84" s="191">
        <f>VLOOKUP(C84, '2021_Internal_ModelLink'!$A$3:$Z$1000, 15, 0)</f>
        <v>3696.9631093570561</v>
      </c>
      <c r="R84" s="288"/>
    </row>
    <row r="85" spans="1:18" s="77" customFormat="1" ht="15.95" customHeight="1">
      <c r="A85" s="941"/>
      <c r="B85" s="936"/>
      <c r="C85" s="937"/>
      <c r="D85" s="929"/>
      <c r="E85" s="929"/>
      <c r="F85" s="929"/>
      <c r="G85" s="929"/>
      <c r="H85" s="929"/>
      <c r="I85" s="929"/>
      <c r="J85" s="250" t="s">
        <v>1331</v>
      </c>
      <c r="K85" s="140" t="s">
        <v>1692</v>
      </c>
      <c r="L85" s="192">
        <v>668996.54</v>
      </c>
      <c r="M85" s="192">
        <v>642078.48600000003</v>
      </c>
      <c r="N85" s="376">
        <v>592263.78899999999</v>
      </c>
      <c r="O85" s="376">
        <v>652005.69999999995</v>
      </c>
      <c r="P85" s="376">
        <v>485472</v>
      </c>
      <c r="Q85" s="376">
        <f>VLOOKUP(C84, '2021_Internal_ModelLink'!$A$3:$Z$1000, 16, 0)</f>
        <v>1045688.08</v>
      </c>
      <c r="R85" s="232"/>
    </row>
    <row r="86" spans="1:18" s="77" customFormat="1" ht="15.95" customHeight="1">
      <c r="A86" s="941"/>
      <c r="B86" s="89"/>
      <c r="C86" s="89"/>
      <c r="D86" s="108"/>
      <c r="E86" s="108"/>
      <c r="F86" s="108"/>
      <c r="G86" s="108"/>
      <c r="H86" s="108"/>
      <c r="I86" s="108"/>
      <c r="J86" s="89"/>
      <c r="K86" s="108"/>
      <c r="L86" s="168"/>
      <c r="M86" s="168"/>
      <c r="N86" s="168"/>
      <c r="O86" s="168"/>
      <c r="P86" s="168"/>
      <c r="Q86" s="168"/>
      <c r="R86" s="911"/>
    </row>
    <row r="87" spans="1:18" s="77" customFormat="1" ht="15.95" customHeight="1">
      <c r="A87" s="941"/>
      <c r="B87" s="935" t="s">
        <v>308</v>
      </c>
      <c r="C87" s="934">
        <v>256</v>
      </c>
      <c r="D87" s="928">
        <f>L87/L88</f>
        <v>8.8374254135781868E-3</v>
      </c>
      <c r="E87" s="928">
        <f>M87/M88</f>
        <v>1.0579830304444659E-3</v>
      </c>
      <c r="F87" s="988">
        <f>N87/N88</f>
        <v>6.5869909261697729E-3</v>
      </c>
      <c r="G87" s="988">
        <f t="shared" ref="G87:I87" si="16">O87/O88</f>
        <v>3.9618876796045262E-3</v>
      </c>
      <c r="H87" s="988">
        <f t="shared" si="16"/>
        <v>2.6031304770984739E-2</v>
      </c>
      <c r="I87" s="988">
        <f t="shared" si="16"/>
        <v>3.710744792847518E-2</v>
      </c>
      <c r="J87" s="242" t="s">
        <v>1332</v>
      </c>
      <c r="K87" s="274" t="s">
        <v>1700</v>
      </c>
      <c r="L87" s="191">
        <f>D12</f>
        <v>39626177.006536797</v>
      </c>
      <c r="M87" s="191">
        <v>3179336.26369166</v>
      </c>
      <c r="N87" s="191">
        <v>19950472.58989213</v>
      </c>
      <c r="O87" s="191">
        <v>10966376.625013541</v>
      </c>
      <c r="P87" s="191">
        <v>65312681.870597742</v>
      </c>
      <c r="Q87" s="191">
        <f>VLOOKUP(C87, '2021_Internal_ModelLink'!$A$3:$Z$1000, 15, 0)</f>
        <v>35235683.539573707</v>
      </c>
      <c r="R87" s="911"/>
    </row>
    <row r="88" spans="1:18" s="77" customFormat="1" ht="15.95" customHeight="1">
      <c r="A88" s="941"/>
      <c r="B88" s="938"/>
      <c r="C88" s="934"/>
      <c r="D88" s="928"/>
      <c r="E88" s="928"/>
      <c r="F88" s="988"/>
      <c r="G88" s="988"/>
      <c r="H88" s="988"/>
      <c r="I88" s="988"/>
      <c r="J88" s="242" t="s">
        <v>1333</v>
      </c>
      <c r="K88" s="138" t="s">
        <v>1692</v>
      </c>
      <c r="L88" s="181">
        <v>4483905114</v>
      </c>
      <c r="M88" s="181">
        <v>3005091927</v>
      </c>
      <c r="N88" s="181">
        <v>3028768798</v>
      </c>
      <c r="O88" s="181">
        <v>2767967573</v>
      </c>
      <c r="P88" s="181">
        <v>2509005309</v>
      </c>
      <c r="Q88" s="181">
        <f>VLOOKUP(C87, '2021_Internal_ModelLink'!$A$3:$Z$1000, 16, 0)</f>
        <v>949558256</v>
      </c>
      <c r="R88" s="911"/>
    </row>
    <row r="89" spans="1:18" s="77" customFormat="1" ht="15.95" customHeight="1">
      <c r="A89" s="941"/>
      <c r="B89" s="89"/>
      <c r="C89" s="132"/>
      <c r="D89" s="300"/>
      <c r="E89" s="300"/>
      <c r="F89" s="300"/>
      <c r="G89" s="300"/>
      <c r="H89" s="300"/>
      <c r="I89" s="300"/>
      <c r="J89" s="89"/>
      <c r="K89" s="108"/>
      <c r="L89" s="190"/>
      <c r="M89" s="190"/>
      <c r="N89" s="190"/>
      <c r="O89" s="190"/>
      <c r="P89" s="190"/>
      <c r="Q89" s="190"/>
      <c r="R89" s="911"/>
    </row>
    <row r="90" spans="1:18" s="77" customFormat="1" ht="15.95" customHeight="1">
      <c r="A90" s="941"/>
      <c r="B90" s="935" t="s">
        <v>309</v>
      </c>
      <c r="C90" s="934">
        <v>257</v>
      </c>
      <c r="D90" s="928">
        <f>L90/L91</f>
        <v>5.7443267361108573E-3</v>
      </c>
      <c r="E90" s="928">
        <f t="shared" ref="E90:F90" si="17">M90/M91</f>
        <v>7.5603050130675499E-4</v>
      </c>
      <c r="F90" s="928">
        <f t="shared" si="17"/>
        <v>4.4611581958437906E-3</v>
      </c>
      <c r="G90" s="928">
        <f t="shared" ref="G90" si="18">O90/O91</f>
        <v>3.1586674313852704E-3</v>
      </c>
      <c r="H90" s="928">
        <f t="shared" ref="H90:I90" si="19">P90/P91</f>
        <v>1.7275104031910869E-2</v>
      </c>
      <c r="I90" s="928">
        <f t="shared" si="19"/>
        <v>2.8870767203790174E-2</v>
      </c>
      <c r="J90" s="242" t="s">
        <v>1334</v>
      </c>
      <c r="K90" s="274" t="s">
        <v>1701</v>
      </c>
      <c r="L90" s="191">
        <f>D13</f>
        <v>25757016.028534401</v>
      </c>
      <c r="M90" s="191">
        <v>2271941.1560426923</v>
      </c>
      <c r="N90" s="191">
        <v>13511816.746513646</v>
      </c>
      <c r="O90" s="191">
        <v>8743089.0239656307</v>
      </c>
      <c r="P90" s="191">
        <v>43343327.729591675</v>
      </c>
      <c r="Q90" s="191">
        <f>VLOOKUP(C90, '2021_Internal_ModelLink'!$A$3:$Z$1000, 15, 0)</f>
        <v>27414475.355412994</v>
      </c>
      <c r="R90" s="911"/>
    </row>
    <row r="91" spans="1:18" s="77" customFormat="1" ht="15.95" customHeight="1">
      <c r="A91" s="941"/>
      <c r="B91" s="938"/>
      <c r="C91" s="934"/>
      <c r="D91" s="928"/>
      <c r="E91" s="928"/>
      <c r="F91" s="928"/>
      <c r="G91" s="928"/>
      <c r="H91" s="928"/>
      <c r="I91" s="928"/>
      <c r="J91" s="242" t="s">
        <v>1333</v>
      </c>
      <c r="K91" s="138" t="s">
        <v>1692</v>
      </c>
      <c r="L91" s="181">
        <v>4483905114</v>
      </c>
      <c r="M91" s="181">
        <v>3005091927</v>
      </c>
      <c r="N91" s="181">
        <v>3028768798</v>
      </c>
      <c r="O91" s="181">
        <v>2767967573</v>
      </c>
      <c r="P91" s="181">
        <v>2509005309</v>
      </c>
      <c r="Q91" s="181">
        <f>VLOOKUP(C90, '2021_Internal_ModelLink'!$A$3:$Z$1000, 16, 0)</f>
        <v>949558256</v>
      </c>
      <c r="R91" s="911"/>
    </row>
    <row r="92" spans="1:18" s="77" customFormat="1" ht="27.95" customHeight="1">
      <c r="A92" s="941"/>
      <c r="B92" s="89"/>
      <c r="C92" s="132"/>
      <c r="D92" s="300"/>
      <c r="E92" s="300"/>
      <c r="F92" s="300"/>
      <c r="G92" s="300"/>
      <c r="H92" s="300"/>
      <c r="I92" s="300"/>
      <c r="J92" s="89"/>
      <c r="K92" s="108"/>
      <c r="L92" s="190"/>
      <c r="M92" s="190"/>
      <c r="N92" s="190"/>
      <c r="O92" s="190"/>
      <c r="P92" s="190"/>
      <c r="Q92" s="190"/>
      <c r="R92" s="911"/>
    </row>
    <row r="93" spans="1:18" s="77" customFormat="1" ht="15.95" customHeight="1">
      <c r="A93" s="941"/>
      <c r="B93" s="935" t="s">
        <v>310</v>
      </c>
      <c r="C93" s="934">
        <v>258</v>
      </c>
      <c r="D93" s="928">
        <f>L93/L94</f>
        <v>1.7550784437187291E-3</v>
      </c>
      <c r="E93" s="928">
        <f t="shared" ref="E93:F93" si="20">M93/M94</f>
        <v>-6.4681448583369343E-5</v>
      </c>
      <c r="F93" s="928">
        <f t="shared" si="20"/>
        <v>-8.5034986260506396E-5</v>
      </c>
      <c r="G93" s="928">
        <f t="shared" ref="G93" si="21">O93/O94</f>
        <v>-1.4754860482261783E-4</v>
      </c>
      <c r="H93" s="928">
        <f t="shared" ref="H93:I93" si="22">P93/P94</f>
        <v>5.3057670671898876E-3</v>
      </c>
      <c r="I93" s="928">
        <f t="shared" si="22"/>
        <v>3.7848912335220223E-3</v>
      </c>
      <c r="J93" s="242" t="s">
        <v>1336</v>
      </c>
      <c r="K93" s="274" t="s">
        <v>1702</v>
      </c>
      <c r="L93" s="191">
        <f>D14</f>
        <v>479625.92932918598</v>
      </c>
      <c r="M93" s="191">
        <v>-20172.72153278</v>
      </c>
      <c r="N93" s="191">
        <v>-20162.196607501217</v>
      </c>
      <c r="O93" s="191">
        <v>-24820.18808390445</v>
      </c>
      <c r="P93" s="191">
        <v>1856513.035534106</v>
      </c>
      <c r="Q93" s="191">
        <f>VLOOKUP(C93, '2021_Internal_ModelLink'!$A$3:$Z$1000, 15, 0)</f>
        <v>1418645.2185403905</v>
      </c>
      <c r="R93" s="288"/>
    </row>
    <row r="94" spans="1:18" s="77" customFormat="1" ht="15.95" customHeight="1">
      <c r="A94" s="941"/>
      <c r="B94" s="938"/>
      <c r="C94" s="934"/>
      <c r="D94" s="928"/>
      <c r="E94" s="928"/>
      <c r="F94" s="928"/>
      <c r="G94" s="928"/>
      <c r="H94" s="928"/>
      <c r="I94" s="928"/>
      <c r="J94" s="242" t="s">
        <v>1337</v>
      </c>
      <c r="K94" s="138" t="s">
        <v>1692</v>
      </c>
      <c r="L94" s="189">
        <v>273278913</v>
      </c>
      <c r="M94" s="189">
        <v>311878011</v>
      </c>
      <c r="N94" s="181">
        <v>237104720</v>
      </c>
      <c r="O94" s="181">
        <v>168217030</v>
      </c>
      <c r="P94" s="181">
        <v>349904738</v>
      </c>
      <c r="Q94" s="181">
        <f>VLOOKUP(C93, '2021_Internal_ModelLink'!$A$3:$Z$1000, 16, 0)</f>
        <v>374817962</v>
      </c>
      <c r="R94" s="911"/>
    </row>
    <row r="95" spans="1:18" s="77" customFormat="1" ht="26.45" customHeight="1">
      <c r="A95" s="941"/>
      <c r="B95" s="89"/>
      <c r="C95" s="132"/>
      <c r="D95" s="300"/>
      <c r="E95" s="300"/>
      <c r="F95" s="300"/>
      <c r="G95" s="300"/>
      <c r="H95" s="300"/>
      <c r="I95" s="300"/>
      <c r="J95" s="89"/>
      <c r="K95" s="108"/>
      <c r="L95" s="190"/>
      <c r="M95" s="190"/>
      <c r="N95" s="190"/>
      <c r="O95" s="190"/>
      <c r="P95" s="190"/>
      <c r="Q95" s="190"/>
      <c r="R95" s="911"/>
    </row>
    <row r="96" spans="1:18" s="77" customFormat="1" ht="15.95" customHeight="1">
      <c r="A96" s="941"/>
      <c r="B96" s="935" t="s">
        <v>311</v>
      </c>
      <c r="C96" s="934">
        <v>259</v>
      </c>
      <c r="D96" s="928">
        <f>L96/L97</f>
        <v>1.1408010315691391E-3</v>
      </c>
      <c r="E96" s="928">
        <f t="shared" ref="E96:F96" si="23">M96/M97</f>
        <v>-4.851025861823749E-5</v>
      </c>
      <c r="F96" s="928">
        <f t="shared" si="23"/>
        <v>-7.4559846621453352E-5</v>
      </c>
      <c r="G96" s="928">
        <f t="shared" ref="G96" si="24">O96/O97</f>
        <v>-5.1931179568728174E-5</v>
      </c>
      <c r="H96" s="928">
        <f t="shared" ref="H96:I96" si="25">P96/P97</f>
        <v>3.5030145573383569E-3</v>
      </c>
      <c r="I96" s="928">
        <f t="shared" si="25"/>
        <v>2.6187091339891582E-3</v>
      </c>
      <c r="J96" s="242" t="s">
        <v>1338</v>
      </c>
      <c r="K96" s="274" t="s">
        <v>1703</v>
      </c>
      <c r="L96" s="191">
        <f>D15</f>
        <v>311756.86585649301</v>
      </c>
      <c r="M96" s="191">
        <v>-15129.282970951517</v>
      </c>
      <c r="N96" s="191">
        <v>-17678.491556422643</v>
      </c>
      <c r="O96" s="191">
        <v>-8735.7087914481344</v>
      </c>
      <c r="P96" s="191">
        <v>1225721.3908956638</v>
      </c>
      <c r="Q96" s="191">
        <f>VLOOKUP(C96, '2021_Internal_ModelLink'!$A$3:$Z$1000, 15, 0)</f>
        <v>981539.22067260125</v>
      </c>
      <c r="R96" s="288"/>
    </row>
    <row r="97" spans="1:18" s="77" customFormat="1" ht="15.95" customHeight="1">
      <c r="A97" s="942"/>
      <c r="B97" s="936"/>
      <c r="C97" s="937"/>
      <c r="D97" s="929"/>
      <c r="E97" s="929"/>
      <c r="F97" s="929"/>
      <c r="G97" s="929"/>
      <c r="H97" s="929"/>
      <c r="I97" s="929"/>
      <c r="J97" s="250" t="s">
        <v>1339</v>
      </c>
      <c r="K97" s="140" t="s">
        <v>1692</v>
      </c>
      <c r="L97" s="192">
        <v>273278913</v>
      </c>
      <c r="M97" s="192">
        <v>311878011</v>
      </c>
      <c r="N97" s="376">
        <v>237104720</v>
      </c>
      <c r="O97" s="376">
        <v>168217030</v>
      </c>
      <c r="P97" s="376">
        <v>349904738</v>
      </c>
      <c r="Q97" s="376">
        <f>VLOOKUP(C96, '2021_Internal_ModelLink'!$A$3:$Z$1000, 16, 0)</f>
        <v>374817962</v>
      </c>
      <c r="R97" s="232"/>
    </row>
    <row r="98" spans="1:18" s="77" customFormat="1" ht="15.95" customHeight="1">
      <c r="A98" s="93"/>
      <c r="D98" s="102"/>
      <c r="E98" s="102"/>
      <c r="F98" s="102"/>
      <c r="G98" s="102"/>
      <c r="H98" s="102"/>
      <c r="I98" s="102"/>
      <c r="R98" s="203"/>
    </row>
    <row r="99" spans="1:18" ht="29.65" customHeight="1">
      <c r="A99" s="860"/>
      <c r="B99" s="860"/>
      <c r="C99" s="860"/>
      <c r="D99" s="860"/>
      <c r="E99" s="860"/>
      <c r="F99" s="557"/>
      <c r="G99" s="584"/>
      <c r="H99" s="690"/>
      <c r="I99" s="736"/>
    </row>
    <row r="100" spans="1:18">
      <c r="A100" s="306" t="s">
        <v>1749</v>
      </c>
    </row>
    <row r="101" spans="1:18">
      <c r="A101" s="130"/>
    </row>
    <row r="102" spans="1:18">
      <c r="A102" s="456" t="s">
        <v>1871</v>
      </c>
    </row>
    <row r="103" spans="1:18">
      <c r="A103" s="456" t="s">
        <v>1869</v>
      </c>
    </row>
  </sheetData>
  <mergeCells count="219">
    <mergeCell ref="H52:H53"/>
    <mergeCell ref="H55:H56"/>
    <mergeCell ref="H58:H59"/>
    <mergeCell ref="H63:H64"/>
    <mergeCell ref="H66:H67"/>
    <mergeCell ref="H69:H70"/>
    <mergeCell ref="H72:H73"/>
    <mergeCell ref="H75:H76"/>
    <mergeCell ref="H78:H79"/>
    <mergeCell ref="H22:H23"/>
    <mergeCell ref="H25:H26"/>
    <mergeCell ref="H28:H29"/>
    <mergeCell ref="H32:H33"/>
    <mergeCell ref="H35:H36"/>
    <mergeCell ref="H38:H39"/>
    <mergeCell ref="H42:H43"/>
    <mergeCell ref="H45:H46"/>
    <mergeCell ref="H48:H49"/>
    <mergeCell ref="A51:A59"/>
    <mergeCell ref="B52:B53"/>
    <mergeCell ref="C52:C53"/>
    <mergeCell ref="D52:D53"/>
    <mergeCell ref="E52:E53"/>
    <mergeCell ref="F52:F53"/>
    <mergeCell ref="E69:E70"/>
    <mergeCell ref="F69:F70"/>
    <mergeCell ref="R52:R53"/>
    <mergeCell ref="B55:B56"/>
    <mergeCell ref="C55:C56"/>
    <mergeCell ref="D55:D56"/>
    <mergeCell ref="E55:E56"/>
    <mergeCell ref="F55:F56"/>
    <mergeCell ref="B58:B59"/>
    <mergeCell ref="C58:C59"/>
    <mergeCell ref="D58:D59"/>
    <mergeCell ref="E58:E59"/>
    <mergeCell ref="F58:F59"/>
    <mergeCell ref="R58:R59"/>
    <mergeCell ref="G52:G53"/>
    <mergeCell ref="G55:G56"/>
    <mergeCell ref="G58:G59"/>
    <mergeCell ref="R62:R64"/>
    <mergeCell ref="A41:A49"/>
    <mergeCell ref="B42:B43"/>
    <mergeCell ref="C42:C43"/>
    <mergeCell ref="D42:D43"/>
    <mergeCell ref="E42:E43"/>
    <mergeCell ref="F42:F43"/>
    <mergeCell ref="R42:R43"/>
    <mergeCell ref="B45:B46"/>
    <mergeCell ref="C45:C46"/>
    <mergeCell ref="D45:D46"/>
    <mergeCell ref="E45:E46"/>
    <mergeCell ref="F45:F46"/>
    <mergeCell ref="R45:R46"/>
    <mergeCell ref="B48:B49"/>
    <mergeCell ref="C48:C49"/>
    <mergeCell ref="D48:D49"/>
    <mergeCell ref="E48:E49"/>
    <mergeCell ref="F48:F49"/>
    <mergeCell ref="G42:G43"/>
    <mergeCell ref="G45:G46"/>
    <mergeCell ref="G48:G49"/>
    <mergeCell ref="R32:R34"/>
    <mergeCell ref="R35:R36"/>
    <mergeCell ref="A17:A18"/>
    <mergeCell ref="C22:C23"/>
    <mergeCell ref="D22:D23"/>
    <mergeCell ref="E22:E23"/>
    <mergeCell ref="B25:B26"/>
    <mergeCell ref="C25:C26"/>
    <mergeCell ref="A21:A29"/>
    <mergeCell ref="A31:A39"/>
    <mergeCell ref="R17:R18"/>
    <mergeCell ref="B32:B33"/>
    <mergeCell ref="F38:F39"/>
    <mergeCell ref="F22:F23"/>
    <mergeCell ref="F25:F26"/>
    <mergeCell ref="F28:F29"/>
    <mergeCell ref="F32:F33"/>
    <mergeCell ref="F35:F36"/>
    <mergeCell ref="G22:G23"/>
    <mergeCell ref="G25:G26"/>
    <mergeCell ref="G28:G29"/>
    <mergeCell ref="G32:G33"/>
    <mergeCell ref="G35:G36"/>
    <mergeCell ref="G38:G39"/>
    <mergeCell ref="A99:E99"/>
    <mergeCell ref="B17:E17"/>
    <mergeCell ref="B38:B39"/>
    <mergeCell ref="C38:C39"/>
    <mergeCell ref="D38:D39"/>
    <mergeCell ref="E38:E39"/>
    <mergeCell ref="D25:D26"/>
    <mergeCell ref="E25:E26"/>
    <mergeCell ref="B28:B29"/>
    <mergeCell ref="C28:C29"/>
    <mergeCell ref="D28:D29"/>
    <mergeCell ref="E28:E29"/>
    <mergeCell ref="B22:B23"/>
    <mergeCell ref="C32:C33"/>
    <mergeCell ref="D32:D33"/>
    <mergeCell ref="E32:E33"/>
    <mergeCell ref="B35:B36"/>
    <mergeCell ref="C35:C36"/>
    <mergeCell ref="D35:D36"/>
    <mergeCell ref="E35:E36"/>
    <mergeCell ref="A61:A97"/>
    <mergeCell ref="B69:B70"/>
    <mergeCell ref="C69:C70"/>
    <mergeCell ref="D69:D70"/>
    <mergeCell ref="B63:B64"/>
    <mergeCell ref="C63:C64"/>
    <mergeCell ref="D63:D64"/>
    <mergeCell ref="E63:E64"/>
    <mergeCell ref="F63:F64"/>
    <mergeCell ref="R65:R66"/>
    <mergeCell ref="B66:B67"/>
    <mergeCell ref="C66:C67"/>
    <mergeCell ref="D66:D67"/>
    <mergeCell ref="E66:E67"/>
    <mergeCell ref="F66:F67"/>
    <mergeCell ref="R67:R68"/>
    <mergeCell ref="G63:G64"/>
    <mergeCell ref="G66:G67"/>
    <mergeCell ref="R70:R71"/>
    <mergeCell ref="B72:B73"/>
    <mergeCell ref="C72:C73"/>
    <mergeCell ref="D72:D73"/>
    <mergeCell ref="E72:E73"/>
    <mergeCell ref="F72:F73"/>
    <mergeCell ref="R77:R78"/>
    <mergeCell ref="B78:B79"/>
    <mergeCell ref="C78:C79"/>
    <mergeCell ref="D78:D79"/>
    <mergeCell ref="E78:E79"/>
    <mergeCell ref="F78:F79"/>
    <mergeCell ref="R79:R80"/>
    <mergeCell ref="R74:R76"/>
    <mergeCell ref="B75:B76"/>
    <mergeCell ref="C75:C76"/>
    <mergeCell ref="D75:D76"/>
    <mergeCell ref="E75:E76"/>
    <mergeCell ref="F75:F76"/>
    <mergeCell ref="G69:G70"/>
    <mergeCell ref="G72:G73"/>
    <mergeCell ref="G75:G76"/>
    <mergeCell ref="G78:G79"/>
    <mergeCell ref="R82:R83"/>
    <mergeCell ref="B84:B85"/>
    <mergeCell ref="C84:C85"/>
    <mergeCell ref="D84:D85"/>
    <mergeCell ref="E84:E85"/>
    <mergeCell ref="F84:F85"/>
    <mergeCell ref="B81:B82"/>
    <mergeCell ref="C81:C82"/>
    <mergeCell ref="D81:D82"/>
    <mergeCell ref="E81:E82"/>
    <mergeCell ref="F81:F82"/>
    <mergeCell ref="G81:G82"/>
    <mergeCell ref="G84:G85"/>
    <mergeCell ref="H81:H82"/>
    <mergeCell ref="H84:H85"/>
    <mergeCell ref="I81:I82"/>
    <mergeCell ref="I84:I85"/>
    <mergeCell ref="R89:R90"/>
    <mergeCell ref="B90:B91"/>
    <mergeCell ref="C90:C91"/>
    <mergeCell ref="D90:D91"/>
    <mergeCell ref="E90:E91"/>
    <mergeCell ref="F90:F91"/>
    <mergeCell ref="R91:R92"/>
    <mergeCell ref="R86:R88"/>
    <mergeCell ref="B87:B88"/>
    <mergeCell ref="C87:C88"/>
    <mergeCell ref="D87:D88"/>
    <mergeCell ref="E87:E88"/>
    <mergeCell ref="F87:F88"/>
    <mergeCell ref="G87:G88"/>
    <mergeCell ref="H87:H88"/>
    <mergeCell ref="G90:G91"/>
    <mergeCell ref="H90:H91"/>
    <mergeCell ref="I87:I88"/>
    <mergeCell ref="I90:I91"/>
    <mergeCell ref="R94:R95"/>
    <mergeCell ref="B96:B97"/>
    <mergeCell ref="C96:C97"/>
    <mergeCell ref="D96:D97"/>
    <mergeCell ref="E96:E97"/>
    <mergeCell ref="F96:F97"/>
    <mergeCell ref="B93:B94"/>
    <mergeCell ref="C93:C94"/>
    <mergeCell ref="D93:D94"/>
    <mergeCell ref="E93:E94"/>
    <mergeCell ref="F93:F94"/>
    <mergeCell ref="G93:G94"/>
    <mergeCell ref="H93:H94"/>
    <mergeCell ref="G96:G97"/>
    <mergeCell ref="H96:H97"/>
    <mergeCell ref="I93:I94"/>
    <mergeCell ref="I96:I97"/>
    <mergeCell ref="I22:I23"/>
    <mergeCell ref="I25:I26"/>
    <mergeCell ref="I28:I29"/>
    <mergeCell ref="I32:I33"/>
    <mergeCell ref="I35:I36"/>
    <mergeCell ref="I38:I39"/>
    <mergeCell ref="I42:I43"/>
    <mergeCell ref="I45:I46"/>
    <mergeCell ref="I48:I49"/>
    <mergeCell ref="I52:I53"/>
    <mergeCell ref="I55:I56"/>
    <mergeCell ref="I58:I59"/>
    <mergeCell ref="I63:I64"/>
    <mergeCell ref="I66:I67"/>
    <mergeCell ref="I69:I70"/>
    <mergeCell ref="I72:I73"/>
    <mergeCell ref="I75:I76"/>
    <mergeCell ref="I78:I79"/>
  </mergeCells>
  <pageMargins left="0.7" right="0.7" top="0.75" bottom="0.75" header="0.3" footer="0.3"/>
  <pageSetup scale="75" fitToWidth="0" fitToHeight="0" orientation="landscape" r:id="rId1"/>
  <headerFooter>
    <oddFooter>&amp;RMay 1, 2019</oddFooter>
  </headerFooter>
  <colBreaks count="2" manualBreakCount="2">
    <brk id="9" max="1048575" man="1"/>
    <brk id="1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0">
    <tabColor rgb="FF92D050"/>
  </sheetPr>
  <dimension ref="A1:A3"/>
  <sheetViews>
    <sheetView zoomScaleNormal="100" workbookViewId="0">
      <selection activeCell="A2" sqref="A2"/>
    </sheetView>
  </sheetViews>
  <sheetFormatPr defaultColWidth="9.140625" defaultRowHeight="15"/>
  <cols>
    <col min="1" max="1" width="90.7109375" style="1" customWidth="1"/>
    <col min="2" max="16384" width="9.140625" style="1"/>
  </cols>
  <sheetData>
    <row r="1" spans="1:1" ht="26.25">
      <c r="A1" s="553" t="s">
        <v>1816</v>
      </c>
    </row>
    <row r="2" spans="1:1" ht="18.75">
      <c r="A2" s="8" t="s">
        <v>2231</v>
      </c>
    </row>
    <row r="3" spans="1:1" ht="18.75">
      <c r="A3" s="7"/>
    </row>
  </sheetData>
  <pageMargins left="0.7" right="0.7" top="0.75" bottom="0.75" header="0.3" footer="0.3"/>
  <pageSetup fitToHeight="0" orientation="portrait" r:id="rId1"/>
  <headerFooter>
    <oddFooter>&amp;RMay 1, 2019</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AD56"/>
  <sheetViews>
    <sheetView zoomScale="70" zoomScaleNormal="70" zoomScaleSheetLayoutView="90" workbookViewId="0">
      <pane ySplit="2" topLeftCell="A3" activePane="bottomLeft" state="frozen"/>
      <selection sqref="A1:A2"/>
      <selection pane="bottomLeft" activeCell="I4" sqref="I4:I15"/>
    </sheetView>
  </sheetViews>
  <sheetFormatPr defaultColWidth="9.140625" defaultRowHeight="15"/>
  <cols>
    <col min="1" max="1" width="12.28515625" style="94" customWidth="1"/>
    <col min="2" max="2" width="50.7109375" style="94" customWidth="1"/>
    <col min="3" max="3" width="6.7109375" style="94" customWidth="1"/>
    <col min="4" max="9" width="13.7109375" style="94" customWidth="1"/>
    <col min="10" max="10" width="6.85546875" style="94" customWidth="1"/>
    <col min="11" max="11" width="50.7109375" style="94" customWidth="1"/>
    <col min="12" max="17" width="13.7109375" style="94" customWidth="1"/>
    <col min="18" max="18" width="80.7109375" style="99" customWidth="1"/>
    <col min="19" max="19" width="9.140625" style="94"/>
    <col min="20" max="20" width="20.42578125" style="94" customWidth="1"/>
    <col min="21" max="16384" width="9.140625" style="94"/>
  </cols>
  <sheetData>
    <row r="1" spans="1:18" ht="24.95" customHeight="1">
      <c r="A1" s="256" t="s">
        <v>2235</v>
      </c>
    </row>
    <row r="2" spans="1:18" ht="33" customHeight="1">
      <c r="A2" s="220" t="s">
        <v>27</v>
      </c>
      <c r="B2" s="221" t="s">
        <v>1560</v>
      </c>
      <c r="C2" s="220" t="s">
        <v>1561</v>
      </c>
      <c r="D2" s="332">
        <v>2016</v>
      </c>
      <c r="E2" s="332">
        <v>2017</v>
      </c>
      <c r="F2" s="332">
        <v>2018</v>
      </c>
      <c r="G2" s="332">
        <v>2019</v>
      </c>
      <c r="H2" s="332">
        <v>2020</v>
      </c>
      <c r="I2" s="332">
        <v>2021</v>
      </c>
      <c r="J2" s="258" t="s">
        <v>1562</v>
      </c>
      <c r="K2" s="258"/>
      <c r="L2" s="259">
        <v>2016</v>
      </c>
      <c r="M2" s="259">
        <v>2017</v>
      </c>
      <c r="N2" s="259">
        <v>2018</v>
      </c>
      <c r="O2" s="259">
        <v>2019</v>
      </c>
      <c r="P2" s="259">
        <v>2020</v>
      </c>
      <c r="Q2" s="259">
        <v>2021</v>
      </c>
      <c r="R2" s="225" t="s">
        <v>1563</v>
      </c>
    </row>
    <row r="3" spans="1:18" s="77" customFormat="1" ht="30" customHeight="1">
      <c r="A3" s="1002" t="s">
        <v>53</v>
      </c>
      <c r="B3" s="1008" t="s">
        <v>1817</v>
      </c>
      <c r="C3" s="1008"/>
      <c r="D3" s="1008"/>
      <c r="E3" s="1008"/>
      <c r="F3" s="576"/>
      <c r="G3" s="611"/>
      <c r="H3" s="611"/>
      <c r="I3" s="611"/>
      <c r="J3" s="109"/>
      <c r="K3" s="109"/>
      <c r="L3" s="109"/>
      <c r="M3" s="109"/>
      <c r="N3" s="109"/>
      <c r="O3" s="590"/>
      <c r="P3" s="590"/>
      <c r="Q3" s="590"/>
      <c r="R3" s="251"/>
    </row>
    <row r="4" spans="1:18" s="77" customFormat="1" ht="15.95" customHeight="1">
      <c r="A4" s="1003"/>
      <c r="B4" s="58" t="s">
        <v>52</v>
      </c>
      <c r="C4" s="106">
        <v>260</v>
      </c>
      <c r="D4" s="434">
        <v>64.026501473039502</v>
      </c>
      <c r="E4" s="434">
        <v>1.3709999620914499</v>
      </c>
      <c r="F4" s="434">
        <v>7.3199999999999807</v>
      </c>
      <c r="G4" s="434">
        <v>1.0720000000000001</v>
      </c>
      <c r="H4" s="434">
        <v>0.9</v>
      </c>
      <c r="I4" s="434">
        <f>VLOOKUP(C4, '2021_Internal_ModelLink'!$A$3:$Z$1000, 14, 0)</f>
        <v>2.96999992132187</v>
      </c>
      <c r="J4" s="89"/>
      <c r="K4" s="108"/>
      <c r="L4" s="108"/>
      <c r="M4" s="108"/>
      <c r="N4" s="108"/>
      <c r="O4" s="108"/>
      <c r="P4" s="108"/>
      <c r="Q4" s="108"/>
      <c r="R4" s="247"/>
    </row>
    <row r="5" spans="1:18" s="77" customFormat="1" ht="15.95" customHeight="1">
      <c r="A5" s="1003"/>
      <c r="B5" s="58" t="s">
        <v>55</v>
      </c>
      <c r="C5" s="106">
        <v>261</v>
      </c>
      <c r="D5" s="434">
        <v>41.617227531689799</v>
      </c>
      <c r="E5" s="434">
        <v>1.3161600005851699</v>
      </c>
      <c r="F5" s="434">
        <v>5.489999912738786</v>
      </c>
      <c r="G5" s="434">
        <v>1.02912002811432</v>
      </c>
      <c r="H5" s="434">
        <v>0.58500002145767205</v>
      </c>
      <c r="I5" s="434">
        <f>VLOOKUP(C5, '2021_Internal_ModelLink'!$A$3:$Z$1000, 14, 0)</f>
        <v>1.9305000196695301</v>
      </c>
      <c r="J5" s="89"/>
      <c r="K5" s="108"/>
      <c r="L5" s="108"/>
      <c r="M5" s="108"/>
      <c r="N5" s="108"/>
      <c r="O5" s="108"/>
      <c r="P5" s="108"/>
      <c r="Q5" s="108"/>
      <c r="R5" s="247"/>
    </row>
    <row r="6" spans="1:18" s="77" customFormat="1" ht="15.95" customHeight="1">
      <c r="A6" s="1003"/>
      <c r="B6" s="58" t="s">
        <v>56</v>
      </c>
      <c r="C6" s="106">
        <v>262</v>
      </c>
      <c r="D6" s="434">
        <v>312333.68990855297</v>
      </c>
      <c r="E6" s="434">
        <v>33246.484862297773</v>
      </c>
      <c r="F6" s="434">
        <v>13598.999999999964</v>
      </c>
      <c r="G6" s="434">
        <v>159660.47617571798</v>
      </c>
      <c r="H6" s="434">
        <v>9260.58</v>
      </c>
      <c r="I6" s="434">
        <f>VLOOKUP(C6, '2021_Internal_ModelLink'!$A$3:$Z$1000, 14, 0)</f>
        <v>12751.4696622014</v>
      </c>
      <c r="J6" s="89"/>
      <c r="K6" s="108"/>
      <c r="L6" s="108"/>
      <c r="M6" s="108"/>
      <c r="N6" s="108"/>
      <c r="O6" s="108"/>
      <c r="P6" s="108"/>
      <c r="Q6" s="108"/>
      <c r="R6" s="247"/>
    </row>
    <row r="7" spans="1:18" s="77" customFormat="1" ht="15.95" customHeight="1">
      <c r="A7" s="1003"/>
      <c r="B7" s="58" t="s">
        <v>57</v>
      </c>
      <c r="C7" s="106">
        <v>263</v>
      </c>
      <c r="D7" s="434">
        <v>204017.36924985301</v>
      </c>
      <c r="E7" s="434">
        <v>24144.809678673868</v>
      </c>
      <c r="F7" s="434">
        <v>10199.249837887273</v>
      </c>
      <c r="G7" s="434">
        <v>105501.6334229674</v>
      </c>
      <c r="H7" s="434">
        <v>6239.1444112029094</v>
      </c>
      <c r="I7" s="434">
        <f>VLOOKUP(C7, '2021_Internal_ModelLink'!$A$3:$Z$1000, 14, 0)</f>
        <v>8288.4555844496408</v>
      </c>
      <c r="J7" s="89"/>
      <c r="K7" s="108"/>
      <c r="L7" s="108"/>
      <c r="M7" s="108"/>
      <c r="N7" s="108"/>
      <c r="O7" s="108"/>
      <c r="P7" s="108"/>
      <c r="Q7" s="108"/>
      <c r="R7" s="247"/>
    </row>
    <row r="8" spans="1:18" s="77" customFormat="1" ht="15.95" customHeight="1">
      <c r="A8" s="1003"/>
      <c r="B8" s="58" t="s">
        <v>58</v>
      </c>
      <c r="C8" s="106">
        <v>264</v>
      </c>
      <c r="D8" s="434">
        <v>118404.87186440801</v>
      </c>
      <c r="E8" s="434">
        <v>66514.941511273457</v>
      </c>
      <c r="F8" s="434">
        <v>0</v>
      </c>
      <c r="G8" s="434">
        <v>35025.523743103979</v>
      </c>
      <c r="H8" s="434">
        <v>17210.7</v>
      </c>
      <c r="I8" s="434">
        <f>VLOOKUP(C8, '2021_Internal_ModelLink'!$A$3:$Z$1000, 14, 0)</f>
        <v>0</v>
      </c>
      <c r="J8" s="89"/>
      <c r="K8" s="108"/>
      <c r="L8" s="108"/>
      <c r="M8" s="108"/>
      <c r="N8" s="108"/>
      <c r="O8" s="108"/>
      <c r="P8" s="108"/>
      <c r="Q8" s="108"/>
      <c r="R8" s="247"/>
    </row>
    <row r="9" spans="1:18" s="77" customFormat="1" ht="15.95" customHeight="1">
      <c r="A9" s="1003"/>
      <c r="B9" s="58" t="s">
        <v>60</v>
      </c>
      <c r="C9" s="106">
        <v>265</v>
      </c>
      <c r="D9" s="434">
        <v>77582.157315912904</v>
      </c>
      <c r="E9" s="434">
        <v>45224.473159542111</v>
      </c>
      <c r="F9" s="434">
        <v>0</v>
      </c>
      <c r="G9" s="434">
        <v>23522.461983011202</v>
      </c>
      <c r="H9" s="434">
        <v>11703.275917933001</v>
      </c>
      <c r="I9" s="434">
        <f>VLOOKUP(C9, '2021_Internal_ModelLink'!$A$3:$Z$1000, 14, 0)</f>
        <v>0</v>
      </c>
      <c r="J9" s="89"/>
      <c r="K9" s="108"/>
      <c r="L9" s="108"/>
      <c r="M9" s="108"/>
      <c r="N9" s="108"/>
      <c r="O9" s="108"/>
      <c r="P9" s="108"/>
      <c r="Q9" s="108"/>
      <c r="R9" s="247"/>
    </row>
    <row r="10" spans="1:18" s="77" customFormat="1" ht="15.95" customHeight="1">
      <c r="A10" s="1003"/>
      <c r="B10" s="58" t="s">
        <v>61</v>
      </c>
      <c r="C10" s="106">
        <v>266</v>
      </c>
      <c r="D10" s="434">
        <v>707.90726606825797</v>
      </c>
      <c r="E10" s="434">
        <v>12.8873991206646</v>
      </c>
      <c r="F10" s="434">
        <v>73.199999999999804</v>
      </c>
      <c r="G10" s="434">
        <v>12.864000000000001</v>
      </c>
      <c r="H10" s="434">
        <v>9</v>
      </c>
      <c r="I10" s="434">
        <f>VLOOKUP(C10, '2021_Internal_ModelLink'!$A$3:$Z$1000, 14, 0)</f>
        <v>8.9099997639655992</v>
      </c>
      <c r="J10" s="89"/>
      <c r="K10" s="108"/>
      <c r="L10" s="108"/>
      <c r="M10" s="108"/>
      <c r="N10" s="108"/>
      <c r="O10" s="108"/>
      <c r="P10" s="108"/>
      <c r="Q10" s="108"/>
      <c r="R10" s="247"/>
    </row>
    <row r="11" spans="1:18" s="77" customFormat="1" ht="15.95" customHeight="1">
      <c r="A11" s="1003"/>
      <c r="B11" s="58" t="s">
        <v>62</v>
      </c>
      <c r="C11" s="106">
        <v>267</v>
      </c>
      <c r="D11" s="434">
        <v>460.13974034962399</v>
      </c>
      <c r="E11" s="434">
        <v>12.371903503425401</v>
      </c>
      <c r="F11" s="434">
        <v>54.899999127387851</v>
      </c>
      <c r="G11" s="434">
        <v>12.349440337371799</v>
      </c>
      <c r="H11" s="434">
        <v>5.8500002145767196</v>
      </c>
      <c r="I11" s="434">
        <f>VLOOKUP(C11, '2021_Internal_ModelLink'!$A$3:$Z$1000, 14, 0)</f>
        <v>5.7915000590085901</v>
      </c>
      <c r="J11" s="89"/>
      <c r="K11" s="108"/>
      <c r="L11" s="108"/>
      <c r="M11" s="108"/>
      <c r="N11" s="108"/>
      <c r="O11" s="108"/>
      <c r="P11" s="108"/>
      <c r="Q11" s="108"/>
      <c r="R11" s="247"/>
    </row>
    <row r="12" spans="1:18" s="77" customFormat="1" ht="15.95" customHeight="1">
      <c r="A12" s="1003"/>
      <c r="B12" s="58" t="s">
        <v>63</v>
      </c>
      <c r="C12" s="106">
        <v>268</v>
      </c>
      <c r="D12" s="434">
        <v>3201579.9480787599</v>
      </c>
      <c r="E12" s="434">
        <v>98792.021732779656</v>
      </c>
      <c r="F12" s="434">
        <v>135989.99999999965</v>
      </c>
      <c r="G12" s="434">
        <v>2314097.0415604399</v>
      </c>
      <c r="H12" s="434">
        <v>55977.9</v>
      </c>
      <c r="I12" s="434">
        <f>VLOOKUP(C12, '2021_Internal_ModelLink'!$A$3:$Z$1000, 14, 0)</f>
        <v>38254.408986604198</v>
      </c>
      <c r="J12" s="89"/>
      <c r="K12" s="108"/>
      <c r="L12" s="108"/>
      <c r="M12" s="108"/>
      <c r="N12" s="108"/>
      <c r="O12" s="108"/>
      <c r="P12" s="108"/>
      <c r="Q12" s="108"/>
      <c r="R12" s="247"/>
    </row>
    <row r="13" spans="1:18" s="77" customFormat="1" ht="15.95" customHeight="1">
      <c r="A13" s="1003"/>
      <c r="B13" s="58" t="s">
        <v>64</v>
      </c>
      <c r="C13" s="106">
        <v>269</v>
      </c>
      <c r="D13" s="434">
        <v>2086029.36061803</v>
      </c>
      <c r="E13" s="434">
        <v>81628.25479150434</v>
      </c>
      <c r="F13" s="434">
        <v>101992.49837887273</v>
      </c>
      <c r="G13" s="434">
        <v>1522565.7727726984</v>
      </c>
      <c r="H13" s="434">
        <v>37484.472286684599</v>
      </c>
      <c r="I13" s="434">
        <f>VLOOKUP(C13, '2021_Internal_ModelLink'!$A$3:$Z$1000, 14, 0)</f>
        <v>24865.366753348899</v>
      </c>
      <c r="J13" s="89"/>
      <c r="K13" s="108"/>
      <c r="L13" s="108"/>
      <c r="M13" s="108"/>
      <c r="N13" s="108"/>
      <c r="O13" s="108"/>
      <c r="P13" s="108"/>
      <c r="Q13" s="108"/>
      <c r="R13" s="247"/>
    </row>
    <row r="14" spans="1:18" s="77" customFormat="1" ht="15.95" customHeight="1">
      <c r="A14" s="1003"/>
      <c r="B14" s="58" t="s">
        <v>65</v>
      </c>
      <c r="C14" s="106">
        <v>270</v>
      </c>
      <c r="D14" s="435">
        <v>586854.62541833404</v>
      </c>
      <c r="E14" s="435">
        <v>112919.01675275473</v>
      </c>
      <c r="F14" s="435">
        <v>0</v>
      </c>
      <c r="G14" s="435">
        <v>223515.88543103979</v>
      </c>
      <c r="H14" s="435">
        <v>86053.5</v>
      </c>
      <c r="I14" s="434">
        <f>VLOOKUP(C14, '2021_Internal_ModelLink'!$A$3:$Z$1000, 14, 0)</f>
        <v>0</v>
      </c>
      <c r="J14" s="108"/>
      <c r="K14" s="257"/>
      <c r="L14" s="257"/>
      <c r="M14" s="257"/>
      <c r="N14" s="257"/>
      <c r="O14" s="257"/>
      <c r="P14" s="257"/>
      <c r="Q14" s="257"/>
      <c r="R14" s="288"/>
    </row>
    <row r="15" spans="1:18" s="77" customFormat="1" ht="15.95" customHeight="1">
      <c r="A15" s="1003"/>
      <c r="B15" s="58" t="s">
        <v>66</v>
      </c>
      <c r="C15" s="106">
        <v>271</v>
      </c>
      <c r="D15" s="435">
        <v>384550.45941504597</v>
      </c>
      <c r="E15" s="435">
        <v>76731.475014908487</v>
      </c>
      <c r="F15" s="435">
        <v>0</v>
      </c>
      <c r="G15" s="435">
        <v>149033.92251357349</v>
      </c>
      <c r="H15" s="435">
        <v>58516.379589664903</v>
      </c>
      <c r="I15" s="434">
        <f>VLOOKUP(C15, '2021_Internal_ModelLink'!$A$3:$Z$1000, 14, 0)</f>
        <v>0</v>
      </c>
      <c r="J15" s="108"/>
      <c r="K15" s="108"/>
      <c r="L15" s="108"/>
      <c r="M15" s="108"/>
      <c r="N15" s="108"/>
      <c r="O15" s="108"/>
      <c r="P15" s="108"/>
      <c r="Q15" s="108"/>
      <c r="R15" s="247"/>
    </row>
    <row r="16" spans="1:18" s="77" customFormat="1" ht="15.95" customHeight="1">
      <c r="A16" s="1003"/>
      <c r="B16" s="89"/>
      <c r="C16" s="106"/>
      <c r="D16" s="112"/>
      <c r="E16" s="112"/>
      <c r="F16" s="112"/>
      <c r="G16" s="112"/>
      <c r="H16" s="112"/>
      <c r="I16" s="112"/>
      <c r="J16" s="108"/>
      <c r="K16" s="89"/>
      <c r="L16" s="89"/>
      <c r="M16" s="89"/>
      <c r="N16" s="89"/>
      <c r="O16" s="89"/>
      <c r="P16" s="89"/>
      <c r="Q16" s="89"/>
      <c r="R16" s="247"/>
    </row>
    <row r="17" spans="1:30" s="77" customFormat="1" ht="15.95" customHeight="1">
      <c r="A17" s="1004"/>
      <c r="B17" s="86"/>
      <c r="C17" s="48"/>
      <c r="D17" s="294"/>
      <c r="E17" s="294"/>
      <c r="F17" s="294"/>
      <c r="G17" s="294"/>
      <c r="H17" s="294"/>
      <c r="I17" s="294"/>
      <c r="J17" s="255"/>
      <c r="K17" s="86"/>
      <c r="L17" s="86"/>
      <c r="M17" s="86"/>
      <c r="N17" s="86"/>
      <c r="O17" s="86"/>
      <c r="P17" s="86"/>
      <c r="Q17" s="86"/>
      <c r="R17" s="248"/>
    </row>
    <row r="18" spans="1:30" s="77" customFormat="1" ht="15.95" customHeight="1">
      <c r="A18" s="87"/>
      <c r="J18" s="84"/>
      <c r="R18" s="130"/>
    </row>
    <row r="19" spans="1:30" s="77" customFormat="1" ht="15.95" customHeight="1">
      <c r="A19" s="1005" t="s">
        <v>44</v>
      </c>
      <c r="B19" s="893" t="s">
        <v>1865</v>
      </c>
      <c r="C19" s="893"/>
      <c r="D19" s="893"/>
      <c r="E19" s="893"/>
      <c r="F19" s="562"/>
      <c r="G19" s="612"/>
      <c r="H19" s="612"/>
      <c r="I19" s="612"/>
      <c r="J19" s="109"/>
      <c r="K19" s="109"/>
      <c r="L19" s="109"/>
      <c r="M19" s="109"/>
      <c r="N19" s="109"/>
      <c r="O19" s="590"/>
      <c r="P19" s="590"/>
      <c r="Q19" s="590"/>
      <c r="R19" s="945"/>
    </row>
    <row r="20" spans="1:30" s="77" customFormat="1" ht="15.95" customHeight="1">
      <c r="A20" s="1006"/>
      <c r="B20" s="513" t="s">
        <v>46</v>
      </c>
      <c r="C20" s="48">
        <v>272</v>
      </c>
      <c r="D20" s="117">
        <f t="shared" ref="D20:H20" si="0">(D7*0.000707) + (D9*0.0053)</f>
        <v>555.42571383398445</v>
      </c>
      <c r="E20" s="117">
        <f t="shared" si="0"/>
        <v>256.76008818839563</v>
      </c>
      <c r="F20" s="117">
        <f t="shared" si="0"/>
        <v>7.2108696353863015</v>
      </c>
      <c r="G20" s="117">
        <f t="shared" si="0"/>
        <v>199.25870333999731</v>
      </c>
      <c r="H20" s="117">
        <f t="shared" si="0"/>
        <v>66.438437463765354</v>
      </c>
      <c r="I20" s="117">
        <f>VLOOKUP(C20, '2021_Internal_ModelLink'!$A$3:$Z$1000, 14, 0)</f>
        <v>1.8062420433562247</v>
      </c>
      <c r="J20" s="255"/>
      <c r="K20" s="294"/>
      <c r="L20" s="294"/>
      <c r="M20" s="86"/>
      <c r="N20" s="86"/>
      <c r="O20" s="86"/>
      <c r="P20" s="86"/>
      <c r="Q20" s="86"/>
      <c r="R20" s="919"/>
    </row>
    <row r="21" spans="1:30" s="77" customFormat="1" ht="15.95" customHeight="1">
      <c r="A21" s="92"/>
      <c r="R21" s="203"/>
    </row>
    <row r="22" spans="1:30" s="77" customFormat="1" ht="30" customHeight="1">
      <c r="A22" s="1002" t="s">
        <v>1652</v>
      </c>
      <c r="B22" s="1009" t="s">
        <v>1818</v>
      </c>
      <c r="C22" s="1009"/>
      <c r="D22" s="1009"/>
      <c r="E22" s="1009"/>
      <c r="F22" s="577"/>
      <c r="G22" s="628"/>
      <c r="H22" s="628"/>
      <c r="I22" s="628"/>
      <c r="J22" s="103"/>
      <c r="K22" s="109"/>
      <c r="L22" s="109"/>
      <c r="M22" s="109"/>
      <c r="N22" s="109"/>
      <c r="O22" s="590"/>
      <c r="P22" s="590"/>
      <c r="Q22" s="590"/>
      <c r="R22" s="251"/>
    </row>
    <row r="23" spans="1:30" s="77" customFormat="1" ht="15.95" customHeight="1">
      <c r="A23" s="1003"/>
      <c r="B23" s="1007" t="s">
        <v>1819</v>
      </c>
      <c r="C23" s="852">
        <v>273</v>
      </c>
      <c r="D23" s="999">
        <f>L23/L24</f>
        <v>0.12121212121212122</v>
      </c>
      <c r="E23" s="999">
        <f>M23/M24</f>
        <v>3.0303030303030304E-2</v>
      </c>
      <c r="F23" s="999">
        <f t="shared" ref="F23:I23" si="1">N23/N24</f>
        <v>3.4482758620689655E-2</v>
      </c>
      <c r="G23" s="999">
        <f t="shared" si="1"/>
        <v>0</v>
      </c>
      <c r="H23" s="999">
        <f t="shared" si="1"/>
        <v>0</v>
      </c>
      <c r="I23" s="999">
        <f t="shared" si="1"/>
        <v>1.2500000000000001E-2</v>
      </c>
      <c r="J23" s="297" t="s">
        <v>1367</v>
      </c>
      <c r="K23" s="275" t="s">
        <v>1820</v>
      </c>
      <c r="L23" s="265">
        <v>4</v>
      </c>
      <c r="M23" s="265">
        <v>1</v>
      </c>
      <c r="N23" s="265">
        <v>1</v>
      </c>
      <c r="O23" s="265">
        <v>0</v>
      </c>
      <c r="P23" s="265">
        <v>0</v>
      </c>
      <c r="Q23" s="265">
        <f>VLOOKUP(C23, '2021_Internal_ModelLink'!$A$3:$Z$1000, 15, 0)</f>
        <v>1</v>
      </c>
      <c r="R23" s="290"/>
    </row>
    <row r="24" spans="1:30" s="77" customFormat="1" ht="15.95" customHeight="1">
      <c r="A24" s="1003"/>
      <c r="B24" s="1007"/>
      <c r="C24" s="852"/>
      <c r="D24" s="999"/>
      <c r="E24" s="999"/>
      <c r="F24" s="999"/>
      <c r="G24" s="999"/>
      <c r="H24" s="999"/>
      <c r="I24" s="999"/>
      <c r="J24" s="297" t="s">
        <v>1368</v>
      </c>
      <c r="K24" s="194" t="s">
        <v>1821</v>
      </c>
      <c r="L24" s="266">
        <v>33</v>
      </c>
      <c r="M24" s="266">
        <v>33</v>
      </c>
      <c r="N24" s="266">
        <v>29</v>
      </c>
      <c r="O24" s="266">
        <v>24</v>
      </c>
      <c r="P24" s="266">
        <v>13</v>
      </c>
      <c r="Q24" s="266">
        <f>VLOOKUP(C23, '2021_Internal_ModelLink'!$A$3:$Z$1000, 16, 0)</f>
        <v>80</v>
      </c>
      <c r="R24" s="290"/>
    </row>
    <row r="25" spans="1:30" s="77" customFormat="1" ht="15.95" customHeight="1">
      <c r="A25" s="1003"/>
      <c r="B25" s="324"/>
      <c r="C25" s="573"/>
      <c r="D25" s="323"/>
      <c r="E25" s="323"/>
      <c r="F25" s="323"/>
      <c r="G25" s="323"/>
      <c r="H25" s="323"/>
      <c r="I25" s="323"/>
      <c r="J25" s="261"/>
      <c r="K25" s="205"/>
      <c r="L25" s="107"/>
      <c r="M25" s="107"/>
      <c r="N25" s="107"/>
      <c r="O25" s="107"/>
      <c r="P25" s="107"/>
      <c r="Q25" s="107"/>
      <c r="R25" s="290"/>
    </row>
    <row r="26" spans="1:30" s="77" customFormat="1" ht="15.95" customHeight="1">
      <c r="A26" s="1003"/>
      <c r="B26" s="1007" t="s">
        <v>1822</v>
      </c>
      <c r="C26" s="852">
        <v>274</v>
      </c>
      <c r="D26" s="1000">
        <f>L26/L27</f>
        <v>2.7027027027027029E-2</v>
      </c>
      <c r="E26" s="1000">
        <f>M26/M27</f>
        <v>4.4910179640718561E-3</v>
      </c>
      <c r="F26" s="1000">
        <f t="shared" ref="F26:I26" si="2">N26/N27</f>
        <v>6.024096385542169E-3</v>
      </c>
      <c r="G26" s="1000">
        <f t="shared" si="2"/>
        <v>4.9019607843137254E-3</v>
      </c>
      <c r="H26" s="1000">
        <f t="shared" si="2"/>
        <v>7.0175438596491229E-3</v>
      </c>
      <c r="I26" s="1000">
        <f t="shared" si="2"/>
        <v>0</v>
      </c>
      <c r="J26" s="297" t="s">
        <v>1369</v>
      </c>
      <c r="K26" s="275" t="s">
        <v>1823</v>
      </c>
      <c r="L26" s="265">
        <v>18</v>
      </c>
      <c r="M26" s="265">
        <v>3</v>
      </c>
      <c r="N26" s="265">
        <v>4</v>
      </c>
      <c r="O26" s="265">
        <v>3</v>
      </c>
      <c r="P26" s="265">
        <v>2</v>
      </c>
      <c r="Q26" s="265">
        <f>VLOOKUP(C26, '2021_Internal_ModelLink'!$A$3:$Z$1000, 15, 0)</f>
        <v>0</v>
      </c>
      <c r="R26" s="288"/>
    </row>
    <row r="27" spans="1:30" s="77" customFormat="1" ht="15.95" customHeight="1">
      <c r="A27" s="1003"/>
      <c r="B27" s="1007"/>
      <c r="C27" s="852"/>
      <c r="D27" s="1000"/>
      <c r="E27" s="1000"/>
      <c r="F27" s="1000"/>
      <c r="G27" s="1000"/>
      <c r="H27" s="1000"/>
      <c r="I27" s="1000"/>
      <c r="J27" s="297" t="s">
        <v>1370</v>
      </c>
      <c r="K27" s="330" t="s">
        <v>1824</v>
      </c>
      <c r="L27" s="266">
        <v>666</v>
      </c>
      <c r="M27" s="266">
        <v>668</v>
      </c>
      <c r="N27" s="266">
        <v>664</v>
      </c>
      <c r="O27" s="266">
        <v>612</v>
      </c>
      <c r="P27" s="266">
        <v>285</v>
      </c>
      <c r="Q27" s="266">
        <f>VLOOKUP(C26, '2021_Internal_ModelLink'!$A$3:$Z$1000, 16, 0)</f>
        <v>796</v>
      </c>
      <c r="R27" s="288"/>
    </row>
    <row r="28" spans="1:30" s="77" customFormat="1" ht="15.95" customHeight="1">
      <c r="A28" s="1003"/>
      <c r="B28" s="574"/>
      <c r="C28" s="574"/>
      <c r="D28" s="164"/>
      <c r="E28" s="164"/>
      <c r="F28" s="164"/>
      <c r="G28" s="164"/>
      <c r="H28" s="164"/>
      <c r="I28" s="164"/>
      <c r="J28" s="137"/>
      <c r="K28" s="108"/>
      <c r="L28" s="218"/>
      <c r="M28" s="218"/>
      <c r="N28" s="218"/>
      <c r="O28" s="218"/>
      <c r="P28" s="218"/>
      <c r="Q28" s="218"/>
      <c r="R28" s="288"/>
    </row>
    <row r="29" spans="1:30" s="77" customFormat="1" ht="15.95" customHeight="1">
      <c r="A29" s="1003"/>
      <c r="B29" s="1007" t="s">
        <v>1825</v>
      </c>
      <c r="C29" s="852">
        <v>275</v>
      </c>
      <c r="D29" s="999">
        <f>L29/L30</f>
        <v>2.2650056625141564E-3</v>
      </c>
      <c r="E29" s="999">
        <f>M29/M30</f>
        <v>1.128668171557562E-3</v>
      </c>
      <c r="F29" s="999">
        <f t="shared" ref="F29:I29" si="3">N29/N30</f>
        <v>0</v>
      </c>
      <c r="G29" s="999">
        <f t="shared" si="3"/>
        <v>1.2432656444260257E-3</v>
      </c>
      <c r="H29" s="999">
        <f t="shared" si="3"/>
        <v>4.2789901583226359E-4</v>
      </c>
      <c r="I29" s="999">
        <f t="shared" si="3"/>
        <v>0</v>
      </c>
      <c r="J29" s="297" t="s">
        <v>1371</v>
      </c>
      <c r="K29" s="275" t="s">
        <v>1826</v>
      </c>
      <c r="L29" s="265">
        <v>6</v>
      </c>
      <c r="M29" s="265">
        <v>3</v>
      </c>
      <c r="N29" s="265">
        <v>0</v>
      </c>
      <c r="O29" s="265">
        <v>3</v>
      </c>
      <c r="P29" s="265">
        <v>1</v>
      </c>
      <c r="Q29" s="265">
        <f>VLOOKUP(C29, '2021_Internal_ModelLink'!$A$3:$Z$1000, 15, 0)</f>
        <v>0</v>
      </c>
      <c r="R29" s="288"/>
    </row>
    <row r="30" spans="1:30" s="77" customFormat="1" ht="15.95" customHeight="1">
      <c r="A30" s="1004"/>
      <c r="B30" s="947"/>
      <c r="C30" s="866"/>
      <c r="D30" s="1001"/>
      <c r="E30" s="1001"/>
      <c r="F30" s="1001"/>
      <c r="G30" s="1001"/>
      <c r="H30" s="1001"/>
      <c r="I30" s="1001"/>
      <c r="J30" s="298" t="s">
        <v>1372</v>
      </c>
      <c r="K30" s="331" t="s">
        <v>1827</v>
      </c>
      <c r="L30" s="139">
        <v>2649</v>
      </c>
      <c r="M30" s="139">
        <v>2658</v>
      </c>
      <c r="N30" s="139">
        <v>2645</v>
      </c>
      <c r="O30" s="139">
        <v>2413</v>
      </c>
      <c r="P30" s="139">
        <v>2337</v>
      </c>
      <c r="Q30" s="139">
        <f>VLOOKUP(C29, '2021_Internal_ModelLink'!$A$3:$Z$1000, 16, 0)</f>
        <v>2460</v>
      </c>
      <c r="R30" s="232"/>
    </row>
    <row r="31" spans="1:30" s="77" customFormat="1" ht="15.95" customHeight="1">
      <c r="A31" s="87"/>
      <c r="D31" s="102"/>
      <c r="E31" s="102"/>
      <c r="F31" s="102"/>
      <c r="G31" s="102"/>
      <c r="H31" s="102"/>
      <c r="I31" s="102"/>
      <c r="R31" s="130"/>
    </row>
    <row r="32" spans="1:30" s="405" customFormat="1" ht="30" customHeight="1">
      <c r="A32" s="856" t="s">
        <v>1748</v>
      </c>
      <c r="B32" s="170" t="s">
        <v>1569</v>
      </c>
      <c r="C32" s="170"/>
      <c r="D32" s="170"/>
      <c r="E32" s="170"/>
      <c r="F32" s="381"/>
      <c r="G32" s="594"/>
      <c r="H32" s="594"/>
      <c r="I32" s="594"/>
      <c r="J32" s="114"/>
      <c r="K32" s="114"/>
      <c r="L32" s="122"/>
      <c r="M32" s="378"/>
      <c r="N32" s="378"/>
      <c r="O32" s="596"/>
      <c r="P32" s="596"/>
      <c r="Q32" s="596"/>
      <c r="R32" s="229"/>
      <c r="S32" s="43"/>
      <c r="T32" s="453"/>
      <c r="U32" s="44"/>
      <c r="V32" s="44"/>
      <c r="W32" s="44"/>
      <c r="X32" s="44"/>
      <c r="Y32" s="44"/>
      <c r="Z32" s="44"/>
      <c r="AA32" s="44"/>
      <c r="AB32" s="44"/>
      <c r="AC32" s="44"/>
      <c r="AD32" s="44"/>
    </row>
    <row r="33" spans="1:30" s="405" customFormat="1" ht="18.75" customHeight="1">
      <c r="A33" s="857"/>
      <c r="B33" s="850" t="s">
        <v>1571</v>
      </c>
      <c r="C33" s="852">
        <v>276</v>
      </c>
      <c r="D33" s="849">
        <f t="shared" ref="D33:I33" si="4">L33/L34</f>
        <v>557.7382705950638</v>
      </c>
      <c r="E33" s="849">
        <f t="shared" si="4"/>
        <v>2178.6779948029844</v>
      </c>
      <c r="F33" s="849">
        <f t="shared" si="4"/>
        <v>3080.0977961489493</v>
      </c>
      <c r="G33" s="849">
        <f t="shared" si="4"/>
        <v>15387.456834716677</v>
      </c>
      <c r="H33" s="849">
        <f t="shared" si="4"/>
        <v>3281.7059405459745</v>
      </c>
      <c r="I33" s="849">
        <f t="shared" si="4"/>
        <v>14177.448866483524</v>
      </c>
      <c r="J33" s="242" t="s">
        <v>1373</v>
      </c>
      <c r="K33" s="235" t="s">
        <v>1572</v>
      </c>
      <c r="L33" s="212">
        <v>256637.543014661</v>
      </c>
      <c r="M33" s="634">
        <v>26954.393916738871</v>
      </c>
      <c r="N33" s="634">
        <v>169097.36632084701</v>
      </c>
      <c r="O33" s="634">
        <v>190026.48012421752</v>
      </c>
      <c r="P33" s="634">
        <v>19690.235643275846</v>
      </c>
      <c r="Q33" s="634">
        <f>VLOOKUP(C33, '2021_Internal_ModelLink'!$A$3:$Z$1000, 15, 0)</f>
        <v>82108.695946830601</v>
      </c>
      <c r="R33" s="853"/>
      <c r="S33" s="424"/>
      <c r="T33" s="453"/>
      <c r="U33" s="44"/>
      <c r="V33" s="44"/>
      <c r="W33" s="44"/>
      <c r="X33" s="44"/>
      <c r="Y33" s="44"/>
      <c r="Z33" s="44"/>
      <c r="AA33" s="44"/>
      <c r="AB33" s="44"/>
      <c r="AC33" s="44"/>
      <c r="AD33" s="44"/>
    </row>
    <row r="34" spans="1:30" s="405" customFormat="1" ht="18.75" customHeight="1">
      <c r="A34" s="857"/>
      <c r="B34" s="851"/>
      <c r="C34" s="852"/>
      <c r="D34" s="849"/>
      <c r="E34" s="849"/>
      <c r="F34" s="849"/>
      <c r="G34" s="849"/>
      <c r="H34" s="849"/>
      <c r="I34" s="849"/>
      <c r="J34" s="242" t="s">
        <v>1374</v>
      </c>
      <c r="K34" s="295" t="s">
        <v>1573</v>
      </c>
      <c r="L34" s="206">
        <v>460.13974034962399</v>
      </c>
      <c r="M34" s="635">
        <v>12.371903503425401</v>
      </c>
      <c r="N34" s="635">
        <v>54.899999127388</v>
      </c>
      <c r="O34" s="635">
        <v>12.349440337371799</v>
      </c>
      <c r="P34" s="635">
        <v>6</v>
      </c>
      <c r="Q34" s="635">
        <f>VLOOKUP(C33, '2021_Internal_ModelLink'!$A$3:$Z$1000, 16, 0)</f>
        <v>5.7915000590085901</v>
      </c>
      <c r="R34" s="853"/>
      <c r="S34" s="424"/>
      <c r="T34" s="453"/>
      <c r="U34" s="44"/>
      <c r="V34" s="44"/>
      <c r="W34" s="44"/>
      <c r="X34" s="44"/>
      <c r="Y34" s="44"/>
      <c r="Z34" s="44"/>
      <c r="AA34" s="44"/>
      <c r="AB34" s="44"/>
      <c r="AC34" s="44"/>
      <c r="AD34" s="44"/>
    </row>
    <row r="35" spans="1:30" s="405" customFormat="1" ht="18.75" customHeight="1">
      <c r="A35" s="857"/>
      <c r="B35" s="58"/>
      <c r="C35" s="573"/>
      <c r="D35" s="207"/>
      <c r="E35" s="207"/>
      <c r="F35" s="380"/>
      <c r="G35" s="380"/>
      <c r="H35" s="380"/>
      <c r="I35" s="380"/>
      <c r="J35" s="263"/>
      <c r="K35" s="58"/>
      <c r="L35" s="125"/>
      <c r="M35" s="632"/>
      <c r="N35" s="459"/>
      <c r="O35" s="459"/>
      <c r="P35" s="459"/>
      <c r="Q35" s="459"/>
      <c r="R35" s="568"/>
      <c r="S35" s="424"/>
      <c r="T35" s="453"/>
      <c r="U35" s="44"/>
      <c r="V35" s="44"/>
      <c r="W35" s="44"/>
      <c r="X35" s="44"/>
      <c r="Y35" s="44"/>
      <c r="Z35" s="44"/>
      <c r="AA35" s="44"/>
      <c r="AB35" s="44"/>
      <c r="AC35" s="44"/>
      <c r="AD35" s="44"/>
    </row>
    <row r="36" spans="1:30" s="405" customFormat="1" ht="18.75" customHeight="1">
      <c r="A36" s="857"/>
      <c r="B36" s="850" t="s">
        <v>1574</v>
      </c>
      <c r="C36" s="852">
        <v>277</v>
      </c>
      <c r="D36" s="849">
        <f>L36/L37</f>
        <v>0.12302681249827986</v>
      </c>
      <c r="E36" s="849">
        <f>M36/M37</f>
        <v>0.33020911675235559</v>
      </c>
      <c r="F36" s="849">
        <f t="shared" ref="F36:I36" si="5">N36/N37</f>
        <v>1.6579392505191763</v>
      </c>
      <c r="G36" s="849">
        <f t="shared" si="5"/>
        <v>0.12480674629784042</v>
      </c>
      <c r="H36" s="849">
        <f t="shared" si="5"/>
        <v>0.52529079073738127</v>
      </c>
      <c r="I36" s="849">
        <f t="shared" si="5"/>
        <v>3.3021309020415757</v>
      </c>
      <c r="J36" s="242" t="s">
        <v>1375</v>
      </c>
      <c r="K36" s="235" t="s">
        <v>1572</v>
      </c>
      <c r="L36" s="212">
        <v>256637.543014661</v>
      </c>
      <c r="M36" s="634">
        <v>26954.393916738871</v>
      </c>
      <c r="N36" s="634">
        <f>N33</f>
        <v>169097.36632084701</v>
      </c>
      <c r="O36" s="634">
        <v>190026.48012421752</v>
      </c>
      <c r="P36" s="634">
        <v>19690</v>
      </c>
      <c r="Q36" s="634">
        <f>VLOOKUP(C36, '2021_Internal_ModelLink'!$A$3:$Z$1000, 15, 0)</f>
        <v>82108.695946830601</v>
      </c>
      <c r="R36" s="853"/>
      <c r="S36" s="424"/>
      <c r="T36" s="453"/>
      <c r="U36" s="44"/>
      <c r="V36" s="44"/>
      <c r="W36" s="44"/>
      <c r="X36" s="44"/>
      <c r="Y36" s="44"/>
      <c r="Z36" s="44"/>
      <c r="AA36" s="44"/>
      <c r="AB36" s="44"/>
      <c r="AC36" s="44"/>
      <c r="AD36" s="44"/>
    </row>
    <row r="37" spans="1:30" s="405" customFormat="1" ht="15" customHeight="1">
      <c r="A37" s="857"/>
      <c r="B37" s="851"/>
      <c r="C37" s="852"/>
      <c r="D37" s="849"/>
      <c r="E37" s="849"/>
      <c r="F37" s="849"/>
      <c r="G37" s="849"/>
      <c r="H37" s="849"/>
      <c r="I37" s="849"/>
      <c r="J37" s="242" t="s">
        <v>1376</v>
      </c>
      <c r="K37" s="295" t="s">
        <v>1575</v>
      </c>
      <c r="L37" s="206">
        <v>2086029.36061803</v>
      </c>
      <c r="M37" s="635">
        <v>81628.254791504296</v>
      </c>
      <c r="N37" s="635">
        <v>101992.498378873</v>
      </c>
      <c r="O37" s="635">
        <v>1522565.7727726984</v>
      </c>
      <c r="P37" s="635">
        <v>37484</v>
      </c>
      <c r="Q37" s="635">
        <f>VLOOKUP(C36, '2021_Internal_ModelLink'!$A$3:$Z$1000, 16, 0)</f>
        <v>24865.366753348899</v>
      </c>
      <c r="R37" s="853"/>
      <c r="S37" s="424"/>
      <c r="T37" s="453"/>
      <c r="U37" s="44"/>
      <c r="V37" s="44"/>
      <c r="W37" s="44"/>
      <c r="X37" s="44"/>
      <c r="Y37" s="44"/>
      <c r="Z37" s="44"/>
      <c r="AA37" s="44"/>
      <c r="AB37" s="44"/>
      <c r="AC37" s="44"/>
      <c r="AD37" s="44"/>
    </row>
    <row r="38" spans="1:30" s="44" customFormat="1" ht="15" customHeight="1">
      <c r="A38" s="943"/>
      <c r="B38" s="418"/>
      <c r="C38" s="573"/>
      <c r="D38" s="419"/>
      <c r="E38" s="419"/>
      <c r="F38" s="419"/>
      <c r="G38" s="419"/>
      <c r="H38" s="419"/>
      <c r="I38" s="419"/>
      <c r="J38" s="420"/>
      <c r="K38" s="421"/>
      <c r="L38" s="422"/>
      <c r="M38" s="422"/>
      <c r="N38" s="422"/>
      <c r="O38" s="422"/>
      <c r="P38" s="422"/>
      <c r="Q38" s="422"/>
      <c r="R38" s="559"/>
      <c r="S38" s="424"/>
      <c r="T38" s="453"/>
    </row>
    <row r="39" spans="1:30" s="405" customFormat="1" ht="15" customHeight="1">
      <c r="A39" s="943"/>
      <c r="B39" s="850" t="s">
        <v>1576</v>
      </c>
      <c r="C39" s="852">
        <v>278</v>
      </c>
      <c r="D39" s="849">
        <f>L39/L40</f>
        <v>0.95781217306466115</v>
      </c>
      <c r="E39" s="849">
        <f>M39/M40</f>
        <v>2.438699452172707</v>
      </c>
      <c r="F39" s="849">
        <f t="shared" ref="F39:H39" si="6">N39/N40</f>
        <v>0</v>
      </c>
      <c r="G39" s="849">
        <f t="shared" si="6"/>
        <v>1.7285575259055532</v>
      </c>
      <c r="H39" s="849">
        <f t="shared" si="6"/>
        <v>5.7328319341210303</v>
      </c>
      <c r="I39" s="849" t="str">
        <f>IFERROR(Q39/Q40,"N/A")</f>
        <v>N/A</v>
      </c>
      <c r="J39" s="242" t="s">
        <v>1377</v>
      </c>
      <c r="K39" s="235" t="s">
        <v>1572</v>
      </c>
      <c r="L39" s="212">
        <v>368327.11118533899</v>
      </c>
      <c r="M39" s="634">
        <v>187125.00608326111</v>
      </c>
      <c r="N39" s="634">
        <v>0</v>
      </c>
      <c r="O39" s="634">
        <v>257613.70837606251</v>
      </c>
      <c r="P39" s="634">
        <v>335464.569580779</v>
      </c>
      <c r="Q39" s="634">
        <f>VLOOKUP(C39, '2021_Internal_ModelLink'!$A$3:$Z$1000, 15, 0)</f>
        <v>0</v>
      </c>
      <c r="R39" s="560"/>
      <c r="S39" s="424"/>
      <c r="T39" s="453"/>
      <c r="U39" s="44"/>
      <c r="V39" s="44"/>
      <c r="W39" s="44"/>
      <c r="X39" s="44"/>
      <c r="Y39" s="44"/>
      <c r="Z39" s="44"/>
      <c r="AA39" s="44"/>
      <c r="AB39" s="44"/>
      <c r="AC39" s="44"/>
      <c r="AD39" s="44"/>
    </row>
    <row r="40" spans="1:30" s="405" customFormat="1" ht="15" customHeight="1">
      <c r="A40" s="944"/>
      <c r="B40" s="865"/>
      <c r="C40" s="866"/>
      <c r="D40" s="854"/>
      <c r="E40" s="854"/>
      <c r="F40" s="854"/>
      <c r="G40" s="854"/>
      <c r="H40" s="854"/>
      <c r="I40" s="854"/>
      <c r="J40" s="250" t="s">
        <v>1378</v>
      </c>
      <c r="K40" s="296" t="s">
        <v>1577</v>
      </c>
      <c r="L40" s="289">
        <v>384550.45941504597</v>
      </c>
      <c r="M40" s="638">
        <v>76731.475014908501</v>
      </c>
      <c r="N40" s="465">
        <v>1E-3</v>
      </c>
      <c r="O40" s="465">
        <v>149033.92251357349</v>
      </c>
      <c r="P40" s="465">
        <v>58516.379589664903</v>
      </c>
      <c r="Q40" s="465">
        <f>VLOOKUP(C39, '2021_Internal_ModelLink'!$A$3:$Z$1000, 16, 0)</f>
        <v>0</v>
      </c>
      <c r="R40" s="561"/>
      <c r="S40" s="424"/>
      <c r="T40" s="453"/>
      <c r="U40" s="44"/>
      <c r="V40" s="44"/>
      <c r="W40" s="44"/>
      <c r="X40" s="44"/>
      <c r="Y40" s="44"/>
      <c r="Z40" s="44"/>
      <c r="AA40" s="44"/>
      <c r="AB40" s="44"/>
      <c r="AC40" s="44"/>
      <c r="AD40" s="44"/>
    </row>
    <row r="41" spans="1:30" s="405" customFormat="1" ht="15.75">
      <c r="A41" s="49"/>
      <c r="B41" s="42"/>
      <c r="C41" s="45"/>
      <c r="R41" s="46"/>
      <c r="S41" s="43"/>
      <c r="T41" s="453"/>
      <c r="U41" s="44"/>
      <c r="V41" s="44"/>
      <c r="W41" s="44"/>
      <c r="X41" s="44"/>
      <c r="Y41" s="44"/>
      <c r="Z41" s="44"/>
      <c r="AA41" s="44"/>
      <c r="AB41" s="44"/>
      <c r="AC41" s="44"/>
      <c r="AD41" s="44"/>
    </row>
    <row r="42" spans="1:30" s="405" customFormat="1" ht="30" customHeight="1">
      <c r="A42" s="856" t="s">
        <v>1578</v>
      </c>
      <c r="B42" s="170" t="s">
        <v>1579</v>
      </c>
      <c r="C42" s="170"/>
      <c r="D42" s="170"/>
      <c r="E42" s="170"/>
      <c r="F42" s="381"/>
      <c r="G42" s="594"/>
      <c r="H42" s="594"/>
      <c r="I42" s="594"/>
      <c r="J42" s="114"/>
      <c r="K42" s="114"/>
      <c r="L42" s="122"/>
      <c r="M42" s="378"/>
      <c r="N42" s="378"/>
      <c r="O42" s="596"/>
      <c r="P42" s="596"/>
      <c r="Q42" s="596"/>
      <c r="R42" s="229"/>
      <c r="S42" s="43"/>
      <c r="T42" s="454"/>
      <c r="U42" s="44"/>
      <c r="V42" s="44"/>
      <c r="W42" s="44"/>
      <c r="X42" s="44"/>
      <c r="Y42" s="44"/>
      <c r="Z42" s="44"/>
      <c r="AA42" s="44"/>
      <c r="AB42" s="44"/>
      <c r="AC42" s="44"/>
      <c r="AD42" s="44"/>
    </row>
    <row r="43" spans="1:30" s="405" customFormat="1" ht="18.75" customHeight="1">
      <c r="A43" s="857"/>
      <c r="B43" s="850" t="s">
        <v>97</v>
      </c>
      <c r="C43" s="852">
        <v>279</v>
      </c>
      <c r="D43" s="849">
        <f>L43/L44</f>
        <v>446.3922208493741</v>
      </c>
      <c r="E43" s="849">
        <f>M43/M44</f>
        <v>2469.3221680112347</v>
      </c>
      <c r="F43" s="849">
        <f t="shared" ref="F43:I43" si="7">N43/N44</f>
        <v>3245.1410695622044</v>
      </c>
      <c r="G43" s="849">
        <f t="shared" si="7"/>
        <v>16855.870276583322</v>
      </c>
      <c r="H43" s="849">
        <f t="shared" si="7"/>
        <v>3300.2432569697903</v>
      </c>
      <c r="I43" s="849">
        <f t="shared" si="7"/>
        <v>16419.62890544207</v>
      </c>
      <c r="J43" s="242" t="s">
        <v>1379</v>
      </c>
      <c r="K43" s="235" t="s">
        <v>1580</v>
      </c>
      <c r="L43" s="634">
        <v>205402.80059572301</v>
      </c>
      <c r="M43" s="634">
        <v>30550.215581504199</v>
      </c>
      <c r="N43" s="634">
        <v>178158.24188721599</v>
      </c>
      <c r="O43" s="634">
        <v>208160.56431514441</v>
      </c>
      <c r="P43" s="634">
        <v>19801.459541818742</v>
      </c>
      <c r="Q43" s="634">
        <f>VLOOKUP(C43, '2021_Internal_ModelLink'!$A$3:$Z$1000, 15, 0)</f>
        <v>95094.281774766903</v>
      </c>
      <c r="R43" s="853"/>
      <c r="S43" s="424"/>
      <c r="T43" s="454"/>
      <c r="U43" s="44"/>
      <c r="V43" s="44"/>
      <c r="W43" s="44"/>
      <c r="X43" s="44"/>
      <c r="Y43" s="44"/>
      <c r="Z43" s="44"/>
      <c r="AA43" s="44"/>
      <c r="AB43" s="44"/>
      <c r="AC43" s="44"/>
      <c r="AD43" s="44"/>
    </row>
    <row r="44" spans="1:30" s="405" customFormat="1" ht="18.75" customHeight="1">
      <c r="A44" s="857"/>
      <c r="B44" s="851"/>
      <c r="C44" s="852"/>
      <c r="D44" s="849"/>
      <c r="E44" s="849"/>
      <c r="F44" s="849"/>
      <c r="G44" s="849"/>
      <c r="H44" s="849"/>
      <c r="I44" s="849"/>
      <c r="J44" s="242" t="s">
        <v>1380</v>
      </c>
      <c r="K44" s="295" t="s">
        <v>1784</v>
      </c>
      <c r="L44" s="635">
        <v>460.13974034962399</v>
      </c>
      <c r="M44" s="635">
        <v>12.371903503425401</v>
      </c>
      <c r="N44" s="635">
        <f>N34</f>
        <v>54.899999127388</v>
      </c>
      <c r="O44" s="635">
        <v>12.349440337371799</v>
      </c>
      <c r="P44" s="635">
        <v>6</v>
      </c>
      <c r="Q44" s="635">
        <f>VLOOKUP(C43, '2021_Internal_ModelLink'!$A$3:$Z$1000, 16, 0)</f>
        <v>5.7915000590085901</v>
      </c>
      <c r="R44" s="853"/>
      <c r="S44" s="424"/>
      <c r="T44" s="454"/>
      <c r="U44" s="44"/>
      <c r="V44" s="44"/>
      <c r="W44" s="44"/>
      <c r="X44" s="44"/>
      <c r="Y44" s="44"/>
      <c r="Z44" s="44"/>
      <c r="AA44" s="44"/>
      <c r="AB44" s="44"/>
      <c r="AC44" s="44"/>
      <c r="AD44" s="44"/>
    </row>
    <row r="45" spans="1:30" s="44" customFormat="1" ht="15" customHeight="1">
      <c r="A45" s="857"/>
      <c r="B45" s="418"/>
      <c r="C45" s="573"/>
      <c r="D45" s="207"/>
      <c r="E45" s="419"/>
      <c r="F45" s="419"/>
      <c r="G45" s="419"/>
      <c r="H45" s="419"/>
      <c r="I45" s="419"/>
      <c r="J45" s="420"/>
      <c r="K45" s="421"/>
      <c r="L45" s="422"/>
      <c r="M45" s="422"/>
      <c r="N45" s="459"/>
      <c r="O45" s="459"/>
      <c r="P45" s="459"/>
      <c r="Q45" s="459"/>
      <c r="R45" s="423"/>
      <c r="S45" s="424"/>
      <c r="T45" s="453"/>
    </row>
    <row r="46" spans="1:30" s="405" customFormat="1" ht="18.75" customHeight="1">
      <c r="A46" s="857"/>
      <c r="B46" s="850" t="s">
        <v>98</v>
      </c>
      <c r="C46" s="852">
        <v>280</v>
      </c>
      <c r="D46" s="849">
        <f>L46/L47</f>
        <v>9.8465920218336778E-2</v>
      </c>
      <c r="E46" s="849">
        <f>M46/M47</f>
        <v>0.37426030557110235</v>
      </c>
      <c r="F46" s="849">
        <f t="shared" ref="F46:I46" si="8">N46/N47</f>
        <v>1.7467778975803594</v>
      </c>
      <c r="G46" s="849">
        <f t="shared" si="8"/>
        <v>0.13671696030317923</v>
      </c>
      <c r="H46" s="849">
        <f t="shared" si="8"/>
        <v>0.52826431388909245</v>
      </c>
      <c r="I46" s="849">
        <f t="shared" si="8"/>
        <v>3.8243667474544485</v>
      </c>
      <c r="J46" s="242" t="s">
        <v>1381</v>
      </c>
      <c r="K46" s="235" t="s">
        <v>1580</v>
      </c>
      <c r="L46" s="634">
        <v>205402.80059572301</v>
      </c>
      <c r="M46" s="635">
        <v>30550.215581504199</v>
      </c>
      <c r="N46" s="634">
        <f>N43</f>
        <v>178158.24188721599</v>
      </c>
      <c r="O46" s="634">
        <v>208160.56431514441</v>
      </c>
      <c r="P46" s="634">
        <v>19801.459541818742</v>
      </c>
      <c r="Q46" s="634">
        <f>VLOOKUP(C46, '2021_Internal_ModelLink'!$A$3:$Z$1000, 15, 0)</f>
        <v>95094.281774766903</v>
      </c>
      <c r="R46" s="560"/>
      <c r="S46" s="424"/>
      <c r="T46" s="453"/>
      <c r="U46" s="44"/>
      <c r="V46" s="44"/>
      <c r="W46" s="44"/>
      <c r="X46" s="44"/>
      <c r="Y46" s="44"/>
      <c r="Z46" s="44"/>
      <c r="AA46" s="44"/>
      <c r="AB46" s="44"/>
      <c r="AC46" s="44"/>
      <c r="AD46" s="44"/>
    </row>
    <row r="47" spans="1:30" s="405" customFormat="1" ht="18.75" customHeight="1">
      <c r="A47" s="857"/>
      <c r="B47" s="851"/>
      <c r="C47" s="852"/>
      <c r="D47" s="849"/>
      <c r="E47" s="849"/>
      <c r="F47" s="849"/>
      <c r="G47" s="849"/>
      <c r="H47" s="849"/>
      <c r="I47" s="849"/>
      <c r="J47" s="242" t="s">
        <v>1382</v>
      </c>
      <c r="K47" s="295" t="s">
        <v>1581</v>
      </c>
      <c r="L47" s="635">
        <v>2086029.36061803</v>
      </c>
      <c r="M47" s="635">
        <v>81628.254791504296</v>
      </c>
      <c r="N47" s="635">
        <f>N37</f>
        <v>101992.498378873</v>
      </c>
      <c r="O47" s="635">
        <v>1522565.7727726984</v>
      </c>
      <c r="P47" s="635">
        <v>37484</v>
      </c>
      <c r="Q47" s="635">
        <f>VLOOKUP(C46, '2021_Internal_ModelLink'!$A$3:$Z$1000, 16, 0)</f>
        <v>24865.366753348899</v>
      </c>
      <c r="R47" s="560"/>
      <c r="S47" s="424"/>
      <c r="T47" s="453"/>
      <c r="U47" s="44"/>
      <c r="V47" s="44"/>
      <c r="W47" s="44"/>
      <c r="X47" s="44"/>
      <c r="Y47" s="44"/>
      <c r="Z47" s="44"/>
      <c r="AA47" s="44"/>
      <c r="AB47" s="44"/>
      <c r="AC47" s="44"/>
      <c r="AD47" s="44"/>
    </row>
    <row r="48" spans="1:30" s="405" customFormat="1" ht="18.75" customHeight="1">
      <c r="A48" s="857"/>
      <c r="B48" s="58"/>
      <c r="C48" s="573"/>
      <c r="D48" s="419"/>
      <c r="E48" s="207"/>
      <c r="F48" s="380"/>
      <c r="G48" s="380"/>
      <c r="H48" s="380"/>
      <c r="I48" s="380"/>
      <c r="J48" s="263"/>
      <c r="K48" s="58"/>
      <c r="L48" s="632"/>
      <c r="M48" s="632"/>
      <c r="N48" s="422"/>
      <c r="O48" s="422"/>
      <c r="P48" s="422"/>
      <c r="Q48" s="422"/>
      <c r="R48" s="568"/>
      <c r="S48" s="424"/>
      <c r="T48" s="453"/>
      <c r="U48" s="44"/>
      <c r="V48" s="44"/>
      <c r="W48" s="44"/>
      <c r="X48" s="44"/>
      <c r="Y48" s="44"/>
      <c r="Z48" s="44"/>
      <c r="AA48" s="44"/>
      <c r="AB48" s="44"/>
      <c r="AC48" s="44"/>
      <c r="AD48" s="44"/>
    </row>
    <row r="49" spans="1:30" s="405" customFormat="1" ht="18.75" customHeight="1">
      <c r="A49" s="857"/>
      <c r="B49" s="850" t="s">
        <v>99</v>
      </c>
      <c r="C49" s="852">
        <v>281</v>
      </c>
      <c r="D49" s="849">
        <f>L49/L50</f>
        <v>0.76659595662088242</v>
      </c>
      <c r="E49" s="849">
        <f>M49/M50</f>
        <v>2.7640315056798817</v>
      </c>
      <c r="F49" s="849">
        <f t="shared" ref="F49:H49" si="9">N49/N50</f>
        <v>0</v>
      </c>
      <c r="G49" s="849">
        <f t="shared" si="9"/>
        <v>1.8935124715696592</v>
      </c>
      <c r="H49" s="849">
        <f t="shared" si="9"/>
        <v>5.7652148841758653</v>
      </c>
      <c r="I49" s="849" t="str">
        <f>IFERROR(Q49/Q50,"N/A")</f>
        <v>N/A</v>
      </c>
      <c r="J49" s="242" t="s">
        <v>1383</v>
      </c>
      <c r="K49" s="235" t="s">
        <v>1580</v>
      </c>
      <c r="L49" s="634">
        <v>294794.82730427699</v>
      </c>
      <c r="M49" s="634">
        <v>212088.21441849577</v>
      </c>
      <c r="N49" s="634">
        <v>0</v>
      </c>
      <c r="O49" s="634">
        <v>282197.59096639761</v>
      </c>
      <c r="P49" s="634">
        <v>337359.50257842091</v>
      </c>
      <c r="Q49" s="634">
        <f>VLOOKUP(C49, '2021_Internal_ModelLink'!$A$3:$Z$1000, 15, 0)</f>
        <v>0</v>
      </c>
      <c r="R49" s="853"/>
      <c r="S49" s="424"/>
      <c r="T49" s="453"/>
      <c r="U49" s="44"/>
      <c r="V49" s="44"/>
      <c r="W49" s="44"/>
      <c r="X49" s="44"/>
      <c r="Y49" s="44"/>
      <c r="Z49" s="44"/>
      <c r="AA49" s="44"/>
      <c r="AB49" s="44"/>
      <c r="AC49" s="44"/>
      <c r="AD49" s="44"/>
    </row>
    <row r="50" spans="1:30" s="405" customFormat="1" ht="15" customHeight="1">
      <c r="A50" s="859"/>
      <c r="B50" s="865"/>
      <c r="C50" s="866"/>
      <c r="D50" s="854"/>
      <c r="E50" s="854"/>
      <c r="F50" s="854"/>
      <c r="G50" s="854"/>
      <c r="H50" s="854"/>
      <c r="I50" s="854"/>
      <c r="J50" s="250" t="s">
        <v>1384</v>
      </c>
      <c r="K50" s="296" t="s">
        <v>1581</v>
      </c>
      <c r="L50" s="638">
        <v>384550.45941504597</v>
      </c>
      <c r="M50" s="638">
        <v>76731.475014908501</v>
      </c>
      <c r="N50" s="638">
        <f>N40</f>
        <v>1E-3</v>
      </c>
      <c r="O50" s="638">
        <v>149033.92251357349</v>
      </c>
      <c r="P50" s="638">
        <v>58516.379589664903</v>
      </c>
      <c r="Q50" s="638">
        <f>VLOOKUP(C49, '2021_Internal_ModelLink'!$A$3:$Z$1000, 16, 0)</f>
        <v>0</v>
      </c>
      <c r="R50" s="855"/>
      <c r="S50" s="424"/>
      <c r="T50" s="453"/>
      <c r="U50" s="44"/>
      <c r="V50" s="44"/>
      <c r="W50" s="44"/>
      <c r="X50" s="44"/>
      <c r="Y50" s="44"/>
      <c r="Z50" s="44"/>
      <c r="AA50" s="44"/>
      <c r="AB50" s="44"/>
      <c r="AC50" s="44"/>
      <c r="AD50" s="44"/>
    </row>
    <row r="51" spans="1:30" s="77" customFormat="1" ht="15.95" customHeight="1">
      <c r="A51" s="87"/>
      <c r="J51" s="84"/>
      <c r="R51" s="130"/>
    </row>
    <row r="53" spans="1:30">
      <c r="A53" s="306" t="s">
        <v>1749</v>
      </c>
    </row>
    <row r="55" spans="1:30">
      <c r="A55" s="456" t="s">
        <v>1871</v>
      </c>
    </row>
    <row r="56" spans="1:30">
      <c r="A56" s="456"/>
    </row>
  </sheetData>
  <mergeCells count="85">
    <mergeCell ref="H39:H40"/>
    <mergeCell ref="H43:H44"/>
    <mergeCell ref="H46:H47"/>
    <mergeCell ref="H49:H50"/>
    <mergeCell ref="H23:H24"/>
    <mergeCell ref="H26:H27"/>
    <mergeCell ref="H29:H30"/>
    <mergeCell ref="H33:H34"/>
    <mergeCell ref="H36:H37"/>
    <mergeCell ref="G23:G24"/>
    <mergeCell ref="E39:E40"/>
    <mergeCell ref="R36:R37"/>
    <mergeCell ref="R19:R20"/>
    <mergeCell ref="B36:B37"/>
    <mergeCell ref="C36:C37"/>
    <mergeCell ref="D36:D37"/>
    <mergeCell ref="E36:E37"/>
    <mergeCell ref="R33:R34"/>
    <mergeCell ref="D23:D24"/>
    <mergeCell ref="E23:E24"/>
    <mergeCell ref="B26:B27"/>
    <mergeCell ref="C26:C27"/>
    <mergeCell ref="B33:B34"/>
    <mergeCell ref="C33:C34"/>
    <mergeCell ref="D33:D34"/>
    <mergeCell ref="E33:E34"/>
    <mergeCell ref="A3:A17"/>
    <mergeCell ref="A19:A20"/>
    <mergeCell ref="A22:A30"/>
    <mergeCell ref="B23:B24"/>
    <mergeCell ref="C23:C24"/>
    <mergeCell ref="B3:E3"/>
    <mergeCell ref="B19:E19"/>
    <mergeCell ref="B22:E22"/>
    <mergeCell ref="D26:D27"/>
    <mergeCell ref="E26:E27"/>
    <mergeCell ref="B29:B30"/>
    <mergeCell ref="C29:C30"/>
    <mergeCell ref="D29:D30"/>
    <mergeCell ref="E29:E30"/>
    <mergeCell ref="F23:F24"/>
    <mergeCell ref="F26:F27"/>
    <mergeCell ref="F29:F30"/>
    <mergeCell ref="F33:F34"/>
    <mergeCell ref="F36:F37"/>
    <mergeCell ref="F39:F40"/>
    <mergeCell ref="A42:A50"/>
    <mergeCell ref="B43:B44"/>
    <mergeCell ref="C43:C44"/>
    <mergeCell ref="D43:D44"/>
    <mergeCell ref="E43:E44"/>
    <mergeCell ref="F43:F44"/>
    <mergeCell ref="B49:B50"/>
    <mergeCell ref="C49:C50"/>
    <mergeCell ref="D49:D50"/>
    <mergeCell ref="E49:E50"/>
    <mergeCell ref="F49:F50"/>
    <mergeCell ref="A32:A40"/>
    <mergeCell ref="B39:B40"/>
    <mergeCell ref="C39:C40"/>
    <mergeCell ref="D39:D40"/>
    <mergeCell ref="R49:R50"/>
    <mergeCell ref="R43:R44"/>
    <mergeCell ref="B46:B47"/>
    <mergeCell ref="C46:C47"/>
    <mergeCell ref="D46:D47"/>
    <mergeCell ref="E46:E47"/>
    <mergeCell ref="F46:F47"/>
    <mergeCell ref="G43:G44"/>
    <mergeCell ref="G46:G47"/>
    <mergeCell ref="G49:G50"/>
    <mergeCell ref="G39:G40"/>
    <mergeCell ref="G36:G37"/>
    <mergeCell ref="G33:G34"/>
    <mergeCell ref="G26:G27"/>
    <mergeCell ref="G29:G30"/>
    <mergeCell ref="I39:I40"/>
    <mergeCell ref="I43:I44"/>
    <mergeCell ref="I46:I47"/>
    <mergeCell ref="I49:I50"/>
    <mergeCell ref="I23:I24"/>
    <mergeCell ref="I26:I27"/>
    <mergeCell ref="I29:I30"/>
    <mergeCell ref="I33:I34"/>
    <mergeCell ref="I36:I37"/>
  </mergeCells>
  <pageMargins left="0.7" right="0.7" top="0.75" bottom="0.75" header="0.3" footer="0.3"/>
  <pageSetup scale="75" orientation="landscape" r:id="rId1"/>
  <headerFooter>
    <oddFooter>&amp;RMay 1, 2019</oddFooter>
  </headerFooter>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3"/>
  <sheetViews>
    <sheetView zoomScaleNormal="100" zoomScaleSheetLayoutView="90" workbookViewId="0">
      <selection sqref="A1:A2"/>
    </sheetView>
  </sheetViews>
  <sheetFormatPr defaultColWidth="9.140625" defaultRowHeight="15"/>
  <cols>
    <col min="1" max="1" width="90.7109375" style="1" customWidth="1"/>
    <col min="2" max="16384" width="9.140625" style="1"/>
  </cols>
  <sheetData>
    <row r="1" spans="1:1" ht="26.25">
      <c r="A1" s="553" t="s">
        <v>1828</v>
      </c>
    </row>
    <row r="2" spans="1:1" ht="18.75">
      <c r="A2" s="8" t="s">
        <v>39</v>
      </c>
    </row>
    <row r="3" spans="1:1" ht="18.75">
      <c r="A3" s="7"/>
    </row>
  </sheetData>
  <pageMargins left="0.7" right="0.7" top="0.75" bottom="0.75" header="0.3" footer="0.3"/>
  <pageSetup fitToHeight="0" orientation="portrait" r:id="rId1"/>
  <headerFooter>
    <oddFooter>&amp;RMay 1,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1"/>
  <sheetViews>
    <sheetView showGridLines="0" zoomScaleNormal="100" zoomScaleSheetLayoutView="80" workbookViewId="0">
      <selection sqref="A1:I2"/>
    </sheetView>
  </sheetViews>
  <sheetFormatPr defaultRowHeight="15"/>
  <sheetData>
    <row r="1" spans="1:9" ht="26.25">
      <c r="A1" s="833" t="s">
        <v>15</v>
      </c>
      <c r="B1" s="833"/>
      <c r="C1" s="833"/>
      <c r="D1" s="833"/>
      <c r="E1" s="833"/>
      <c r="F1" s="833"/>
      <c r="G1" s="833"/>
      <c r="H1" s="833"/>
      <c r="I1" s="833"/>
    </row>
  </sheetData>
  <mergeCells count="1">
    <mergeCell ref="A1:I1"/>
  </mergeCells>
  <pageMargins left="0.7" right="0.7" top="0.75" bottom="0.75" header="0.3" footer="0.3"/>
  <pageSetup fitToWidth="0" orientation="portrait" r:id="rId1"/>
  <headerFooter>
    <oddFooter>&amp;RMay 1, 2019</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ADE2-9A2C-4851-A20B-1EC148846794}">
  <sheetPr>
    <tabColor rgb="FFFFFF00"/>
  </sheetPr>
  <dimension ref="A1:L27"/>
  <sheetViews>
    <sheetView zoomScaleNormal="100" zoomScaleSheetLayoutView="90" workbookViewId="0">
      <selection sqref="A1:K1"/>
    </sheetView>
  </sheetViews>
  <sheetFormatPr defaultColWidth="8.85546875" defaultRowHeight="15"/>
  <cols>
    <col min="1" max="1" width="8.85546875" style="338"/>
    <col min="2" max="2" width="45.7109375" style="337" customWidth="1"/>
    <col min="3" max="3" width="8.85546875" style="337"/>
    <col min="4" max="9" width="12.7109375" style="337" customWidth="1"/>
    <col min="10" max="10" width="30.140625" style="337" customWidth="1"/>
    <col min="11" max="11" width="45.7109375" style="337" customWidth="1"/>
    <col min="12" max="12" width="41.42578125" style="337" customWidth="1"/>
    <col min="13" max="16384" width="8.85546875" style="337"/>
  </cols>
  <sheetData>
    <row r="1" spans="1:12" ht="18.75">
      <c r="A1" s="1010" t="s">
        <v>1829</v>
      </c>
      <c r="B1" s="1010"/>
      <c r="C1" s="1010"/>
      <c r="D1" s="1010"/>
      <c r="E1" s="1010"/>
      <c r="F1" s="1010"/>
      <c r="G1" s="1010"/>
      <c r="H1" s="1010"/>
      <c r="I1" s="1010"/>
      <c r="J1" s="1010"/>
      <c r="K1" s="1010"/>
    </row>
    <row r="2" spans="1:12" ht="15.75" thickBot="1"/>
    <row r="3" spans="1:12" s="345" customFormat="1" ht="26.25" thickBot="1">
      <c r="A3" s="339" t="s">
        <v>1561</v>
      </c>
      <c r="B3" s="340" t="s">
        <v>30</v>
      </c>
      <c r="C3" s="340" t="s">
        <v>1830</v>
      </c>
      <c r="D3" s="341" t="s">
        <v>1831</v>
      </c>
      <c r="E3" s="341" t="s">
        <v>1832</v>
      </c>
      <c r="F3" s="341" t="s">
        <v>1833</v>
      </c>
      <c r="G3" s="621" t="s">
        <v>1848</v>
      </c>
      <c r="H3" s="621" t="s">
        <v>1874</v>
      </c>
      <c r="I3" s="621" t="s">
        <v>1877</v>
      </c>
      <c r="J3" s="342" t="s">
        <v>35</v>
      </c>
      <c r="K3" s="343" t="s">
        <v>36</v>
      </c>
      <c r="L3" s="343" t="s">
        <v>1834</v>
      </c>
    </row>
    <row r="4" spans="1:12" s="353" customFormat="1" ht="48">
      <c r="A4" s="346">
        <v>282</v>
      </c>
      <c r="B4" s="347" t="s">
        <v>513</v>
      </c>
      <c r="C4" s="348" t="s">
        <v>30</v>
      </c>
      <c r="D4" s="366" t="s">
        <v>382</v>
      </c>
      <c r="E4" s="336">
        <v>1402</v>
      </c>
      <c r="F4" s="360">
        <v>1450</v>
      </c>
      <c r="G4" s="622">
        <v>1326.9340206151712</v>
      </c>
      <c r="H4" s="622">
        <v>2699</v>
      </c>
      <c r="I4" s="622">
        <v>2890.5791851996769</v>
      </c>
      <c r="J4" s="349" t="s">
        <v>515</v>
      </c>
      <c r="K4" s="347" t="s">
        <v>516</v>
      </c>
      <c r="L4" s="350" t="s">
        <v>1850</v>
      </c>
    </row>
    <row r="5" spans="1:12" s="353" customFormat="1" ht="60">
      <c r="A5" s="354">
        <v>283</v>
      </c>
      <c r="B5" s="355" t="s">
        <v>518</v>
      </c>
      <c r="C5" s="356" t="s">
        <v>30</v>
      </c>
      <c r="D5" s="366" t="s">
        <v>382</v>
      </c>
      <c r="E5" s="361">
        <v>29</v>
      </c>
      <c r="F5" s="362">
        <v>45</v>
      </c>
      <c r="G5" s="623">
        <v>45.382740915551288</v>
      </c>
      <c r="H5" s="623">
        <v>37.9</v>
      </c>
      <c r="I5" s="623">
        <v>42</v>
      </c>
      <c r="J5" s="357" t="s">
        <v>515</v>
      </c>
      <c r="K5" s="355" t="s">
        <v>519</v>
      </c>
      <c r="L5" s="358" t="s">
        <v>1850</v>
      </c>
    </row>
    <row r="6" spans="1:12" s="353" customFormat="1" ht="48">
      <c r="A6" s="354">
        <v>284</v>
      </c>
      <c r="B6" s="355" t="s">
        <v>521</v>
      </c>
      <c r="C6" s="356" t="s">
        <v>30</v>
      </c>
      <c r="D6" s="366" t="s">
        <v>382</v>
      </c>
      <c r="E6" s="361">
        <v>272</v>
      </c>
      <c r="F6" s="362">
        <v>333</v>
      </c>
      <c r="G6" s="623">
        <v>297.8510575109558</v>
      </c>
      <c r="H6" s="623">
        <v>453.7</v>
      </c>
      <c r="I6" s="623">
        <v>493</v>
      </c>
      <c r="J6" s="357" t="s">
        <v>515</v>
      </c>
      <c r="K6" s="355" t="s">
        <v>516</v>
      </c>
      <c r="L6" s="358" t="s">
        <v>1850</v>
      </c>
    </row>
    <row r="7" spans="1:12" s="353" customFormat="1" ht="24">
      <c r="A7" s="354">
        <v>285</v>
      </c>
      <c r="B7" s="355" t="s">
        <v>525</v>
      </c>
      <c r="C7" s="356" t="s">
        <v>30</v>
      </c>
      <c r="D7" s="366" t="s">
        <v>382</v>
      </c>
      <c r="E7" s="361">
        <v>12</v>
      </c>
      <c r="F7" s="362">
        <v>64</v>
      </c>
      <c r="G7" s="623">
        <v>0</v>
      </c>
      <c r="H7" s="623">
        <v>0</v>
      </c>
      <c r="I7" s="623">
        <v>91</v>
      </c>
      <c r="J7" s="357" t="s">
        <v>526</v>
      </c>
      <c r="K7" s="355" t="s">
        <v>527</v>
      </c>
      <c r="L7" s="358" t="s">
        <v>1851</v>
      </c>
    </row>
    <row r="8" spans="1:12" s="353" customFormat="1" ht="36">
      <c r="A8" s="354">
        <v>286</v>
      </c>
      <c r="B8" s="355" t="s">
        <v>528</v>
      </c>
      <c r="C8" s="356" t="s">
        <v>30</v>
      </c>
      <c r="D8" s="366" t="s">
        <v>382</v>
      </c>
      <c r="E8" s="361">
        <v>12</v>
      </c>
      <c r="F8" s="362">
        <v>57</v>
      </c>
      <c r="G8" s="623">
        <v>0</v>
      </c>
      <c r="H8" s="623">
        <v>0</v>
      </c>
      <c r="I8" s="623">
        <v>66</v>
      </c>
      <c r="J8" s="357" t="s">
        <v>529</v>
      </c>
      <c r="K8" s="355" t="s">
        <v>527</v>
      </c>
      <c r="L8" s="358" t="s">
        <v>1852</v>
      </c>
    </row>
    <row r="9" spans="1:12" s="353" customFormat="1" ht="36">
      <c r="A9" s="354">
        <v>287</v>
      </c>
      <c r="B9" s="355" t="s">
        <v>532</v>
      </c>
      <c r="C9" s="356" t="s">
        <v>30</v>
      </c>
      <c r="D9" s="366" t="s">
        <v>382</v>
      </c>
      <c r="E9" s="361">
        <v>5</v>
      </c>
      <c r="F9" s="362">
        <v>4</v>
      </c>
      <c r="G9" s="623">
        <v>0</v>
      </c>
      <c r="H9" s="623">
        <v>0</v>
      </c>
      <c r="I9" s="623">
        <v>0</v>
      </c>
      <c r="J9" s="357" t="s">
        <v>533</v>
      </c>
      <c r="K9" s="355" t="s">
        <v>534</v>
      </c>
      <c r="L9" s="358" t="s">
        <v>1853</v>
      </c>
    </row>
    <row r="10" spans="1:12" s="353" customFormat="1" ht="24">
      <c r="A10" s="354">
        <v>288</v>
      </c>
      <c r="B10" s="355" t="s">
        <v>535</v>
      </c>
      <c r="C10" s="356" t="s">
        <v>30</v>
      </c>
      <c r="D10" s="366" t="s">
        <v>382</v>
      </c>
      <c r="E10" s="361">
        <v>4</v>
      </c>
      <c r="F10" s="362">
        <v>3</v>
      </c>
      <c r="G10" s="623">
        <v>3</v>
      </c>
      <c r="H10" s="623">
        <v>2</v>
      </c>
      <c r="I10" s="623">
        <v>0</v>
      </c>
      <c r="J10" s="357" t="s">
        <v>529</v>
      </c>
      <c r="K10" s="355" t="s">
        <v>536</v>
      </c>
      <c r="L10" s="358" t="s">
        <v>1854</v>
      </c>
    </row>
    <row r="11" spans="1:12" s="353" customFormat="1" ht="36">
      <c r="A11" s="354">
        <v>289</v>
      </c>
      <c r="B11" s="355" t="s">
        <v>539</v>
      </c>
      <c r="C11" s="356" t="s">
        <v>30</v>
      </c>
      <c r="D11" s="366" t="s">
        <v>382</v>
      </c>
      <c r="E11" s="361">
        <v>22</v>
      </c>
      <c r="F11" s="362">
        <v>0</v>
      </c>
      <c r="G11" s="623">
        <v>1</v>
      </c>
      <c r="H11" s="623">
        <v>3</v>
      </c>
      <c r="I11" s="623">
        <v>15</v>
      </c>
      <c r="J11" s="357" t="s">
        <v>540</v>
      </c>
      <c r="K11" s="355" t="s">
        <v>541</v>
      </c>
      <c r="L11" s="358" t="s">
        <v>1855</v>
      </c>
    </row>
    <row r="12" spans="1:12" s="353" customFormat="1" ht="24">
      <c r="A12" s="354">
        <v>290</v>
      </c>
      <c r="B12" s="355" t="s">
        <v>542</v>
      </c>
      <c r="C12" s="356" t="s">
        <v>30</v>
      </c>
      <c r="D12" s="366" t="s">
        <v>382</v>
      </c>
      <c r="E12" s="363">
        <v>1</v>
      </c>
      <c r="F12" s="364" t="s">
        <v>59</v>
      </c>
      <c r="G12" s="624">
        <v>3.7037037037037035E-2</v>
      </c>
      <c r="H12" s="624">
        <v>1</v>
      </c>
      <c r="I12" s="624">
        <v>1</v>
      </c>
      <c r="J12" s="359" t="s">
        <v>1835</v>
      </c>
      <c r="K12" s="355" t="s">
        <v>544</v>
      </c>
      <c r="L12" s="358" t="s">
        <v>1856</v>
      </c>
    </row>
    <row r="13" spans="1:12" s="353" customFormat="1" ht="84">
      <c r="A13" s="354">
        <v>291</v>
      </c>
      <c r="B13" s="355" t="s">
        <v>547</v>
      </c>
      <c r="C13" s="356" t="s">
        <v>30</v>
      </c>
      <c r="D13" s="366" t="s">
        <v>382</v>
      </c>
      <c r="E13" s="361">
        <v>6</v>
      </c>
      <c r="F13" s="362">
        <v>5</v>
      </c>
      <c r="G13" s="623">
        <v>10</v>
      </c>
      <c r="H13" s="623">
        <v>31</v>
      </c>
      <c r="I13" s="623">
        <v>24</v>
      </c>
      <c r="J13" s="357" t="s">
        <v>548</v>
      </c>
      <c r="K13" s="355" t="s">
        <v>549</v>
      </c>
      <c r="L13" s="358" t="s">
        <v>1857</v>
      </c>
    </row>
    <row r="14" spans="1:12" s="353" customFormat="1" ht="60">
      <c r="A14" s="354">
        <v>292</v>
      </c>
      <c r="B14" s="355" t="s">
        <v>553</v>
      </c>
      <c r="C14" s="356" t="s">
        <v>30</v>
      </c>
      <c r="D14" s="366" t="s">
        <v>382</v>
      </c>
      <c r="E14" s="361">
        <v>138</v>
      </c>
      <c r="F14" s="362">
        <v>191</v>
      </c>
      <c r="G14" s="623">
        <v>190</v>
      </c>
      <c r="H14" s="623">
        <v>195</v>
      </c>
      <c r="I14" s="623">
        <v>159</v>
      </c>
      <c r="J14" s="357" t="s">
        <v>805</v>
      </c>
      <c r="K14" s="355" t="s">
        <v>555</v>
      </c>
      <c r="L14" s="358" t="s">
        <v>1858</v>
      </c>
    </row>
    <row r="15" spans="1:12" s="353" customFormat="1" ht="72">
      <c r="A15" s="354">
        <v>293</v>
      </c>
      <c r="B15" s="355" t="s">
        <v>556</v>
      </c>
      <c r="C15" s="356" t="s">
        <v>30</v>
      </c>
      <c r="D15" s="366" t="s">
        <v>382</v>
      </c>
      <c r="E15" s="361">
        <v>3600</v>
      </c>
      <c r="F15" s="362">
        <v>4970</v>
      </c>
      <c r="G15" s="623">
        <v>3610</v>
      </c>
      <c r="H15" s="623">
        <v>3959</v>
      </c>
      <c r="I15" s="623">
        <v>3514</v>
      </c>
      <c r="J15" s="357" t="s">
        <v>806</v>
      </c>
      <c r="K15" s="355" t="s">
        <v>1836</v>
      </c>
      <c r="L15" s="358" t="s">
        <v>1859</v>
      </c>
    </row>
    <row r="16" spans="1:12" s="353" customFormat="1" ht="72">
      <c r="A16" s="354">
        <v>294</v>
      </c>
      <c r="B16" s="355" t="s">
        <v>560</v>
      </c>
      <c r="C16" s="356" t="s">
        <v>30</v>
      </c>
      <c r="D16" s="366" t="s">
        <v>382</v>
      </c>
      <c r="E16" s="363">
        <v>0.2</v>
      </c>
      <c r="F16" s="365">
        <v>0.18</v>
      </c>
      <c r="G16" s="625">
        <v>0.18</v>
      </c>
      <c r="H16" s="625">
        <v>0.27</v>
      </c>
      <c r="I16" s="625">
        <v>0.27</v>
      </c>
      <c r="J16" s="357" t="s">
        <v>561</v>
      </c>
      <c r="K16" s="355" t="s">
        <v>562</v>
      </c>
      <c r="L16" s="358" t="s">
        <v>1860</v>
      </c>
    </row>
    <row r="17" spans="1:12" s="353" customFormat="1" ht="24.6" customHeight="1">
      <c r="A17" s="354">
        <v>295</v>
      </c>
      <c r="B17" s="355" t="s">
        <v>565</v>
      </c>
      <c r="C17" s="356" t="s">
        <v>30</v>
      </c>
      <c r="D17" s="368" t="s">
        <v>1414</v>
      </c>
      <c r="E17" s="363" t="s">
        <v>1414</v>
      </c>
      <c r="F17" s="365" t="s">
        <v>1414</v>
      </c>
      <c r="G17" s="625" t="s">
        <v>1414</v>
      </c>
      <c r="H17" s="625" t="s">
        <v>1414</v>
      </c>
      <c r="I17" s="625" t="s">
        <v>59</v>
      </c>
      <c r="J17" s="357"/>
      <c r="K17" s="355"/>
      <c r="L17" s="358"/>
    </row>
    <row r="18" spans="1:12" s="353" customFormat="1" ht="24.6" customHeight="1">
      <c r="A18" s="354">
        <v>296</v>
      </c>
      <c r="B18" s="355" t="s">
        <v>568</v>
      </c>
      <c r="C18" s="356" t="s">
        <v>164</v>
      </c>
      <c r="D18" s="368" t="s">
        <v>1414</v>
      </c>
      <c r="E18" s="363" t="s">
        <v>1414</v>
      </c>
      <c r="F18" s="365" t="s">
        <v>1414</v>
      </c>
      <c r="G18" s="625" t="s">
        <v>1414</v>
      </c>
      <c r="H18" s="625" t="s">
        <v>1414</v>
      </c>
      <c r="I18" s="625" t="s">
        <v>167</v>
      </c>
      <c r="J18" s="357"/>
      <c r="K18" s="355"/>
      <c r="L18" s="358"/>
    </row>
    <row r="19" spans="1:12" s="353" customFormat="1" ht="24.6" customHeight="1">
      <c r="A19" s="354">
        <v>297</v>
      </c>
      <c r="B19" s="355" t="s">
        <v>568</v>
      </c>
      <c r="C19" s="356" t="s">
        <v>164</v>
      </c>
      <c r="D19" s="368" t="s">
        <v>1414</v>
      </c>
      <c r="E19" s="363" t="s">
        <v>1414</v>
      </c>
      <c r="F19" s="365" t="s">
        <v>1414</v>
      </c>
      <c r="G19" s="625" t="s">
        <v>1414</v>
      </c>
      <c r="H19" s="625" t="s">
        <v>1414</v>
      </c>
      <c r="I19" s="625" t="s">
        <v>167</v>
      </c>
      <c r="J19" s="357"/>
      <c r="K19" s="355"/>
      <c r="L19" s="358"/>
    </row>
    <row r="20" spans="1:12" s="353" customFormat="1" ht="24.6" customHeight="1">
      <c r="A20" s="354">
        <v>298</v>
      </c>
      <c r="B20" s="355" t="s">
        <v>570</v>
      </c>
      <c r="C20" s="356" t="s">
        <v>164</v>
      </c>
      <c r="D20" s="368" t="s">
        <v>1414</v>
      </c>
      <c r="E20" s="363" t="s">
        <v>1414</v>
      </c>
      <c r="F20" s="365" t="s">
        <v>1414</v>
      </c>
      <c r="G20" s="625" t="s">
        <v>1414</v>
      </c>
      <c r="H20" s="625" t="s">
        <v>1414</v>
      </c>
      <c r="I20" s="625" t="s">
        <v>167</v>
      </c>
      <c r="J20" s="357"/>
      <c r="K20" s="355"/>
      <c r="L20" s="358"/>
    </row>
    <row r="21" spans="1:12" s="353" customFormat="1" ht="24.6" customHeight="1">
      <c r="A21" s="354">
        <v>299</v>
      </c>
      <c r="B21" s="355" t="s">
        <v>570</v>
      </c>
      <c r="C21" s="356" t="s">
        <v>164</v>
      </c>
      <c r="D21" s="368" t="s">
        <v>1414</v>
      </c>
      <c r="E21" s="363" t="s">
        <v>1414</v>
      </c>
      <c r="F21" s="365" t="s">
        <v>1414</v>
      </c>
      <c r="G21" s="625" t="s">
        <v>1414</v>
      </c>
      <c r="H21" s="625" t="s">
        <v>1414</v>
      </c>
      <c r="I21" s="625" t="s">
        <v>167</v>
      </c>
      <c r="J21" s="357"/>
      <c r="K21" s="355"/>
      <c r="L21" s="358"/>
    </row>
    <row r="22" spans="1:12" s="353" customFormat="1" ht="24.6" customHeight="1">
      <c r="A22" s="354">
        <v>300</v>
      </c>
      <c r="B22" s="355" t="s">
        <v>571</v>
      </c>
      <c r="C22" s="356" t="s">
        <v>164</v>
      </c>
      <c r="D22" s="368" t="s">
        <v>1414</v>
      </c>
      <c r="E22" s="363" t="s">
        <v>1414</v>
      </c>
      <c r="F22" s="365" t="s">
        <v>1414</v>
      </c>
      <c r="G22" s="625" t="s">
        <v>1414</v>
      </c>
      <c r="H22" s="625" t="s">
        <v>1414</v>
      </c>
      <c r="I22" s="625" t="s">
        <v>167</v>
      </c>
      <c r="J22" s="357"/>
      <c r="K22" s="355"/>
      <c r="L22" s="358"/>
    </row>
    <row r="23" spans="1:12" s="353" customFormat="1" ht="12.75">
      <c r="A23" s="354"/>
      <c r="B23" s="355"/>
      <c r="C23" s="356"/>
      <c r="D23" s="368"/>
      <c r="E23" s="363"/>
      <c r="F23" s="365"/>
      <c r="G23" s="625"/>
      <c r="H23" s="625"/>
      <c r="I23" s="625"/>
      <c r="J23" s="357"/>
      <c r="K23" s="355"/>
      <c r="L23" s="358"/>
    </row>
    <row r="24" spans="1:12" s="353" customFormat="1" ht="12.75">
      <c r="A24" s="354"/>
      <c r="B24" s="355"/>
      <c r="C24" s="356"/>
      <c r="D24" s="368"/>
      <c r="E24" s="363"/>
      <c r="F24" s="365"/>
      <c r="G24" s="625"/>
      <c r="H24" s="625"/>
      <c r="I24" s="625"/>
      <c r="J24" s="357"/>
      <c r="K24" s="355"/>
      <c r="L24" s="358"/>
    </row>
    <row r="25" spans="1:12" s="353" customFormat="1" ht="12.75">
      <c r="A25" s="354"/>
      <c r="B25" s="355"/>
      <c r="C25" s="356"/>
      <c r="D25" s="368"/>
      <c r="E25" s="363"/>
      <c r="F25" s="365"/>
      <c r="G25" s="625"/>
      <c r="H25" s="625"/>
      <c r="I25" s="625"/>
      <c r="J25" s="357"/>
      <c r="K25" s="355"/>
      <c r="L25" s="358"/>
    </row>
    <row r="26" spans="1:12" s="353" customFormat="1" ht="12.75">
      <c r="A26" s="354"/>
      <c r="B26" s="355"/>
      <c r="C26" s="356"/>
      <c r="D26" s="368"/>
      <c r="E26" s="363"/>
      <c r="F26" s="365"/>
      <c r="G26" s="625"/>
      <c r="H26" s="625"/>
      <c r="I26" s="625"/>
      <c r="J26" s="357"/>
      <c r="K26" s="355"/>
      <c r="L26" s="358"/>
    </row>
    <row r="27" spans="1:12" s="353" customFormat="1" ht="12.75">
      <c r="A27" s="354"/>
      <c r="B27" s="355"/>
      <c r="C27" s="356"/>
      <c r="D27" s="368"/>
      <c r="E27" s="363"/>
      <c r="F27" s="365"/>
      <c r="G27" s="625"/>
      <c r="H27" s="625"/>
      <c r="I27" s="625"/>
      <c r="J27" s="357"/>
      <c r="K27" s="355"/>
      <c r="L27" s="358"/>
    </row>
  </sheetData>
  <mergeCells count="1">
    <mergeCell ref="A1:K1"/>
  </mergeCells>
  <phoneticPr fontId="52" type="noConversion"/>
  <pageMargins left="0.7" right="0.7" top="0.75" bottom="0.75" header="0.3" footer="0.3"/>
  <pageSetup scale="75" orientation="landscape" r:id="rId1"/>
  <headerFooter>
    <oddFooter>&amp;RMay 1, 2019</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B5AC1-604A-4D34-9B3D-89B1A188EDD2}">
  <sheetPr>
    <tabColor rgb="FFFFFF00"/>
  </sheetPr>
  <dimension ref="A1:Q27"/>
  <sheetViews>
    <sheetView zoomScale="70" zoomScaleNormal="70" zoomScaleSheetLayoutView="90" workbookViewId="0">
      <selection sqref="A1:K1"/>
    </sheetView>
  </sheetViews>
  <sheetFormatPr defaultColWidth="8.85546875" defaultRowHeight="15"/>
  <cols>
    <col min="1" max="1" width="8.85546875" style="338"/>
    <col min="2" max="2" width="45.7109375" style="337" customWidth="1"/>
    <col min="3" max="3" width="17.7109375" style="337" customWidth="1"/>
    <col min="4" max="4" width="24.42578125" style="337" customWidth="1"/>
    <col min="5" max="5" width="33.5703125" style="337" customWidth="1"/>
    <col min="6" max="9" width="26.85546875" style="337" customWidth="1"/>
    <col min="10" max="10" width="39.42578125" style="337" customWidth="1"/>
    <col min="11" max="11" width="56.28515625" style="337" customWidth="1"/>
    <col min="12" max="12" width="41.42578125" style="337" customWidth="1"/>
    <col min="13" max="16384" width="8.85546875" style="337"/>
  </cols>
  <sheetData>
    <row r="1" spans="1:17" ht="18.75">
      <c r="A1" s="1010" t="s">
        <v>1837</v>
      </c>
      <c r="B1" s="1010"/>
      <c r="C1" s="1010"/>
      <c r="D1" s="1010"/>
      <c r="E1" s="1010"/>
      <c r="F1" s="1010"/>
      <c r="G1" s="1010"/>
      <c r="H1" s="1010"/>
      <c r="I1" s="1010"/>
      <c r="J1" s="1010"/>
      <c r="K1" s="1010"/>
    </row>
    <row r="2" spans="1:17" ht="15.75" thickBot="1"/>
    <row r="3" spans="1:17" s="345" customFormat="1" ht="13.5" thickBot="1">
      <c r="A3" s="339" t="s">
        <v>1561</v>
      </c>
      <c r="B3" s="340" t="s">
        <v>30</v>
      </c>
      <c r="C3" s="340" t="s">
        <v>1830</v>
      </c>
      <c r="D3" s="341" t="s">
        <v>1831</v>
      </c>
      <c r="E3" s="341" t="s">
        <v>1832</v>
      </c>
      <c r="F3" s="341" t="s">
        <v>1833</v>
      </c>
      <c r="G3" s="341" t="s">
        <v>1848</v>
      </c>
      <c r="H3" s="621" t="s">
        <v>1873</v>
      </c>
      <c r="I3" s="621" t="s">
        <v>1877</v>
      </c>
      <c r="J3" s="342" t="s">
        <v>35</v>
      </c>
      <c r="K3" s="343" t="s">
        <v>36</v>
      </c>
      <c r="L3" s="343" t="s">
        <v>1834</v>
      </c>
      <c r="M3" s="344"/>
      <c r="N3" s="344"/>
      <c r="O3" s="344"/>
      <c r="P3" s="344"/>
      <c r="Q3" s="344"/>
    </row>
    <row r="4" spans="1:17" s="353" customFormat="1" ht="59.1" customHeight="1">
      <c r="A4" s="31">
        <v>301</v>
      </c>
      <c r="B4" s="22" t="s">
        <v>575</v>
      </c>
      <c r="C4" s="22" t="s">
        <v>30</v>
      </c>
      <c r="D4" s="366" t="s">
        <v>382</v>
      </c>
      <c r="E4" s="336" t="s">
        <v>382</v>
      </c>
      <c r="F4" s="360" t="s">
        <v>382</v>
      </c>
      <c r="G4" s="360" t="s">
        <v>382</v>
      </c>
      <c r="H4" s="735">
        <v>4</v>
      </c>
      <c r="I4" s="734" t="s">
        <v>1878</v>
      </c>
      <c r="J4" s="438" t="s">
        <v>577</v>
      </c>
      <c r="K4" s="439" t="s">
        <v>1838</v>
      </c>
      <c r="L4" s="350"/>
      <c r="M4" s="351"/>
      <c r="N4" s="351"/>
      <c r="O4" s="351"/>
      <c r="P4" s="351"/>
      <c r="Q4" s="352"/>
    </row>
    <row r="5" spans="1:17" s="353" customFormat="1" ht="336" customHeight="1">
      <c r="A5" s="100">
        <v>302</v>
      </c>
      <c r="B5" s="101" t="s">
        <v>581</v>
      </c>
      <c r="C5" s="101" t="s">
        <v>30</v>
      </c>
      <c r="D5" s="367" t="s">
        <v>382</v>
      </c>
      <c r="E5" s="440" t="s">
        <v>1839</v>
      </c>
      <c r="F5" s="441" t="s">
        <v>1488</v>
      </c>
      <c r="G5" s="441" t="s">
        <v>1861</v>
      </c>
      <c r="H5" s="441" t="s">
        <v>1875</v>
      </c>
      <c r="I5" s="441" t="s">
        <v>1879</v>
      </c>
      <c r="J5" s="438" t="s">
        <v>1862</v>
      </c>
      <c r="K5" s="439" t="s">
        <v>583</v>
      </c>
      <c r="L5" s="358" t="s">
        <v>1876</v>
      </c>
      <c r="M5" s="351"/>
      <c r="N5" s="351"/>
      <c r="O5" s="351"/>
      <c r="P5" s="351"/>
      <c r="Q5" s="352"/>
    </row>
    <row r="6" spans="1:17" s="353" customFormat="1" ht="132">
      <c r="A6" s="31">
        <v>303</v>
      </c>
      <c r="B6" s="22" t="s">
        <v>585</v>
      </c>
      <c r="C6" s="22" t="s">
        <v>30</v>
      </c>
      <c r="D6" s="367" t="s">
        <v>382</v>
      </c>
      <c r="E6" s="442">
        <v>9.7934085711071955E-2</v>
      </c>
      <c r="F6" s="443">
        <v>8.4998687713246604E-2</v>
      </c>
      <c r="G6" s="443">
        <v>8.9300000000000004E-2</v>
      </c>
      <c r="H6" s="728">
        <v>8.5300000000000001E-2</v>
      </c>
      <c r="I6" s="728">
        <v>9.2100000000000001E-2</v>
      </c>
      <c r="J6" s="438" t="s">
        <v>586</v>
      </c>
      <c r="K6" s="439" t="s">
        <v>1840</v>
      </c>
      <c r="L6" s="358"/>
      <c r="M6" s="351"/>
      <c r="N6" s="351"/>
      <c r="O6" s="351"/>
      <c r="P6" s="351"/>
      <c r="Q6" s="352"/>
    </row>
    <row r="7" spans="1:17" s="353" customFormat="1" ht="59.1" customHeight="1">
      <c r="A7" s="31">
        <v>304</v>
      </c>
      <c r="B7" s="22" t="s">
        <v>590</v>
      </c>
      <c r="C7" s="22" t="s">
        <v>30</v>
      </c>
      <c r="D7" s="367" t="s">
        <v>382</v>
      </c>
      <c r="E7" s="442">
        <v>3.6986673918955673E-2</v>
      </c>
      <c r="F7" s="443">
        <v>4.7198941332157039E-2</v>
      </c>
      <c r="G7" s="443">
        <v>0.19589999999999999</v>
      </c>
      <c r="H7" s="728">
        <v>0.31169999999999998</v>
      </c>
      <c r="I7" s="728">
        <v>0.26950000000000002</v>
      </c>
      <c r="J7" s="438" t="s">
        <v>591</v>
      </c>
      <c r="K7" s="439" t="s">
        <v>1841</v>
      </c>
      <c r="L7" s="358"/>
    </row>
    <row r="8" spans="1:17" s="353" customFormat="1" ht="59.1" customHeight="1">
      <c r="A8" s="31">
        <v>305</v>
      </c>
      <c r="B8" s="22" t="s">
        <v>593</v>
      </c>
      <c r="C8" s="22" t="s">
        <v>30</v>
      </c>
      <c r="D8" s="367" t="s">
        <v>59</v>
      </c>
      <c r="E8" s="361" t="s">
        <v>59</v>
      </c>
      <c r="F8" s="362" t="s">
        <v>59</v>
      </c>
      <c r="G8" s="362" t="s">
        <v>59</v>
      </c>
      <c r="H8" s="623" t="s">
        <v>59</v>
      </c>
      <c r="I8" s="623" t="s">
        <v>59</v>
      </c>
      <c r="J8" s="438" t="s">
        <v>594</v>
      </c>
      <c r="K8" s="439" t="s">
        <v>1842</v>
      </c>
      <c r="L8" s="358"/>
    </row>
    <row r="9" spans="1:17" s="353" customFormat="1" ht="59.1" customHeight="1">
      <c r="A9" s="31">
        <v>306</v>
      </c>
      <c r="B9" s="22" t="s">
        <v>597</v>
      </c>
      <c r="C9" s="22" t="s">
        <v>164</v>
      </c>
      <c r="D9" s="367" t="s">
        <v>59</v>
      </c>
      <c r="E9" s="361" t="s">
        <v>59</v>
      </c>
      <c r="F9" s="362" t="s">
        <v>59</v>
      </c>
      <c r="G9" s="362" t="s">
        <v>59</v>
      </c>
      <c r="H9" s="623" t="s">
        <v>59</v>
      </c>
      <c r="I9" s="623" t="s">
        <v>59</v>
      </c>
      <c r="J9" s="438" t="s">
        <v>598</v>
      </c>
      <c r="K9" s="355"/>
      <c r="L9" s="358"/>
    </row>
    <row r="10" spans="1:17" s="353" customFormat="1" ht="12.75">
      <c r="A10" s="354"/>
      <c r="B10" s="355"/>
      <c r="C10" s="356"/>
      <c r="D10" s="367"/>
      <c r="E10" s="361"/>
      <c r="F10" s="362"/>
      <c r="G10" s="362"/>
      <c r="H10" s="623"/>
      <c r="I10" s="623"/>
      <c r="J10" s="357"/>
      <c r="K10" s="355"/>
      <c r="L10" s="358"/>
    </row>
    <row r="11" spans="1:17" s="353" customFormat="1" ht="12.75">
      <c r="A11" s="354"/>
      <c r="B11" s="355"/>
      <c r="C11" s="356"/>
      <c r="D11" s="367"/>
      <c r="E11" s="361"/>
      <c r="F11" s="362"/>
      <c r="G11" s="362"/>
      <c r="H11" s="623"/>
      <c r="I11" s="623"/>
      <c r="J11" s="357"/>
      <c r="K11" s="355"/>
      <c r="L11" s="358"/>
    </row>
    <row r="12" spans="1:17" s="353" customFormat="1" ht="12.75">
      <c r="A12" s="354"/>
      <c r="B12" s="355"/>
      <c r="C12" s="356"/>
      <c r="D12" s="368"/>
      <c r="E12" s="363"/>
      <c r="F12" s="364"/>
      <c r="G12" s="364"/>
      <c r="H12" s="623"/>
      <c r="I12" s="623"/>
      <c r="J12" s="359"/>
      <c r="K12" s="355"/>
      <c r="L12" s="358"/>
    </row>
    <row r="13" spans="1:17" s="353" customFormat="1" ht="12.75">
      <c r="A13" s="354"/>
      <c r="B13" s="355"/>
      <c r="C13" s="356"/>
      <c r="D13" s="367"/>
      <c r="E13" s="361"/>
      <c r="F13" s="362"/>
      <c r="G13" s="362"/>
      <c r="H13" s="623"/>
      <c r="I13" s="623"/>
      <c r="J13" s="357"/>
      <c r="K13" s="355"/>
      <c r="L13" s="358"/>
    </row>
    <row r="14" spans="1:17" s="353" customFormat="1" ht="12.75">
      <c r="A14" s="354"/>
      <c r="B14" s="355"/>
      <c r="C14" s="356"/>
      <c r="D14" s="369"/>
      <c r="E14" s="361"/>
      <c r="F14" s="362"/>
      <c r="G14" s="362"/>
      <c r="H14" s="623"/>
      <c r="I14" s="623"/>
      <c r="J14" s="357"/>
      <c r="K14" s="355"/>
      <c r="L14" s="358"/>
    </row>
    <row r="15" spans="1:17" s="353" customFormat="1" ht="12.75">
      <c r="A15" s="354"/>
      <c r="B15" s="355"/>
      <c r="C15" s="356"/>
      <c r="D15" s="367"/>
      <c r="E15" s="361"/>
      <c r="F15" s="362"/>
      <c r="G15" s="362"/>
      <c r="H15" s="623"/>
      <c r="I15" s="623"/>
      <c r="J15" s="357"/>
      <c r="K15" s="355"/>
      <c r="L15" s="358"/>
    </row>
    <row r="16" spans="1:17" s="353" customFormat="1" ht="12.75">
      <c r="A16" s="354"/>
      <c r="B16" s="355"/>
      <c r="C16" s="356"/>
      <c r="D16" s="368"/>
      <c r="E16" s="363"/>
      <c r="F16" s="365"/>
      <c r="G16" s="365"/>
      <c r="H16" s="623"/>
      <c r="I16" s="623"/>
      <c r="J16" s="357"/>
      <c r="K16" s="355"/>
      <c r="L16" s="358"/>
    </row>
    <row r="17" spans="1:12" s="353" customFormat="1" ht="24.6" customHeight="1">
      <c r="A17" s="354"/>
      <c r="B17" s="355"/>
      <c r="C17" s="356"/>
      <c r="D17" s="368"/>
      <c r="E17" s="363"/>
      <c r="F17" s="365"/>
      <c r="G17" s="365"/>
      <c r="H17" s="623"/>
      <c r="I17" s="623"/>
      <c r="J17" s="357"/>
      <c r="K17" s="355"/>
      <c r="L17" s="358"/>
    </row>
    <row r="18" spans="1:12" s="353" customFormat="1" ht="24.6" customHeight="1">
      <c r="A18" s="354"/>
      <c r="B18" s="355"/>
      <c r="C18" s="356"/>
      <c r="D18" s="368"/>
      <c r="E18" s="363"/>
      <c r="F18" s="365"/>
      <c r="G18" s="365"/>
      <c r="H18" s="623"/>
      <c r="I18" s="623"/>
      <c r="J18" s="357"/>
      <c r="K18" s="355"/>
      <c r="L18" s="358"/>
    </row>
    <row r="19" spans="1:12" s="353" customFormat="1" ht="24.6" customHeight="1">
      <c r="A19" s="354"/>
      <c r="B19" s="355"/>
      <c r="C19" s="356"/>
      <c r="D19" s="368"/>
      <c r="E19" s="363"/>
      <c r="F19" s="365"/>
      <c r="G19" s="365"/>
      <c r="H19" s="623"/>
      <c r="I19" s="623"/>
      <c r="J19" s="357"/>
      <c r="K19" s="355"/>
      <c r="L19" s="358"/>
    </row>
    <row r="20" spans="1:12" s="353" customFormat="1" ht="24.6" customHeight="1">
      <c r="A20" s="354"/>
      <c r="B20" s="355"/>
      <c r="C20" s="356"/>
      <c r="D20" s="368"/>
      <c r="E20" s="363"/>
      <c r="F20" s="365"/>
      <c r="G20" s="365"/>
      <c r="H20" s="623"/>
      <c r="I20" s="623"/>
      <c r="J20" s="357"/>
      <c r="K20" s="355"/>
      <c r="L20" s="358"/>
    </row>
    <row r="21" spans="1:12" s="353" customFormat="1" ht="24.6" customHeight="1">
      <c r="A21" s="354"/>
      <c r="B21" s="355"/>
      <c r="C21" s="356"/>
      <c r="D21" s="368"/>
      <c r="E21" s="363"/>
      <c r="F21" s="365"/>
      <c r="G21" s="365"/>
      <c r="H21" s="623"/>
      <c r="I21" s="623"/>
      <c r="J21" s="357"/>
      <c r="K21" s="355"/>
      <c r="L21" s="358"/>
    </row>
    <row r="22" spans="1:12" s="353" customFormat="1" ht="24.6" customHeight="1">
      <c r="A22" s="354"/>
      <c r="B22" s="355"/>
      <c r="C22" s="356"/>
      <c r="D22" s="368"/>
      <c r="E22" s="363"/>
      <c r="F22" s="365"/>
      <c r="G22" s="365"/>
      <c r="H22" s="623"/>
      <c r="I22" s="623"/>
      <c r="J22" s="357"/>
      <c r="K22" s="355"/>
      <c r="L22" s="358"/>
    </row>
    <row r="23" spans="1:12" s="353" customFormat="1" ht="12.75">
      <c r="A23" s="354"/>
      <c r="B23" s="355"/>
      <c r="C23" s="356"/>
      <c r="D23" s="368"/>
      <c r="E23" s="363"/>
      <c r="F23" s="365"/>
      <c r="G23" s="365"/>
      <c r="H23" s="623"/>
      <c r="I23" s="623"/>
      <c r="J23" s="357"/>
      <c r="K23" s="355"/>
      <c r="L23" s="358"/>
    </row>
    <row r="24" spans="1:12" s="353" customFormat="1" ht="12.75">
      <c r="A24" s="354"/>
      <c r="B24" s="355"/>
      <c r="C24" s="356"/>
      <c r="D24" s="368"/>
      <c r="E24" s="363"/>
      <c r="F24" s="365"/>
      <c r="G24" s="365"/>
      <c r="H24" s="623"/>
      <c r="I24" s="623" t="s">
        <v>1880</v>
      </c>
      <c r="J24" s="357"/>
      <c r="K24" s="355"/>
      <c r="L24" s="358"/>
    </row>
    <row r="25" spans="1:12" s="353" customFormat="1" ht="12.75">
      <c r="A25" s="354"/>
      <c r="B25" s="355"/>
      <c r="C25" s="356"/>
      <c r="D25" s="368"/>
      <c r="E25" s="363"/>
      <c r="F25" s="365"/>
      <c r="G25" s="365"/>
      <c r="H25" s="623"/>
      <c r="I25" s="623"/>
      <c r="J25" s="357"/>
      <c r="K25" s="355"/>
      <c r="L25" s="358"/>
    </row>
    <row r="26" spans="1:12" s="353" customFormat="1" ht="12.75">
      <c r="A26" s="354"/>
      <c r="B26" s="355"/>
      <c r="C26" s="356"/>
      <c r="D26" s="368"/>
      <c r="E26" s="363"/>
      <c r="F26" s="365"/>
      <c r="G26" s="365"/>
      <c r="H26" s="623"/>
      <c r="I26" s="623"/>
      <c r="J26" s="357"/>
      <c r="K26" s="355"/>
      <c r="L26" s="358"/>
    </row>
    <row r="27" spans="1:12" s="353" customFormat="1" ht="12.75">
      <c r="A27" s="354"/>
      <c r="B27" s="355"/>
      <c r="C27" s="356"/>
      <c r="D27" s="368"/>
      <c r="E27" s="363"/>
      <c r="F27" s="365"/>
      <c r="G27" s="365"/>
      <c r="H27" s="623"/>
      <c r="I27" s="623"/>
      <c r="J27" s="357"/>
      <c r="K27" s="355"/>
      <c r="L27" s="358"/>
    </row>
  </sheetData>
  <mergeCells count="1">
    <mergeCell ref="A1:K1"/>
  </mergeCells>
  <pageMargins left="0.7" right="0.7" top="0.75" bottom="0.75" header="0.3" footer="0.3"/>
  <pageSetup scale="75" orientation="landscape" r:id="rId1"/>
  <headerFooter>
    <oddFooter>&amp;RMay 1, 2019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92AB-9828-4CD1-995C-C8771A687EAD}">
  <sheetPr>
    <tabColor theme="5" tint="0.59999389629810485"/>
  </sheetPr>
  <dimension ref="A1:J24"/>
  <sheetViews>
    <sheetView zoomScale="70" zoomScaleNormal="70" workbookViewId="0">
      <selection activeCell="F2" sqref="F2"/>
    </sheetView>
  </sheetViews>
  <sheetFormatPr defaultColWidth="12.5703125" defaultRowHeight="15.75"/>
  <cols>
    <col min="1" max="4" width="12.5703125" style="70"/>
    <col min="5" max="5" width="49.28515625" style="70" customWidth="1"/>
    <col min="6" max="6" width="36.42578125" style="70" customWidth="1"/>
    <col min="7" max="7" width="29.28515625" style="70" customWidth="1"/>
    <col min="8" max="8" width="43.140625" style="70" customWidth="1"/>
    <col min="9" max="9" width="29.7109375" style="70" customWidth="1"/>
    <col min="10" max="16384" width="12.5703125" style="70"/>
  </cols>
  <sheetData>
    <row r="1" spans="1:10" s="771" customFormat="1" ht="38.25">
      <c r="A1" s="769" t="s">
        <v>2140</v>
      </c>
      <c r="B1" s="769" t="s">
        <v>26</v>
      </c>
      <c r="C1" s="769" t="s">
        <v>27</v>
      </c>
      <c r="D1" s="769" t="s">
        <v>28</v>
      </c>
      <c r="E1" s="769" t="s">
        <v>29</v>
      </c>
      <c r="F1" s="769" t="s">
        <v>30</v>
      </c>
      <c r="G1" s="769" t="s">
        <v>31</v>
      </c>
      <c r="H1" s="770" t="s">
        <v>2141</v>
      </c>
      <c r="I1" s="771">
        <v>2021</v>
      </c>
    </row>
    <row r="2" spans="1:10" s="776" customFormat="1" ht="51.75">
      <c r="A2" s="772">
        <v>308</v>
      </c>
      <c r="B2" s="772" t="s">
        <v>523</v>
      </c>
      <c r="C2" s="773" t="s">
        <v>601</v>
      </c>
      <c r="D2" s="772" t="s">
        <v>30</v>
      </c>
      <c r="E2" s="774" t="s">
        <v>602</v>
      </c>
      <c r="F2" s="773" t="s">
        <v>603</v>
      </c>
      <c r="G2" s="772" t="s">
        <v>604</v>
      </c>
      <c r="H2" s="775">
        <v>0</v>
      </c>
      <c r="I2" s="776">
        <v>0</v>
      </c>
    </row>
    <row r="3" spans="1:10" s="776" customFormat="1" ht="39">
      <c r="A3" s="772">
        <v>309</v>
      </c>
      <c r="B3" s="772" t="s">
        <v>611</v>
      </c>
      <c r="C3" s="773" t="s">
        <v>601</v>
      </c>
      <c r="D3" s="772" t="s">
        <v>30</v>
      </c>
      <c r="E3" s="774" t="s">
        <v>612</v>
      </c>
      <c r="F3" s="773" t="s">
        <v>613</v>
      </c>
      <c r="G3" s="772" t="s">
        <v>604</v>
      </c>
      <c r="H3" s="777">
        <v>0</v>
      </c>
      <c r="I3" s="776">
        <v>0</v>
      </c>
    </row>
    <row r="4" spans="1:10" s="776" customFormat="1" ht="39">
      <c r="A4" s="772">
        <v>310</v>
      </c>
      <c r="B4" s="772" t="s">
        <v>616</v>
      </c>
      <c r="C4" s="773" t="s">
        <v>617</v>
      </c>
      <c r="D4" s="772" t="s">
        <v>30</v>
      </c>
      <c r="E4" s="774" t="s">
        <v>2116</v>
      </c>
      <c r="F4" s="773" t="s">
        <v>619</v>
      </c>
      <c r="G4" s="772" t="s">
        <v>604</v>
      </c>
      <c r="H4" s="777">
        <v>23</v>
      </c>
      <c r="I4" s="778">
        <v>31</v>
      </c>
      <c r="J4" s="776" t="s">
        <v>2142</v>
      </c>
    </row>
    <row r="5" spans="1:10" s="776" customFormat="1" ht="77.25">
      <c r="A5" s="772">
        <v>311</v>
      </c>
      <c r="B5" s="772" t="s">
        <v>624</v>
      </c>
      <c r="C5" s="773" t="s">
        <v>625</v>
      </c>
      <c r="D5" s="772" t="s">
        <v>30</v>
      </c>
      <c r="E5" s="774" t="s">
        <v>626</v>
      </c>
      <c r="F5" s="773" t="s">
        <v>627</v>
      </c>
      <c r="G5" s="772" t="s">
        <v>604</v>
      </c>
      <c r="H5" s="777">
        <v>5</v>
      </c>
      <c r="I5" s="779">
        <v>5</v>
      </c>
      <c r="J5" s="776" t="s">
        <v>2143</v>
      </c>
    </row>
    <row r="6" spans="1:10" s="776" customFormat="1" ht="77.25">
      <c r="A6" s="772">
        <v>312</v>
      </c>
      <c r="B6" s="772" t="s">
        <v>624</v>
      </c>
      <c r="C6" s="773" t="s">
        <v>625</v>
      </c>
      <c r="D6" s="772" t="s">
        <v>30</v>
      </c>
      <c r="E6" s="774" t="s">
        <v>632</v>
      </c>
      <c r="F6" s="773" t="s">
        <v>633</v>
      </c>
      <c r="G6" s="772" t="s">
        <v>604</v>
      </c>
      <c r="H6" s="777" t="s">
        <v>634</v>
      </c>
      <c r="I6" s="777" t="s">
        <v>634</v>
      </c>
    </row>
    <row r="7" spans="1:10" s="776" customFormat="1" ht="51.75">
      <c r="A7" s="772">
        <v>313</v>
      </c>
      <c r="B7" s="772" t="s">
        <v>639</v>
      </c>
      <c r="C7" s="773" t="s">
        <v>640</v>
      </c>
      <c r="D7" s="772" t="s">
        <v>30</v>
      </c>
      <c r="E7" s="774" t="s">
        <v>641</v>
      </c>
      <c r="F7" s="773" t="s">
        <v>642</v>
      </c>
      <c r="G7" s="772" t="s">
        <v>604</v>
      </c>
      <c r="H7" s="777" t="s">
        <v>643</v>
      </c>
      <c r="I7" s="777" t="s">
        <v>643</v>
      </c>
    </row>
    <row r="8" spans="1:10" s="776" customFormat="1" ht="51.75">
      <c r="A8" s="772">
        <v>314</v>
      </c>
      <c r="B8" s="772" t="s">
        <v>639</v>
      </c>
      <c r="C8" s="773" t="s">
        <v>640</v>
      </c>
      <c r="D8" s="772" t="s">
        <v>30</v>
      </c>
      <c r="E8" s="774" t="s">
        <v>648</v>
      </c>
      <c r="F8" s="773" t="s">
        <v>649</v>
      </c>
      <c r="G8" s="772" t="s">
        <v>604</v>
      </c>
      <c r="H8" s="777" t="s">
        <v>643</v>
      </c>
      <c r="I8" s="777" t="s">
        <v>643</v>
      </c>
    </row>
    <row r="9" spans="1:10" s="776" customFormat="1" ht="64.5">
      <c r="A9" s="772">
        <v>315</v>
      </c>
      <c r="B9" s="772" t="s">
        <v>653</v>
      </c>
      <c r="C9" s="773" t="s">
        <v>654</v>
      </c>
      <c r="D9" s="772" t="s">
        <v>30</v>
      </c>
      <c r="E9" s="774" t="s">
        <v>655</v>
      </c>
      <c r="F9" s="773" t="s">
        <v>656</v>
      </c>
      <c r="G9" s="772" t="s">
        <v>604</v>
      </c>
      <c r="H9" s="777" t="s">
        <v>657</v>
      </c>
      <c r="I9" s="777" t="s">
        <v>657</v>
      </c>
    </row>
    <row r="10" spans="1:10" s="776" customFormat="1" ht="64.5">
      <c r="A10" s="772">
        <v>316</v>
      </c>
      <c r="B10" s="772" t="s">
        <v>661</v>
      </c>
      <c r="C10" s="773" t="s">
        <v>654</v>
      </c>
      <c r="D10" s="772" t="s">
        <v>30</v>
      </c>
      <c r="E10" s="774" t="s">
        <v>662</v>
      </c>
      <c r="F10" s="773" t="s">
        <v>663</v>
      </c>
      <c r="G10" s="772" t="s">
        <v>604</v>
      </c>
      <c r="H10" s="777" t="s">
        <v>657</v>
      </c>
      <c r="I10" s="777" t="s">
        <v>657</v>
      </c>
    </row>
    <row r="11" spans="1:10" s="776" customFormat="1" ht="51.75">
      <c r="A11" s="772">
        <v>317</v>
      </c>
      <c r="B11" s="772" t="s">
        <v>142</v>
      </c>
      <c r="C11" s="773" t="s">
        <v>654</v>
      </c>
      <c r="D11" s="772" t="s">
        <v>30</v>
      </c>
      <c r="E11" s="774" t="s">
        <v>2118</v>
      </c>
      <c r="F11" s="773" t="s">
        <v>667</v>
      </c>
      <c r="G11" s="772" t="s">
        <v>604</v>
      </c>
      <c r="H11" s="777" t="s">
        <v>657</v>
      </c>
      <c r="I11" s="777" t="s">
        <v>657</v>
      </c>
    </row>
    <row r="12" spans="1:10" s="776" customFormat="1" ht="51.75">
      <c r="A12" s="772">
        <v>318</v>
      </c>
      <c r="B12" s="772" t="s">
        <v>523</v>
      </c>
      <c r="C12" s="773" t="s">
        <v>654</v>
      </c>
      <c r="D12" s="772" t="s">
        <v>30</v>
      </c>
      <c r="E12" s="774" t="s">
        <v>670</v>
      </c>
      <c r="F12" s="773" t="s">
        <v>671</v>
      </c>
      <c r="G12" s="772" t="s">
        <v>604</v>
      </c>
      <c r="H12" s="777" t="s">
        <v>657</v>
      </c>
      <c r="I12" s="777" t="s">
        <v>657</v>
      </c>
    </row>
    <row r="13" spans="1:10" s="776" customFormat="1" ht="77.25">
      <c r="A13" s="772">
        <v>319</v>
      </c>
      <c r="B13" s="772" t="s">
        <v>675</v>
      </c>
      <c r="C13" s="773" t="s">
        <v>676</v>
      </c>
      <c r="D13" s="772" t="s">
        <v>30</v>
      </c>
      <c r="E13" s="774" t="s">
        <v>2119</v>
      </c>
      <c r="F13" s="773" t="s">
        <v>678</v>
      </c>
      <c r="G13" s="772" t="s">
        <v>604</v>
      </c>
      <c r="H13" s="777" t="s">
        <v>657</v>
      </c>
      <c r="I13" s="777" t="s">
        <v>657</v>
      </c>
    </row>
    <row r="14" spans="1:10" s="776" customFormat="1" ht="77.25">
      <c r="A14" s="772">
        <v>320</v>
      </c>
      <c r="B14" s="772" t="s">
        <v>682</v>
      </c>
      <c r="C14" s="773" t="s">
        <v>676</v>
      </c>
      <c r="D14" s="772" t="s">
        <v>30</v>
      </c>
      <c r="E14" s="774" t="s">
        <v>2120</v>
      </c>
      <c r="F14" s="773" t="s">
        <v>684</v>
      </c>
      <c r="G14" s="772" t="s">
        <v>604</v>
      </c>
      <c r="H14" s="777" t="s">
        <v>657</v>
      </c>
      <c r="I14" s="777" t="s">
        <v>657</v>
      </c>
    </row>
    <row r="15" spans="1:10" s="776" customFormat="1" ht="77.25">
      <c r="A15" s="772">
        <v>321</v>
      </c>
      <c r="B15" s="772" t="s">
        <v>686</v>
      </c>
      <c r="C15" s="773" t="s">
        <v>676</v>
      </c>
      <c r="D15" s="772" t="s">
        <v>30</v>
      </c>
      <c r="E15" s="774" t="s">
        <v>2121</v>
      </c>
      <c r="F15" s="773" t="s">
        <v>688</v>
      </c>
      <c r="G15" s="772" t="s">
        <v>604</v>
      </c>
      <c r="H15" s="777" t="s">
        <v>657</v>
      </c>
      <c r="I15" s="777" t="s">
        <v>657</v>
      </c>
    </row>
    <row r="16" spans="1:10" s="776" customFormat="1" ht="153.75">
      <c r="A16" s="772">
        <v>322</v>
      </c>
      <c r="B16" s="772" t="s">
        <v>690</v>
      </c>
      <c r="C16" s="773" t="s">
        <v>691</v>
      </c>
      <c r="D16" s="772" t="s">
        <v>30</v>
      </c>
      <c r="E16" s="774" t="s">
        <v>2122</v>
      </c>
      <c r="F16" s="773" t="s">
        <v>2123</v>
      </c>
      <c r="G16" s="772" t="s">
        <v>604</v>
      </c>
      <c r="H16" s="777" t="s">
        <v>2124</v>
      </c>
      <c r="I16" s="777" t="s">
        <v>2124</v>
      </c>
    </row>
    <row r="17" spans="1:9" s="776" customFormat="1" ht="153.75">
      <c r="A17" s="772">
        <v>323</v>
      </c>
      <c r="B17" s="772" t="s">
        <v>697</v>
      </c>
      <c r="C17" s="773" t="s">
        <v>691</v>
      </c>
      <c r="D17" s="772" t="s">
        <v>30</v>
      </c>
      <c r="E17" s="774" t="s">
        <v>2125</v>
      </c>
      <c r="F17" s="773" t="s">
        <v>2126</v>
      </c>
      <c r="G17" s="772" t="s">
        <v>604</v>
      </c>
      <c r="H17" s="777" t="s">
        <v>2127</v>
      </c>
      <c r="I17" s="777" t="s">
        <v>2127</v>
      </c>
    </row>
    <row r="18" spans="1:9" s="776" customFormat="1" ht="153.75">
      <c r="A18" s="772">
        <v>324</v>
      </c>
      <c r="B18" s="772" t="s">
        <v>701</v>
      </c>
      <c r="C18" s="773" t="s">
        <v>691</v>
      </c>
      <c r="D18" s="772" t="s">
        <v>30</v>
      </c>
      <c r="E18" s="774" t="s">
        <v>2128</v>
      </c>
      <c r="F18" s="773" t="s">
        <v>2129</v>
      </c>
      <c r="G18" s="772" t="s">
        <v>604</v>
      </c>
      <c r="H18" s="777" t="s">
        <v>2124</v>
      </c>
      <c r="I18" s="777" t="s">
        <v>2124</v>
      </c>
    </row>
    <row r="19" spans="1:9" s="776" customFormat="1" ht="153.75">
      <c r="A19" s="772">
        <v>325</v>
      </c>
      <c r="B19" s="772" t="s">
        <v>705</v>
      </c>
      <c r="C19" s="773" t="s">
        <v>691</v>
      </c>
      <c r="D19" s="772" t="s">
        <v>30</v>
      </c>
      <c r="E19" s="774" t="s">
        <v>2130</v>
      </c>
      <c r="F19" s="773" t="s">
        <v>2131</v>
      </c>
      <c r="G19" s="772" t="s">
        <v>604</v>
      </c>
      <c r="H19" s="777" t="s">
        <v>2124</v>
      </c>
      <c r="I19" s="777" t="s">
        <v>2124</v>
      </c>
    </row>
    <row r="20" spans="1:9" s="776" customFormat="1" ht="153.75">
      <c r="A20" s="772">
        <v>326</v>
      </c>
      <c r="B20" s="772" t="s">
        <v>690</v>
      </c>
      <c r="C20" s="773" t="s">
        <v>691</v>
      </c>
      <c r="D20" s="772" t="s">
        <v>30</v>
      </c>
      <c r="E20" s="774" t="s">
        <v>2132</v>
      </c>
      <c r="F20" s="773" t="s">
        <v>2102</v>
      </c>
      <c r="G20" s="772" t="s">
        <v>604</v>
      </c>
      <c r="H20" s="777" t="s">
        <v>2124</v>
      </c>
      <c r="I20" s="777" t="s">
        <v>2124</v>
      </c>
    </row>
    <row r="21" spans="1:9" s="776" customFormat="1" ht="153.75">
      <c r="A21" s="772">
        <v>327</v>
      </c>
      <c r="B21" s="772" t="s">
        <v>697</v>
      </c>
      <c r="C21" s="773" t="s">
        <v>691</v>
      </c>
      <c r="D21" s="772" t="s">
        <v>30</v>
      </c>
      <c r="E21" s="774" t="s">
        <v>2133</v>
      </c>
      <c r="F21" s="773" t="s">
        <v>2134</v>
      </c>
      <c r="G21" s="772" t="s">
        <v>604</v>
      </c>
      <c r="H21" s="777" t="s">
        <v>2124</v>
      </c>
      <c r="I21" s="777" t="s">
        <v>2124</v>
      </c>
    </row>
    <row r="22" spans="1:9" s="776" customFormat="1" ht="153.75">
      <c r="A22" s="772">
        <v>328</v>
      </c>
      <c r="B22" s="772" t="s">
        <v>701</v>
      </c>
      <c r="C22" s="773" t="s">
        <v>691</v>
      </c>
      <c r="D22" s="772" t="s">
        <v>30</v>
      </c>
      <c r="E22" s="774" t="s">
        <v>2135</v>
      </c>
      <c r="F22" s="773" t="s">
        <v>2136</v>
      </c>
      <c r="G22" s="772" t="s">
        <v>604</v>
      </c>
      <c r="H22" s="777" t="s">
        <v>2124</v>
      </c>
      <c r="I22" s="777" t="s">
        <v>2124</v>
      </c>
    </row>
    <row r="23" spans="1:9" s="776" customFormat="1" ht="153.75">
      <c r="A23" s="772">
        <v>329</v>
      </c>
      <c r="B23" s="772" t="s">
        <v>705</v>
      </c>
      <c r="C23" s="773" t="s">
        <v>691</v>
      </c>
      <c r="D23" s="772" t="s">
        <v>30</v>
      </c>
      <c r="E23" s="774" t="s">
        <v>2137</v>
      </c>
      <c r="F23" s="773" t="s">
        <v>2138</v>
      </c>
      <c r="G23" s="772" t="s">
        <v>604</v>
      </c>
      <c r="H23" s="777" t="s">
        <v>2124</v>
      </c>
      <c r="I23" s="777" t="s">
        <v>2124</v>
      </c>
    </row>
    <row r="24" spans="1:9" s="776" customFormat="1" ht="90">
      <c r="A24" s="772">
        <v>330</v>
      </c>
      <c r="B24" s="772" t="s">
        <v>724</v>
      </c>
      <c r="C24" s="773" t="s">
        <v>725</v>
      </c>
      <c r="D24" s="772" t="s">
        <v>30</v>
      </c>
      <c r="E24" s="774" t="s">
        <v>726</v>
      </c>
      <c r="F24" s="773" t="s">
        <v>727</v>
      </c>
      <c r="G24" s="772" t="s">
        <v>604</v>
      </c>
      <c r="H24" s="777" t="s">
        <v>2139</v>
      </c>
      <c r="I24" s="777" t="s">
        <v>2139</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A1EE-14E1-4C13-A8CC-EB0FD62B422A}">
  <sheetPr>
    <pageSetUpPr fitToPage="1"/>
  </sheetPr>
  <dimension ref="A1:AI337"/>
  <sheetViews>
    <sheetView zoomScale="90" zoomScaleNormal="90" workbookViewId="0">
      <pane xSplit="1" topLeftCell="AA1" activePane="topRight" state="frozen"/>
      <selection pane="topRight" activeCell="AD1" sqref="AD1:AF1048576"/>
    </sheetView>
  </sheetViews>
  <sheetFormatPr defaultColWidth="8.7109375" defaultRowHeight="18.75" customHeight="1"/>
  <cols>
    <col min="1" max="1" width="18.140625" style="743" customWidth="1"/>
    <col min="2" max="2" width="33.140625" style="743" bestFit="1" customWidth="1"/>
    <col min="3" max="3" width="21.42578125" style="742" customWidth="1"/>
    <col min="4" max="4" width="20.5703125" style="743" customWidth="1"/>
    <col min="5" max="5" width="47.5703125" style="744" customWidth="1"/>
    <col min="6" max="6" width="51.140625" style="742" customWidth="1"/>
    <col min="7" max="10" width="40.42578125" style="743" customWidth="1"/>
    <col min="11" max="11" width="50.42578125" style="745" customWidth="1"/>
    <col min="12" max="12" width="13.140625" style="746" customWidth="1"/>
    <col min="13" max="13" width="31.42578125" style="746" bestFit="1" customWidth="1"/>
    <col min="14" max="14" width="13.7109375" style="746" hidden="1" customWidth="1"/>
    <col min="15" max="15" width="13" style="746" hidden="1" customWidth="1"/>
    <col min="16" max="16" width="42.140625" style="746" customWidth="1"/>
    <col min="17" max="17" width="37.85546875" style="746" customWidth="1"/>
    <col min="18" max="18" width="23.28515625" style="746" customWidth="1"/>
    <col min="19" max="22" width="15.85546875" style="746" hidden="1" customWidth="1"/>
    <col min="23" max="23" width="15.5703125" style="746" hidden="1" customWidth="1"/>
    <col min="24" max="24" width="28.140625" style="746" customWidth="1"/>
    <col min="25" max="29" width="23.42578125" style="746" customWidth="1"/>
    <col min="30" max="30" width="18.140625" customWidth="1"/>
    <col min="31" max="31" width="13.7109375" style="746" bestFit="1" customWidth="1"/>
    <col min="32" max="32" width="15" style="746" customWidth="1"/>
    <col min="33" max="33" width="51.140625" style="746" bestFit="1" customWidth="1"/>
    <col min="34" max="34" width="71.85546875" style="746" customWidth="1"/>
    <col min="35" max="35" width="24.140625" style="746" customWidth="1"/>
    <col min="36" max="16384" width="8.7109375" style="746"/>
  </cols>
  <sheetData>
    <row r="1" spans="1:35" ht="18.75" customHeight="1">
      <c r="A1" s="747" t="s">
        <v>2147</v>
      </c>
      <c r="Y1" s="783"/>
      <c r="Z1" s="783"/>
      <c r="AA1" s="783"/>
      <c r="AB1" s="783"/>
      <c r="AC1" s="783"/>
    </row>
    <row r="2" spans="1:35" ht="18.75" customHeight="1">
      <c r="A2" s="784" t="s">
        <v>1886</v>
      </c>
      <c r="B2" s="785"/>
      <c r="C2" s="785"/>
      <c r="D2" s="785"/>
      <c r="E2" s="785"/>
      <c r="F2" s="785"/>
      <c r="G2" s="785"/>
      <c r="H2" s="785"/>
      <c r="I2" s="785"/>
      <c r="J2" s="785"/>
      <c r="K2" s="785"/>
      <c r="L2" s="785"/>
      <c r="M2" s="785"/>
      <c r="N2" s="785"/>
      <c r="O2" s="785"/>
      <c r="P2" s="785"/>
      <c r="Q2" s="785"/>
      <c r="R2" s="785"/>
      <c r="S2" s="785"/>
      <c r="T2" s="785"/>
      <c r="U2" s="785"/>
      <c r="V2" s="785"/>
      <c r="W2" s="785"/>
      <c r="X2" s="785"/>
      <c r="Y2" s="786"/>
      <c r="Z2" s="786"/>
      <c r="AA2" s="786"/>
      <c r="AB2" s="786"/>
      <c r="AC2" s="786"/>
      <c r="AE2" s="785"/>
      <c r="AF2" s="785"/>
      <c r="AG2" s="785"/>
      <c r="AH2" s="785"/>
      <c r="AI2" s="787"/>
    </row>
    <row r="3" spans="1:35" ht="18.75" customHeight="1">
      <c r="A3" s="1011" t="s">
        <v>1561</v>
      </c>
      <c r="B3" s="1011" t="s">
        <v>22</v>
      </c>
      <c r="C3" s="1011" t="s">
        <v>23</v>
      </c>
      <c r="D3" s="1011" t="s">
        <v>24</v>
      </c>
      <c r="E3" s="1011" t="s">
        <v>25</v>
      </c>
      <c r="F3" s="1011" t="s">
        <v>26</v>
      </c>
      <c r="G3" s="1011" t="s">
        <v>27</v>
      </c>
      <c r="H3" s="1011" t="s">
        <v>1887</v>
      </c>
      <c r="I3" s="1011" t="s">
        <v>29</v>
      </c>
      <c r="J3" s="1011" t="s">
        <v>30</v>
      </c>
      <c r="K3" s="1011" t="s">
        <v>31</v>
      </c>
      <c r="L3" s="1019" t="s">
        <v>1888</v>
      </c>
      <c r="M3" s="1021" t="s">
        <v>1889</v>
      </c>
      <c r="N3" s="1017" t="s">
        <v>1890</v>
      </c>
      <c r="O3" s="1017" t="s">
        <v>1891</v>
      </c>
      <c r="P3" s="1017" t="s">
        <v>1832</v>
      </c>
      <c r="Q3" s="1017" t="s">
        <v>1892</v>
      </c>
      <c r="R3" s="1017" t="s">
        <v>1893</v>
      </c>
      <c r="S3" s="1014" t="s">
        <v>1894</v>
      </c>
      <c r="T3" s="1014"/>
      <c r="U3" s="1014"/>
      <c r="V3" s="1014" t="s">
        <v>1895</v>
      </c>
      <c r="W3" s="1014" t="s">
        <v>1896</v>
      </c>
      <c r="X3" s="1012" t="s">
        <v>1897</v>
      </c>
      <c r="Y3" s="1015" t="s">
        <v>1894</v>
      </c>
      <c r="Z3" s="1015"/>
      <c r="AA3" s="1015"/>
      <c r="AB3" s="1016" t="s">
        <v>1895</v>
      </c>
      <c r="AC3" s="1015" t="s">
        <v>1896</v>
      </c>
      <c r="AD3" s="1012" t="s">
        <v>2227</v>
      </c>
      <c r="AE3" s="1017" t="s">
        <v>2225</v>
      </c>
      <c r="AF3" s="1017" t="s">
        <v>2226</v>
      </c>
      <c r="AG3" s="1011" t="s">
        <v>35</v>
      </c>
      <c r="AH3" s="1011" t="s">
        <v>36</v>
      </c>
      <c r="AI3" s="1011" t="s">
        <v>1898</v>
      </c>
    </row>
    <row r="4" spans="1:35" s="789" customFormat="1" ht="18.75" customHeight="1">
      <c r="A4" s="1011"/>
      <c r="B4" s="1011"/>
      <c r="C4" s="1011"/>
      <c r="D4" s="1011"/>
      <c r="E4" s="1011"/>
      <c r="F4" s="1011"/>
      <c r="G4" s="1011"/>
      <c r="H4" s="1011"/>
      <c r="I4" s="1011"/>
      <c r="J4" s="1011"/>
      <c r="K4" s="1011"/>
      <c r="L4" s="1020"/>
      <c r="M4" s="1022"/>
      <c r="N4" s="1018"/>
      <c r="O4" s="1018"/>
      <c r="P4" s="1018"/>
      <c r="Q4" s="1018"/>
      <c r="R4" s="1018"/>
      <c r="S4" s="788" t="s">
        <v>2148</v>
      </c>
      <c r="T4" s="788" t="s">
        <v>2149</v>
      </c>
      <c r="U4" s="788" t="s">
        <v>2150</v>
      </c>
      <c r="V4" s="1014"/>
      <c r="W4" s="1014"/>
      <c r="X4" s="1013"/>
      <c r="Y4" s="1015"/>
      <c r="Z4" s="1015"/>
      <c r="AA4" s="1015"/>
      <c r="AB4" s="1016"/>
      <c r="AC4" s="1015"/>
      <c r="AD4" s="1013"/>
      <c r="AE4" s="1018"/>
      <c r="AF4" s="1018"/>
      <c r="AG4" s="1011"/>
      <c r="AH4" s="1011"/>
      <c r="AI4" s="1011"/>
    </row>
    <row r="5" spans="1:35" ht="18.75" customHeight="1">
      <c r="A5" s="790">
        <v>0</v>
      </c>
      <c r="B5" s="790" t="s">
        <v>39</v>
      </c>
      <c r="C5" s="790" t="s">
        <v>40</v>
      </c>
      <c r="D5" s="790" t="s">
        <v>41</v>
      </c>
      <c r="E5" s="790" t="s">
        <v>42</v>
      </c>
      <c r="F5" s="791" t="s">
        <v>43</v>
      </c>
      <c r="G5" s="791" t="s">
        <v>737</v>
      </c>
      <c r="H5" s="791" t="s">
        <v>30</v>
      </c>
      <c r="I5" s="792" t="s">
        <v>1899</v>
      </c>
      <c r="J5" s="792" t="s">
        <v>46</v>
      </c>
      <c r="K5" s="793" t="s">
        <v>47</v>
      </c>
      <c r="L5" s="790">
        <v>2016</v>
      </c>
      <c r="M5" s="794">
        <v>239527.02912665569</v>
      </c>
      <c r="N5" s="795" t="s">
        <v>59</v>
      </c>
      <c r="O5" s="795" t="s">
        <v>59</v>
      </c>
      <c r="P5" s="796">
        <v>319930.91134699981</v>
      </c>
      <c r="Q5" s="796">
        <v>314738.79214771045</v>
      </c>
      <c r="R5" s="796">
        <v>188828.06770849638</v>
      </c>
      <c r="S5" s="796">
        <v>76996.295619272336</v>
      </c>
      <c r="T5" s="796">
        <v>76996.295619272336</v>
      </c>
      <c r="U5" s="796">
        <v>76996.295619272336</v>
      </c>
      <c r="V5" s="796">
        <v>230988.88685781701</v>
      </c>
      <c r="W5" s="796">
        <v>161692.2208004719</v>
      </c>
      <c r="X5" s="796">
        <v>430859.54135822126</v>
      </c>
      <c r="Y5" s="741">
        <v>76996.295619272336</v>
      </c>
      <c r="Z5" s="741">
        <v>76996.295619272336</v>
      </c>
      <c r="AA5" s="741">
        <v>76996.295619272336</v>
      </c>
      <c r="AB5" s="741">
        <v>230988.88685781701</v>
      </c>
      <c r="AC5" s="741">
        <v>161692.2208004719</v>
      </c>
      <c r="AD5" s="741">
        <v>13909.089690152905</v>
      </c>
      <c r="AE5" s="741" t="s">
        <v>59</v>
      </c>
      <c r="AF5" s="741" t="s">
        <v>59</v>
      </c>
      <c r="AG5" s="798" t="s">
        <v>1900</v>
      </c>
      <c r="AH5" s="798" t="s">
        <v>1901</v>
      </c>
      <c r="AI5" s="798"/>
    </row>
    <row r="6" spans="1:35" ht="18.75" customHeight="1">
      <c r="A6" s="790">
        <v>1</v>
      </c>
      <c r="B6" s="790" t="s">
        <v>39</v>
      </c>
      <c r="C6" s="790" t="s">
        <v>50</v>
      </c>
      <c r="D6" s="790" t="s">
        <v>41</v>
      </c>
      <c r="E6" s="790" t="s">
        <v>51</v>
      </c>
      <c r="F6" s="791" t="s">
        <v>52</v>
      </c>
      <c r="G6" s="791" t="s">
        <v>53</v>
      </c>
      <c r="H6" s="791" t="s">
        <v>30</v>
      </c>
      <c r="I6" s="792" t="s">
        <v>1902</v>
      </c>
      <c r="J6" s="792" t="s">
        <v>52</v>
      </c>
      <c r="K6" s="793" t="s">
        <v>47</v>
      </c>
      <c r="L6" s="790">
        <v>2016</v>
      </c>
      <c r="M6" s="794">
        <v>98609.066312581621</v>
      </c>
      <c r="N6" s="795" t="s">
        <v>59</v>
      </c>
      <c r="O6" s="795" t="s">
        <v>59</v>
      </c>
      <c r="P6" s="796">
        <v>87297.336761534578</v>
      </c>
      <c r="Q6" s="796">
        <v>132022.27971599301</v>
      </c>
      <c r="R6" s="796">
        <v>55212.734798799051</v>
      </c>
      <c r="S6" s="796">
        <v>49464.29529427176</v>
      </c>
      <c r="T6" s="796">
        <v>49464.29529427176</v>
      </c>
      <c r="U6" s="796">
        <v>49464.29529427176</v>
      </c>
      <c r="V6" s="796">
        <v>148392.88588281529</v>
      </c>
      <c r="W6" s="796">
        <v>105860.74954419865</v>
      </c>
      <c r="X6" s="796">
        <v>96882.204262534593</v>
      </c>
      <c r="Y6" s="741">
        <v>49464.29529427176</v>
      </c>
      <c r="Z6" s="741">
        <v>49464.29529427176</v>
      </c>
      <c r="AA6" s="741">
        <v>49464.29529427176</v>
      </c>
      <c r="AB6" s="741">
        <v>148392.88588281529</v>
      </c>
      <c r="AC6" s="741">
        <v>105860.74954419865</v>
      </c>
      <c r="AD6" s="741">
        <v>15503.688943589319</v>
      </c>
      <c r="AE6" s="741" t="s">
        <v>59</v>
      </c>
      <c r="AF6" s="741" t="s">
        <v>59</v>
      </c>
      <c r="AG6" s="798" t="s">
        <v>1903</v>
      </c>
      <c r="AH6" s="798" t="s">
        <v>1904</v>
      </c>
      <c r="AI6" s="798"/>
    </row>
    <row r="7" spans="1:35" ht="18.75" customHeight="1">
      <c r="A7" s="790">
        <v>2</v>
      </c>
      <c r="B7" s="790" t="s">
        <v>39</v>
      </c>
      <c r="C7" s="790" t="s">
        <v>50</v>
      </c>
      <c r="D7" s="790" t="s">
        <v>41</v>
      </c>
      <c r="E7" s="790" t="s">
        <v>51</v>
      </c>
      <c r="F7" s="791" t="s">
        <v>55</v>
      </c>
      <c r="G7" s="791" t="s">
        <v>53</v>
      </c>
      <c r="H7" s="791" t="s">
        <v>30</v>
      </c>
      <c r="I7" s="792" t="s">
        <v>1902</v>
      </c>
      <c r="J7" s="792" t="s">
        <v>55</v>
      </c>
      <c r="K7" s="793" t="s">
        <v>47</v>
      </c>
      <c r="L7" s="790">
        <v>2016</v>
      </c>
      <c r="M7" s="794">
        <v>89176.917538019159</v>
      </c>
      <c r="N7" s="795" t="s">
        <v>59</v>
      </c>
      <c r="O7" s="795" t="s">
        <v>59</v>
      </c>
      <c r="P7" s="796">
        <v>80492.313475682531</v>
      </c>
      <c r="Q7" s="796">
        <v>129587.916603294</v>
      </c>
      <c r="R7" s="796">
        <v>53057.774834896096</v>
      </c>
      <c r="S7" s="796">
        <v>43794.82749985523</v>
      </c>
      <c r="T7" s="796">
        <v>43794.82749985523</v>
      </c>
      <c r="U7" s="796">
        <v>43794.82749985523</v>
      </c>
      <c r="V7" s="796">
        <v>131384.4824995657</v>
      </c>
      <c r="W7" s="796">
        <v>93864.431094136569</v>
      </c>
      <c r="X7" s="796">
        <v>95334.242858835059</v>
      </c>
      <c r="Y7" s="741">
        <v>43794.82749985523</v>
      </c>
      <c r="Z7" s="741">
        <v>43794.82749985523</v>
      </c>
      <c r="AA7" s="741">
        <v>43794.82749985523</v>
      </c>
      <c r="AB7" s="741">
        <v>131384.4824995657</v>
      </c>
      <c r="AC7" s="741">
        <v>93864.431094136569</v>
      </c>
      <c r="AD7" s="741">
        <v>13165.070359019179</v>
      </c>
      <c r="AE7" s="741" t="s">
        <v>59</v>
      </c>
      <c r="AF7" s="741" t="s">
        <v>59</v>
      </c>
      <c r="AG7" s="798" t="s">
        <v>1903</v>
      </c>
      <c r="AH7" s="798" t="s">
        <v>1904</v>
      </c>
      <c r="AI7" s="798"/>
    </row>
    <row r="8" spans="1:35" ht="18.75" customHeight="1">
      <c r="A8" s="790">
        <v>3</v>
      </c>
      <c r="B8" s="790" t="s">
        <v>39</v>
      </c>
      <c r="C8" s="790" t="s">
        <v>50</v>
      </c>
      <c r="D8" s="790" t="s">
        <v>41</v>
      </c>
      <c r="E8" s="790" t="s">
        <v>51</v>
      </c>
      <c r="F8" s="791" t="s">
        <v>56</v>
      </c>
      <c r="G8" s="791" t="s">
        <v>53</v>
      </c>
      <c r="H8" s="791" t="s">
        <v>30</v>
      </c>
      <c r="I8" s="792" t="s">
        <v>1902</v>
      </c>
      <c r="J8" s="792" t="s">
        <v>56</v>
      </c>
      <c r="K8" s="793" t="s">
        <v>47</v>
      </c>
      <c r="L8" s="790">
        <v>2016</v>
      </c>
      <c r="M8" s="794">
        <v>372063992.70350373</v>
      </c>
      <c r="N8" s="795" t="s">
        <v>59</v>
      </c>
      <c r="O8" s="795" t="s">
        <v>59</v>
      </c>
      <c r="P8" s="796">
        <v>481703716.36790425</v>
      </c>
      <c r="Q8" s="796">
        <v>460021010.46108401</v>
      </c>
      <c r="R8" s="796">
        <v>251434561.78932336</v>
      </c>
      <c r="S8" s="796">
        <v>229181761.51960665</v>
      </c>
      <c r="T8" s="796">
        <v>229181761.51960665</v>
      </c>
      <c r="U8" s="796">
        <v>229181761.51960665</v>
      </c>
      <c r="V8" s="796">
        <v>687545284.55882001</v>
      </c>
      <c r="W8" s="796">
        <v>498393941.62049663</v>
      </c>
      <c r="X8" s="796">
        <v>582129640.340325</v>
      </c>
      <c r="Y8" s="741">
        <v>229181761.51960665</v>
      </c>
      <c r="Z8" s="741">
        <v>229181761.51960665</v>
      </c>
      <c r="AA8" s="741">
        <v>229181761.51960665</v>
      </c>
      <c r="AB8" s="741">
        <v>687545284.55882001</v>
      </c>
      <c r="AC8" s="741">
        <v>498393941.62049663</v>
      </c>
      <c r="AD8" s="741">
        <v>83775915.125015244</v>
      </c>
      <c r="AE8" s="741" t="s">
        <v>59</v>
      </c>
      <c r="AF8" s="741" t="s">
        <v>59</v>
      </c>
      <c r="AG8" s="798" t="s">
        <v>1903</v>
      </c>
      <c r="AH8" s="798" t="s">
        <v>1904</v>
      </c>
      <c r="AI8" s="798"/>
    </row>
    <row r="9" spans="1:35" ht="18.75" customHeight="1">
      <c r="A9" s="790">
        <v>4</v>
      </c>
      <c r="B9" s="790" t="s">
        <v>39</v>
      </c>
      <c r="C9" s="790" t="s">
        <v>50</v>
      </c>
      <c r="D9" s="790" t="s">
        <v>41</v>
      </c>
      <c r="E9" s="790" t="s">
        <v>51</v>
      </c>
      <c r="F9" s="791" t="s">
        <v>57</v>
      </c>
      <c r="G9" s="791" t="s">
        <v>53</v>
      </c>
      <c r="H9" s="791" t="s">
        <v>30</v>
      </c>
      <c r="I9" s="792" t="s">
        <v>1902</v>
      </c>
      <c r="J9" s="792" t="s">
        <v>57</v>
      </c>
      <c r="K9" s="793" t="s">
        <v>47</v>
      </c>
      <c r="L9" s="790">
        <v>2016</v>
      </c>
      <c r="M9" s="794">
        <v>316429661.90514046</v>
      </c>
      <c r="N9" s="795" t="s">
        <v>59</v>
      </c>
      <c r="O9" s="795" t="s">
        <v>59</v>
      </c>
      <c r="P9" s="796">
        <v>440258087.60130304</v>
      </c>
      <c r="Q9" s="796">
        <v>436447653.89927298</v>
      </c>
      <c r="R9" s="796">
        <v>242605043.53007609</v>
      </c>
      <c r="S9" s="796">
        <v>201672144.38514781</v>
      </c>
      <c r="T9" s="796">
        <v>201672144.38514781</v>
      </c>
      <c r="U9" s="796">
        <v>201672144.38514781</v>
      </c>
      <c r="V9" s="796">
        <v>605016433.15544343</v>
      </c>
      <c r="W9" s="796">
        <v>439793123.47075039</v>
      </c>
      <c r="X9" s="796">
        <v>572760268.00721192</v>
      </c>
      <c r="Y9" s="741">
        <v>201672144.38514781</v>
      </c>
      <c r="Z9" s="741">
        <v>201672144.38514781</v>
      </c>
      <c r="AA9" s="741">
        <v>201672144.38514781</v>
      </c>
      <c r="AB9" s="741">
        <v>605016433.15544343</v>
      </c>
      <c r="AC9" s="741">
        <v>439793123.47075039</v>
      </c>
      <c r="AD9" s="741">
        <v>74953647.643607348</v>
      </c>
      <c r="AE9" s="741" t="s">
        <v>59</v>
      </c>
      <c r="AF9" s="741" t="s">
        <v>59</v>
      </c>
      <c r="AG9" s="798" t="s">
        <v>1903</v>
      </c>
      <c r="AH9" s="798" t="s">
        <v>1904</v>
      </c>
      <c r="AI9" s="798"/>
    </row>
    <row r="10" spans="1:35" ht="18.75" customHeight="1">
      <c r="A10" s="790">
        <v>5</v>
      </c>
      <c r="B10" s="790" t="s">
        <v>39</v>
      </c>
      <c r="C10" s="790" t="s">
        <v>50</v>
      </c>
      <c r="D10" s="790" t="s">
        <v>41</v>
      </c>
      <c r="E10" s="790" t="s">
        <v>51</v>
      </c>
      <c r="F10" s="791" t="s">
        <v>58</v>
      </c>
      <c r="G10" s="791" t="s">
        <v>53</v>
      </c>
      <c r="H10" s="791" t="s">
        <v>30</v>
      </c>
      <c r="I10" s="792" t="s">
        <v>1902</v>
      </c>
      <c r="J10" s="792" t="s">
        <v>58</v>
      </c>
      <c r="K10" s="793" t="s">
        <v>47</v>
      </c>
      <c r="L10" s="790">
        <v>2016</v>
      </c>
      <c r="M10" s="794">
        <v>3668704.3719318081</v>
      </c>
      <c r="N10" s="795" t="s">
        <v>59</v>
      </c>
      <c r="O10" s="795" t="s">
        <v>59</v>
      </c>
      <c r="P10" s="796">
        <v>2102400.4276243942</v>
      </c>
      <c r="Q10" s="796">
        <v>1471491.05953998</v>
      </c>
      <c r="R10" s="796">
        <v>3446225.9504607292</v>
      </c>
      <c r="S10" s="796">
        <v>3668761.1908914447</v>
      </c>
      <c r="T10" s="796">
        <v>3668761.1908914447</v>
      </c>
      <c r="U10" s="796">
        <v>3668761.1908914447</v>
      </c>
      <c r="V10" s="796">
        <v>11006283.572674334</v>
      </c>
      <c r="W10" s="796">
        <v>7918605.3776632585</v>
      </c>
      <c r="X10" s="796">
        <v>5012591.3578928038</v>
      </c>
      <c r="Y10" s="741">
        <v>3668761.1908914447</v>
      </c>
      <c r="Z10" s="741">
        <v>3668761.1908914447</v>
      </c>
      <c r="AA10" s="741">
        <v>3668761.1908914447</v>
      </c>
      <c r="AB10" s="741">
        <v>11006283.572674334</v>
      </c>
      <c r="AC10" s="741">
        <v>7918605.3776632585</v>
      </c>
      <c r="AD10" s="741">
        <v>3628218.8727099746</v>
      </c>
      <c r="AE10" s="741" t="s">
        <v>59</v>
      </c>
      <c r="AF10" s="741" t="s">
        <v>59</v>
      </c>
      <c r="AG10" s="798" t="s">
        <v>1903</v>
      </c>
      <c r="AH10" s="798" t="s">
        <v>1904</v>
      </c>
      <c r="AI10" s="798"/>
    </row>
    <row r="11" spans="1:35" ht="18.75" customHeight="1">
      <c r="A11" s="790">
        <v>6</v>
      </c>
      <c r="B11" s="790" t="s">
        <v>39</v>
      </c>
      <c r="C11" s="790" t="s">
        <v>50</v>
      </c>
      <c r="D11" s="790" t="s">
        <v>41</v>
      </c>
      <c r="E11" s="790" t="s">
        <v>51</v>
      </c>
      <c r="F11" s="791" t="s">
        <v>60</v>
      </c>
      <c r="G11" s="791" t="s">
        <v>53</v>
      </c>
      <c r="H11" s="791" t="s">
        <v>30</v>
      </c>
      <c r="I11" s="792" t="s">
        <v>1902</v>
      </c>
      <c r="J11" s="792" t="s">
        <v>60</v>
      </c>
      <c r="K11" s="793" t="s">
        <v>47</v>
      </c>
      <c r="L11" s="790">
        <v>2016</v>
      </c>
      <c r="M11" s="794">
        <v>2983256.2565512066</v>
      </c>
      <c r="N11" s="795" t="s">
        <v>59</v>
      </c>
      <c r="O11" s="795" t="s">
        <v>59</v>
      </c>
      <c r="P11" s="796">
        <v>1635555.3609204872</v>
      </c>
      <c r="Q11" s="796">
        <v>1164207.7058348099</v>
      </c>
      <c r="R11" s="796">
        <v>3265339.9873080361</v>
      </c>
      <c r="S11" s="796">
        <v>3365102.6877251784</v>
      </c>
      <c r="T11" s="796">
        <v>3365102.6877251784</v>
      </c>
      <c r="U11" s="796">
        <v>3365102.6877251784</v>
      </c>
      <c r="V11" s="796">
        <v>10095308.063175535</v>
      </c>
      <c r="W11" s="796">
        <v>7204935.2608984215</v>
      </c>
      <c r="X11" s="796">
        <v>4890194.6937966952</v>
      </c>
      <c r="Y11" s="741">
        <v>3365102.6877251784</v>
      </c>
      <c r="Z11" s="741">
        <v>3365102.6877251784</v>
      </c>
      <c r="AA11" s="741">
        <v>3365102.6877251784</v>
      </c>
      <c r="AB11" s="741">
        <v>10095308.063175535</v>
      </c>
      <c r="AC11" s="741">
        <v>7204935.2608984215</v>
      </c>
      <c r="AD11" s="741">
        <v>2801901.2312931735</v>
      </c>
      <c r="AE11" s="741" t="s">
        <v>59</v>
      </c>
      <c r="AF11" s="741" t="s">
        <v>59</v>
      </c>
      <c r="AG11" s="798" t="s">
        <v>1903</v>
      </c>
      <c r="AH11" s="798" t="s">
        <v>1904</v>
      </c>
      <c r="AI11" s="798"/>
    </row>
    <row r="12" spans="1:35" ht="18.75" customHeight="1">
      <c r="A12" s="790">
        <v>7</v>
      </c>
      <c r="B12" s="790" t="s">
        <v>39</v>
      </c>
      <c r="C12" s="790" t="s">
        <v>50</v>
      </c>
      <c r="D12" s="790" t="s">
        <v>41</v>
      </c>
      <c r="E12" s="790" t="s">
        <v>51</v>
      </c>
      <c r="F12" s="791" t="s">
        <v>61</v>
      </c>
      <c r="G12" s="791" t="s">
        <v>53</v>
      </c>
      <c r="H12" s="791" t="s">
        <v>30</v>
      </c>
      <c r="I12" s="792" t="s">
        <v>1905</v>
      </c>
      <c r="J12" s="792" t="s">
        <v>61</v>
      </c>
      <c r="K12" s="793" t="s">
        <v>47</v>
      </c>
      <c r="L12" s="790">
        <v>2016</v>
      </c>
      <c r="M12" s="794">
        <v>862575.51838928915</v>
      </c>
      <c r="N12" s="795" t="s">
        <v>59</v>
      </c>
      <c r="O12" s="795" t="s">
        <v>59</v>
      </c>
      <c r="P12" s="796">
        <v>918866.07778339786</v>
      </c>
      <c r="Q12" s="796">
        <v>1093888.81717404</v>
      </c>
      <c r="R12" s="796">
        <v>609080.21073442069</v>
      </c>
      <c r="S12" s="796">
        <v>328863.72984065284</v>
      </c>
      <c r="T12" s="796">
        <v>328863.72984065284</v>
      </c>
      <c r="U12" s="796">
        <v>328863.72984065284</v>
      </c>
      <c r="V12" s="796">
        <v>986591.18952195859</v>
      </c>
      <c r="W12" s="796">
        <v>703815.96931118087</v>
      </c>
      <c r="X12" s="796">
        <v>1285037.666994367</v>
      </c>
      <c r="Y12" s="741">
        <v>328863.72984065284</v>
      </c>
      <c r="Z12" s="741">
        <v>328863.72984065284</v>
      </c>
      <c r="AA12" s="741">
        <v>328863.72984065284</v>
      </c>
      <c r="AB12" s="741">
        <v>986591.18952195859</v>
      </c>
      <c r="AC12" s="741">
        <v>703815.96931118087</v>
      </c>
      <c r="AD12" s="741">
        <v>113656.46164690032</v>
      </c>
      <c r="AE12" s="741" t="s">
        <v>59</v>
      </c>
      <c r="AF12" s="741" t="s">
        <v>59</v>
      </c>
      <c r="AG12" s="798" t="s">
        <v>2151</v>
      </c>
      <c r="AH12" s="798" t="s">
        <v>1904</v>
      </c>
      <c r="AI12" s="798"/>
    </row>
    <row r="13" spans="1:35" ht="18.75" customHeight="1">
      <c r="A13" s="790">
        <v>8</v>
      </c>
      <c r="B13" s="790" t="s">
        <v>39</v>
      </c>
      <c r="C13" s="790" t="s">
        <v>50</v>
      </c>
      <c r="D13" s="790" t="s">
        <v>41</v>
      </c>
      <c r="E13" s="790" t="s">
        <v>51</v>
      </c>
      <c r="F13" s="791" t="s">
        <v>62</v>
      </c>
      <c r="G13" s="791" t="s">
        <v>53</v>
      </c>
      <c r="H13" s="791" t="s">
        <v>30</v>
      </c>
      <c r="I13" s="792" t="s">
        <v>1902</v>
      </c>
      <c r="J13" s="792" t="s">
        <v>62</v>
      </c>
      <c r="K13" s="793" t="s">
        <v>47</v>
      </c>
      <c r="L13" s="790">
        <v>2016</v>
      </c>
      <c r="M13" s="794">
        <v>736773.64597397426</v>
      </c>
      <c r="N13" s="795" t="s">
        <v>59</v>
      </c>
      <c r="O13" s="795" t="s">
        <v>59</v>
      </c>
      <c r="P13" s="796">
        <v>848279.64243081352</v>
      </c>
      <c r="Q13" s="796">
        <v>1054949.8861460399</v>
      </c>
      <c r="R13" s="796">
        <v>593121.48082744842</v>
      </c>
      <c r="S13" s="796">
        <v>238002.38990319974</v>
      </c>
      <c r="T13" s="796">
        <v>238002.38990319974</v>
      </c>
      <c r="U13" s="796">
        <v>238002.38990319974</v>
      </c>
      <c r="V13" s="796">
        <v>714007.16970959923</v>
      </c>
      <c r="W13" s="796">
        <v>510104.96450482804</v>
      </c>
      <c r="X13" s="796">
        <v>1269912.0767742959</v>
      </c>
      <c r="Y13" s="741">
        <v>238002.38990319974</v>
      </c>
      <c r="Z13" s="741">
        <v>238002.38990319974</v>
      </c>
      <c r="AA13" s="741">
        <v>238002.38990319974</v>
      </c>
      <c r="AB13" s="741">
        <v>714007.16970959923</v>
      </c>
      <c r="AC13" s="741">
        <v>510104.96450482804</v>
      </c>
      <c r="AD13" s="741">
        <v>82591.919571197563</v>
      </c>
      <c r="AE13" s="741" t="s">
        <v>59</v>
      </c>
      <c r="AF13" s="741" t="s">
        <v>59</v>
      </c>
      <c r="AG13" s="798" t="s">
        <v>2151</v>
      </c>
      <c r="AH13" s="798" t="s">
        <v>1904</v>
      </c>
      <c r="AI13" s="798"/>
    </row>
    <row r="14" spans="1:35" ht="18.75" customHeight="1">
      <c r="A14" s="790">
        <v>9</v>
      </c>
      <c r="B14" s="790" t="s">
        <v>39</v>
      </c>
      <c r="C14" s="790" t="s">
        <v>50</v>
      </c>
      <c r="D14" s="790" t="s">
        <v>41</v>
      </c>
      <c r="E14" s="790" t="s">
        <v>51</v>
      </c>
      <c r="F14" s="791" t="s">
        <v>63</v>
      </c>
      <c r="G14" s="791" t="s">
        <v>53</v>
      </c>
      <c r="H14" s="791" t="s">
        <v>30</v>
      </c>
      <c r="I14" s="792" t="s">
        <v>1902</v>
      </c>
      <c r="J14" s="792" t="s">
        <v>63</v>
      </c>
      <c r="K14" s="793" t="s">
        <v>47</v>
      </c>
      <c r="L14" s="790">
        <v>2016</v>
      </c>
      <c r="M14" s="794">
        <v>4071541355.6978703</v>
      </c>
      <c r="N14" s="795" t="s">
        <v>59</v>
      </c>
      <c r="O14" s="795" t="s">
        <v>59</v>
      </c>
      <c r="P14" s="796">
        <v>5453328495.2566442</v>
      </c>
      <c r="Q14" s="796">
        <v>5629792057.8726797</v>
      </c>
      <c r="R14" s="796">
        <v>2641285318.7758112</v>
      </c>
      <c r="S14" s="796">
        <v>2383262773.5336137</v>
      </c>
      <c r="T14" s="796">
        <v>2383262773.5336137</v>
      </c>
      <c r="U14" s="796">
        <v>2383262773.5336137</v>
      </c>
      <c r="V14" s="796">
        <v>7149788320.6008415</v>
      </c>
      <c r="W14" s="796">
        <v>5182802155.559824</v>
      </c>
      <c r="X14" s="796">
        <v>7753377253.7211695</v>
      </c>
      <c r="Y14" s="741">
        <v>2383262773.5336137</v>
      </c>
      <c r="Z14" s="741">
        <v>2383262773.5336137</v>
      </c>
      <c r="AA14" s="741">
        <v>2383262773.5336137</v>
      </c>
      <c r="AB14" s="741">
        <v>7149788320.6008415</v>
      </c>
      <c r="AC14" s="741">
        <v>5182802155.559824</v>
      </c>
      <c r="AD14" s="741">
        <v>417357893.1534391</v>
      </c>
      <c r="AE14" s="741" t="s">
        <v>59</v>
      </c>
      <c r="AF14" s="741" t="s">
        <v>59</v>
      </c>
      <c r="AG14" s="798" t="s">
        <v>2151</v>
      </c>
      <c r="AH14" s="798" t="s">
        <v>1904</v>
      </c>
      <c r="AI14" s="798"/>
    </row>
    <row r="15" spans="1:35" ht="18.75" customHeight="1">
      <c r="A15" s="790">
        <v>10</v>
      </c>
      <c r="B15" s="790" t="s">
        <v>39</v>
      </c>
      <c r="C15" s="790" t="s">
        <v>50</v>
      </c>
      <c r="D15" s="790" t="s">
        <v>41</v>
      </c>
      <c r="E15" s="790" t="s">
        <v>51</v>
      </c>
      <c r="F15" s="791" t="s">
        <v>64</v>
      </c>
      <c r="G15" s="791" t="s">
        <v>53</v>
      </c>
      <c r="H15" s="791" t="s">
        <v>30</v>
      </c>
      <c r="I15" s="792" t="s">
        <v>1902</v>
      </c>
      <c r="J15" s="792" t="s">
        <v>64</v>
      </c>
      <c r="K15" s="793" t="s">
        <v>47</v>
      </c>
      <c r="L15" s="790">
        <v>2016</v>
      </c>
      <c r="M15" s="794">
        <v>3399176958.1089969</v>
      </c>
      <c r="N15" s="795" t="s">
        <v>59</v>
      </c>
      <c r="O15" s="795" t="s">
        <v>59</v>
      </c>
      <c r="P15" s="796">
        <v>4992750889.2698755</v>
      </c>
      <c r="Q15" s="796">
        <v>5376922452.5547895</v>
      </c>
      <c r="R15" s="796">
        <v>2561567227.2157989</v>
      </c>
      <c r="S15" s="796">
        <v>1953734962.6540229</v>
      </c>
      <c r="T15" s="796">
        <v>1953734962.6540229</v>
      </c>
      <c r="U15" s="796">
        <v>1953734962.6540229</v>
      </c>
      <c r="V15" s="796">
        <v>5861204887.9620686</v>
      </c>
      <c r="W15" s="796">
        <v>4260574529.4137979</v>
      </c>
      <c r="X15" s="796">
        <v>7656685480.0510092</v>
      </c>
      <c r="Y15" s="741">
        <v>1953734962.6540229</v>
      </c>
      <c r="Z15" s="741">
        <v>1953734962.6540229</v>
      </c>
      <c r="AA15" s="741">
        <v>1953734962.6540229</v>
      </c>
      <c r="AB15" s="741">
        <v>5861204887.9620686</v>
      </c>
      <c r="AC15" s="741">
        <v>4260574529.4137979</v>
      </c>
      <c r="AD15" s="741">
        <v>317861282.74625093</v>
      </c>
      <c r="AE15" s="741" t="s">
        <v>59</v>
      </c>
      <c r="AF15" s="741" t="s">
        <v>59</v>
      </c>
      <c r="AG15" s="798" t="s">
        <v>2151</v>
      </c>
      <c r="AH15" s="798" t="s">
        <v>1904</v>
      </c>
      <c r="AI15" s="798"/>
    </row>
    <row r="16" spans="1:35" ht="18.75" customHeight="1">
      <c r="A16" s="790">
        <v>11</v>
      </c>
      <c r="B16" s="790" t="s">
        <v>39</v>
      </c>
      <c r="C16" s="790" t="s">
        <v>50</v>
      </c>
      <c r="D16" s="790" t="s">
        <v>41</v>
      </c>
      <c r="E16" s="790" t="s">
        <v>51</v>
      </c>
      <c r="F16" s="791" t="s">
        <v>65</v>
      </c>
      <c r="G16" s="791" t="s">
        <v>53</v>
      </c>
      <c r="H16" s="791" t="s">
        <v>30</v>
      </c>
      <c r="I16" s="792" t="s">
        <v>1902</v>
      </c>
      <c r="J16" s="792" t="s">
        <v>65</v>
      </c>
      <c r="K16" s="793" t="s">
        <v>47</v>
      </c>
      <c r="L16" s="790">
        <v>2016</v>
      </c>
      <c r="M16" s="794">
        <v>38143321.689990081</v>
      </c>
      <c r="N16" s="795" t="s">
        <v>59</v>
      </c>
      <c r="O16" s="795" t="s">
        <v>59</v>
      </c>
      <c r="P16" s="796">
        <v>12096191.348439906</v>
      </c>
      <c r="Q16" s="796">
        <v>4011449.3759458102</v>
      </c>
      <c r="R16" s="796">
        <v>33617961.590264052</v>
      </c>
      <c r="S16" s="796">
        <v>27876600.896838307</v>
      </c>
      <c r="T16" s="796">
        <v>27876600.896838307</v>
      </c>
      <c r="U16" s="796">
        <v>27876600.896838307</v>
      </c>
      <c r="V16" s="796">
        <v>83629802.690514922</v>
      </c>
      <c r="W16" s="796">
        <v>60168484.751944117</v>
      </c>
      <c r="X16" s="796">
        <v>54439559.990600072</v>
      </c>
      <c r="Y16" s="741">
        <v>27876600.896838307</v>
      </c>
      <c r="Z16" s="741">
        <v>27876600.896838307</v>
      </c>
      <c r="AA16" s="741">
        <v>27876600.896838307</v>
      </c>
      <c r="AB16" s="741">
        <v>83629802.690514922</v>
      </c>
      <c r="AC16" s="741">
        <v>60168484.751944117</v>
      </c>
      <c r="AD16" s="741">
        <v>26799047.356759451</v>
      </c>
      <c r="AE16" s="741" t="s">
        <v>59</v>
      </c>
      <c r="AF16" s="741" t="s">
        <v>59</v>
      </c>
      <c r="AG16" s="798" t="s">
        <v>2151</v>
      </c>
      <c r="AH16" s="798" t="s">
        <v>1904</v>
      </c>
      <c r="AI16" s="798"/>
    </row>
    <row r="17" spans="1:35" ht="18.75" customHeight="1">
      <c r="A17" s="790">
        <v>12</v>
      </c>
      <c r="B17" s="790" t="s">
        <v>39</v>
      </c>
      <c r="C17" s="790" t="s">
        <v>50</v>
      </c>
      <c r="D17" s="790" t="s">
        <v>41</v>
      </c>
      <c r="E17" s="790" t="s">
        <v>51</v>
      </c>
      <c r="F17" s="791" t="s">
        <v>66</v>
      </c>
      <c r="G17" s="791" t="s">
        <v>53</v>
      </c>
      <c r="H17" s="791" t="s">
        <v>30</v>
      </c>
      <c r="I17" s="792" t="s">
        <v>1902</v>
      </c>
      <c r="J17" s="792" t="s">
        <v>66</v>
      </c>
      <c r="K17" s="793" t="s">
        <v>47</v>
      </c>
      <c r="L17" s="790">
        <v>2016</v>
      </c>
      <c r="M17" s="794">
        <v>31043917.99073258</v>
      </c>
      <c r="N17" s="795" t="s">
        <v>59</v>
      </c>
      <c r="O17" s="795" t="s">
        <v>59</v>
      </c>
      <c r="P17" s="796">
        <v>7509075.2939949445</v>
      </c>
      <c r="Q17" s="796">
        <v>34955.128006145897</v>
      </c>
      <c r="R17" s="796">
        <v>30776343.717361189</v>
      </c>
      <c r="S17" s="796">
        <v>21343246.462557327</v>
      </c>
      <c r="T17" s="796">
        <v>21343246.462557327</v>
      </c>
      <c r="U17" s="796">
        <v>21343246.462557327</v>
      </c>
      <c r="V17" s="796">
        <v>64029739.387671977</v>
      </c>
      <c r="W17" s="796">
        <v>45697478.885578498</v>
      </c>
      <c r="X17" s="796">
        <v>52760707.285274453</v>
      </c>
      <c r="Y17" s="741">
        <v>21343246.462557327</v>
      </c>
      <c r="Z17" s="741">
        <v>21343246.462557327</v>
      </c>
      <c r="AA17" s="741">
        <v>21343246.462557327</v>
      </c>
      <c r="AB17" s="741">
        <v>64029739.387671977</v>
      </c>
      <c r="AC17" s="741">
        <v>45697478.885578498</v>
      </c>
      <c r="AD17" s="741">
        <v>18119908.611436103</v>
      </c>
      <c r="AE17" s="741" t="s">
        <v>59</v>
      </c>
      <c r="AF17" s="741" t="s">
        <v>59</v>
      </c>
      <c r="AG17" s="798" t="s">
        <v>2151</v>
      </c>
      <c r="AH17" s="798" t="s">
        <v>1904</v>
      </c>
      <c r="AI17" s="798"/>
    </row>
    <row r="18" spans="1:35" ht="18.75" customHeight="1">
      <c r="A18" s="790">
        <v>13</v>
      </c>
      <c r="B18" s="790" t="s">
        <v>39</v>
      </c>
      <c r="C18" s="790" t="s">
        <v>50</v>
      </c>
      <c r="D18" s="790" t="s">
        <v>67</v>
      </c>
      <c r="E18" s="790" t="s">
        <v>68</v>
      </c>
      <c r="F18" s="791" t="s">
        <v>52</v>
      </c>
      <c r="G18" s="791" t="s">
        <v>69</v>
      </c>
      <c r="H18" s="791" t="s">
        <v>30</v>
      </c>
      <c r="I18" s="792" t="s">
        <v>1906</v>
      </c>
      <c r="J18" s="792" t="s">
        <v>71</v>
      </c>
      <c r="K18" s="793" t="s">
        <v>47</v>
      </c>
      <c r="L18" s="790">
        <v>2016</v>
      </c>
      <c r="M18" s="794">
        <v>711.64776805342569</v>
      </c>
      <c r="N18" s="795" t="s">
        <v>59</v>
      </c>
      <c r="O18" s="795" t="s">
        <v>59</v>
      </c>
      <c r="P18" s="796">
        <v>4285.691113087415</v>
      </c>
      <c r="Q18" s="796">
        <v>4655.59873506039</v>
      </c>
      <c r="R18" s="796">
        <v>713.57076212154868</v>
      </c>
      <c r="S18" s="796">
        <v>744.14292880362723</v>
      </c>
      <c r="T18" s="796">
        <v>744.14292880362723</v>
      </c>
      <c r="U18" s="796">
        <v>744.14292880362723</v>
      </c>
      <c r="V18" s="796">
        <v>2232.4287864108819</v>
      </c>
      <c r="W18" s="796">
        <v>1556.2437580690003</v>
      </c>
      <c r="X18" s="796">
        <v>57.253057897312331</v>
      </c>
      <c r="Y18" s="741">
        <v>744.14292880362723</v>
      </c>
      <c r="Z18" s="741">
        <v>744.14292880362723</v>
      </c>
      <c r="AA18" s="741">
        <v>744.14292880362723</v>
      </c>
      <c r="AB18" s="741">
        <v>2232.4287864108819</v>
      </c>
      <c r="AC18" s="741">
        <v>1556.2437580690003</v>
      </c>
      <c r="AD18" s="741">
        <v>119.86782892385489</v>
      </c>
      <c r="AE18" s="741" t="s">
        <v>59</v>
      </c>
      <c r="AF18" s="741" t="s">
        <v>59</v>
      </c>
      <c r="AG18" s="798" t="s">
        <v>1907</v>
      </c>
      <c r="AH18" s="798" t="s">
        <v>1908</v>
      </c>
      <c r="AI18" s="798"/>
    </row>
    <row r="19" spans="1:35" ht="18.75" customHeight="1">
      <c r="A19" s="790">
        <v>14</v>
      </c>
      <c r="B19" s="790" t="s">
        <v>39</v>
      </c>
      <c r="C19" s="790" t="s">
        <v>50</v>
      </c>
      <c r="D19" s="790" t="s">
        <v>67</v>
      </c>
      <c r="E19" s="790" t="s">
        <v>68</v>
      </c>
      <c r="F19" s="791" t="s">
        <v>55</v>
      </c>
      <c r="G19" s="791" t="s">
        <v>69</v>
      </c>
      <c r="H19" s="791" t="s">
        <v>30</v>
      </c>
      <c r="I19" s="792" t="s">
        <v>1906</v>
      </c>
      <c r="J19" s="792" t="s">
        <v>72</v>
      </c>
      <c r="K19" s="793" t="s">
        <v>47</v>
      </c>
      <c r="L19" s="790">
        <v>2016</v>
      </c>
      <c r="M19" s="794">
        <v>493.13585898078156</v>
      </c>
      <c r="N19" s="795" t="s">
        <v>59</v>
      </c>
      <c r="O19" s="795" t="s">
        <v>59</v>
      </c>
      <c r="P19" s="796">
        <v>3682.9592725007815</v>
      </c>
      <c r="Q19" s="796">
        <v>4344.5602905471906</v>
      </c>
      <c r="R19" s="796">
        <v>608.16359659272121</v>
      </c>
      <c r="S19" s="796">
        <v>516.87321544164638</v>
      </c>
      <c r="T19" s="796">
        <v>516.87321544164638</v>
      </c>
      <c r="U19" s="796">
        <v>516.87321544164638</v>
      </c>
      <c r="V19" s="796">
        <v>1550.6196463249391</v>
      </c>
      <c r="W19" s="796">
        <v>1083.5063643238261</v>
      </c>
      <c r="X19" s="796">
        <v>45.854936276289742</v>
      </c>
      <c r="Y19" s="741">
        <v>516.87321544164638</v>
      </c>
      <c r="Z19" s="741">
        <v>516.87321544164638</v>
      </c>
      <c r="AA19" s="741">
        <v>516.87321544164638</v>
      </c>
      <c r="AB19" s="741">
        <v>1550.6196463249391</v>
      </c>
      <c r="AC19" s="741">
        <v>1083.5063643238261</v>
      </c>
      <c r="AD19" s="741">
        <v>98.268089910008712</v>
      </c>
      <c r="AE19" s="741" t="s">
        <v>59</v>
      </c>
      <c r="AF19" s="741" t="s">
        <v>59</v>
      </c>
      <c r="AG19" s="798" t="s">
        <v>1907</v>
      </c>
      <c r="AH19" s="798" t="s">
        <v>1908</v>
      </c>
      <c r="AI19" s="798"/>
    </row>
    <row r="20" spans="1:35" ht="18.75" customHeight="1">
      <c r="A20" s="790">
        <v>15</v>
      </c>
      <c r="B20" s="790" t="s">
        <v>39</v>
      </c>
      <c r="C20" s="790" t="s">
        <v>50</v>
      </c>
      <c r="D20" s="790" t="s">
        <v>67</v>
      </c>
      <c r="E20" s="790" t="s">
        <v>68</v>
      </c>
      <c r="F20" s="791" t="s">
        <v>56</v>
      </c>
      <c r="G20" s="791" t="s">
        <v>69</v>
      </c>
      <c r="H20" s="791" t="s">
        <v>30</v>
      </c>
      <c r="I20" s="792" t="s">
        <v>1906</v>
      </c>
      <c r="J20" s="792" t="s">
        <v>73</v>
      </c>
      <c r="K20" s="793" t="s">
        <v>47</v>
      </c>
      <c r="L20" s="790">
        <v>2016</v>
      </c>
      <c r="M20" s="794">
        <v>3541580.2167316726</v>
      </c>
      <c r="N20" s="795" t="s">
        <v>59</v>
      </c>
      <c r="O20" s="795" t="s">
        <v>59</v>
      </c>
      <c r="P20" s="796">
        <v>30399380.744004786</v>
      </c>
      <c r="Q20" s="796">
        <v>30697436.501324888</v>
      </c>
      <c r="R20" s="796">
        <v>5751271.3977047149</v>
      </c>
      <c r="S20" s="796">
        <v>3659611.5060574454</v>
      </c>
      <c r="T20" s="796">
        <v>3659611.5060574454</v>
      </c>
      <c r="U20" s="796">
        <v>3659611.5060574454</v>
      </c>
      <c r="V20" s="796">
        <v>10978834.518172337</v>
      </c>
      <c r="W20" s="796">
        <v>7563152.9180087289</v>
      </c>
      <c r="X20" s="796">
        <v>413493.28720832663</v>
      </c>
      <c r="Y20" s="741">
        <v>3659611.5060574454</v>
      </c>
      <c r="Z20" s="741">
        <v>3659611.5060574454</v>
      </c>
      <c r="AA20" s="741">
        <v>3659611.5060574454</v>
      </c>
      <c r="AB20" s="741">
        <v>10978834.518172337</v>
      </c>
      <c r="AC20" s="741">
        <v>7563152.9180087289</v>
      </c>
      <c r="AD20" s="741">
        <v>952500.30260660627</v>
      </c>
      <c r="AE20" s="741" t="s">
        <v>59</v>
      </c>
      <c r="AF20" s="741" t="s">
        <v>59</v>
      </c>
      <c r="AG20" s="798" t="s">
        <v>1907</v>
      </c>
      <c r="AH20" s="798" t="s">
        <v>1908</v>
      </c>
      <c r="AI20" s="798"/>
    </row>
    <row r="21" spans="1:35" ht="18.75" customHeight="1">
      <c r="A21" s="790">
        <v>16</v>
      </c>
      <c r="B21" s="790" t="s">
        <v>39</v>
      </c>
      <c r="C21" s="790" t="s">
        <v>50</v>
      </c>
      <c r="D21" s="790" t="s">
        <v>67</v>
      </c>
      <c r="E21" s="790" t="s">
        <v>68</v>
      </c>
      <c r="F21" s="791" t="s">
        <v>57</v>
      </c>
      <c r="G21" s="791" t="s">
        <v>69</v>
      </c>
      <c r="H21" s="791" t="s">
        <v>30</v>
      </c>
      <c r="I21" s="792" t="s">
        <v>1906</v>
      </c>
      <c r="J21" s="792" t="s">
        <v>74</v>
      </c>
      <c r="K21" s="793" t="s">
        <v>47</v>
      </c>
      <c r="L21" s="790">
        <v>2016</v>
      </c>
      <c r="M21" s="794">
        <v>2512664.7202694882</v>
      </c>
      <c r="N21" s="795" t="s">
        <v>59</v>
      </c>
      <c r="O21" s="795" t="s">
        <v>59</v>
      </c>
      <c r="P21" s="796">
        <v>25846856.266083285</v>
      </c>
      <c r="Q21" s="796">
        <v>28907099.594247304</v>
      </c>
      <c r="R21" s="796">
        <v>5396092.1874105139</v>
      </c>
      <c r="S21" s="796">
        <v>2598006.3822410852</v>
      </c>
      <c r="T21" s="796">
        <v>2598006.3822410852</v>
      </c>
      <c r="U21" s="796">
        <v>2598006.3822410852</v>
      </c>
      <c r="V21" s="796">
        <v>7794019.1467232555</v>
      </c>
      <c r="W21" s="796">
        <v>5372493.2799163843</v>
      </c>
      <c r="X21" s="796">
        <v>328777.54607202363</v>
      </c>
      <c r="Y21" s="741">
        <v>2598006.3822410852</v>
      </c>
      <c r="Z21" s="741">
        <v>2598006.3822410852</v>
      </c>
      <c r="AA21" s="741">
        <v>2598006.3822410852</v>
      </c>
      <c r="AB21" s="741">
        <v>7794019.1467232555</v>
      </c>
      <c r="AC21" s="741">
        <v>5372493.2799163843</v>
      </c>
      <c r="AD21" s="741">
        <v>798826.68871966167</v>
      </c>
      <c r="AE21" s="741" t="s">
        <v>59</v>
      </c>
      <c r="AF21" s="741" t="s">
        <v>59</v>
      </c>
      <c r="AG21" s="798" t="s">
        <v>1907</v>
      </c>
      <c r="AH21" s="798" t="s">
        <v>1908</v>
      </c>
      <c r="AI21" s="798"/>
    </row>
    <row r="22" spans="1:35" ht="18.75" customHeight="1">
      <c r="A22" s="790">
        <v>17</v>
      </c>
      <c r="B22" s="790" t="s">
        <v>39</v>
      </c>
      <c r="C22" s="790" t="s">
        <v>50</v>
      </c>
      <c r="D22" s="790" t="s">
        <v>67</v>
      </c>
      <c r="E22" s="790" t="s">
        <v>68</v>
      </c>
      <c r="F22" s="791" t="s">
        <v>58</v>
      </c>
      <c r="G22" s="791" t="s">
        <v>69</v>
      </c>
      <c r="H22" s="791" t="s">
        <v>30</v>
      </c>
      <c r="I22" s="792" t="s">
        <v>1906</v>
      </c>
      <c r="J22" s="792" t="s">
        <v>75</v>
      </c>
      <c r="K22" s="793" t="s">
        <v>47</v>
      </c>
      <c r="L22" s="790">
        <v>2016</v>
      </c>
      <c r="M22" s="794">
        <v>-12861.305429689366</v>
      </c>
      <c r="N22" s="795" t="s">
        <v>59</v>
      </c>
      <c r="O22" s="795" t="s">
        <v>59</v>
      </c>
      <c r="P22" s="796">
        <v>-150539.52781050606</v>
      </c>
      <c r="Q22" s="796">
        <v>-326056.87371524813</v>
      </c>
      <c r="R22" s="796">
        <v>-8589.6833227240641</v>
      </c>
      <c r="S22" s="796">
        <v>37425.980072347294</v>
      </c>
      <c r="T22" s="796">
        <v>37425.980072347294</v>
      </c>
      <c r="U22" s="796">
        <v>37425.980072347294</v>
      </c>
      <c r="V22" s="796">
        <v>112277.94021704188</v>
      </c>
      <c r="W22" s="796">
        <v>80921.188666839051</v>
      </c>
      <c r="X22" s="796">
        <v>2444.8150845085443</v>
      </c>
      <c r="Y22" s="741">
        <v>37425.980072347294</v>
      </c>
      <c r="Z22" s="741">
        <v>37425.980072347294</v>
      </c>
      <c r="AA22" s="741">
        <v>37425.980072347294</v>
      </c>
      <c r="AB22" s="741">
        <v>112277.94021704188</v>
      </c>
      <c r="AC22" s="741">
        <v>80921.188666839051</v>
      </c>
      <c r="AD22" s="741">
        <v>44926.468624972251</v>
      </c>
      <c r="AE22" s="741" t="s">
        <v>59</v>
      </c>
      <c r="AF22" s="741" t="s">
        <v>59</v>
      </c>
      <c r="AG22" s="798" t="s">
        <v>1907</v>
      </c>
      <c r="AH22" s="798" t="s">
        <v>1908</v>
      </c>
      <c r="AI22" s="798"/>
    </row>
    <row r="23" spans="1:35" ht="18.75" customHeight="1">
      <c r="A23" s="790">
        <v>18</v>
      </c>
      <c r="B23" s="790" t="s">
        <v>39</v>
      </c>
      <c r="C23" s="790" t="s">
        <v>50</v>
      </c>
      <c r="D23" s="790" t="s">
        <v>67</v>
      </c>
      <c r="E23" s="790" t="s">
        <v>68</v>
      </c>
      <c r="F23" s="791" t="s">
        <v>60</v>
      </c>
      <c r="G23" s="791" t="s">
        <v>69</v>
      </c>
      <c r="H23" s="791" t="s">
        <v>30</v>
      </c>
      <c r="I23" s="792" t="s">
        <v>1906</v>
      </c>
      <c r="J23" s="792" t="s">
        <v>76</v>
      </c>
      <c r="K23" s="793" t="s">
        <v>47</v>
      </c>
      <c r="L23" s="790">
        <v>2016</v>
      </c>
      <c r="M23" s="794">
        <v>-12501.249471554491</v>
      </c>
      <c r="N23" s="795" t="s">
        <v>59</v>
      </c>
      <c r="O23" s="795" t="s">
        <v>59</v>
      </c>
      <c r="P23" s="796">
        <v>-190556.01303688195</v>
      </c>
      <c r="Q23" s="796">
        <v>-318889.49424054869</v>
      </c>
      <c r="R23" s="796">
        <v>-6611.3009034252136</v>
      </c>
      <c r="S23" s="796">
        <v>29650.861157484051</v>
      </c>
      <c r="T23" s="796">
        <v>29650.861157484051</v>
      </c>
      <c r="U23" s="796">
        <v>29650.861157484051</v>
      </c>
      <c r="V23" s="796">
        <v>88952.583472452156</v>
      </c>
      <c r="W23" s="796">
        <v>62891.527030267047</v>
      </c>
      <c r="X23" s="796">
        <v>1643.2286886658653</v>
      </c>
      <c r="Y23" s="741">
        <v>29650.861157484051</v>
      </c>
      <c r="Z23" s="741">
        <v>29650.861157484051</v>
      </c>
      <c r="AA23" s="741">
        <v>29650.861157484051</v>
      </c>
      <c r="AB23" s="741">
        <v>88952.583472452156</v>
      </c>
      <c r="AC23" s="741">
        <v>62891.527030267047</v>
      </c>
      <c r="AD23" s="741">
        <v>40823.678343138941</v>
      </c>
      <c r="AE23" s="741" t="s">
        <v>59</v>
      </c>
      <c r="AF23" s="741" t="s">
        <v>59</v>
      </c>
      <c r="AG23" s="798" t="s">
        <v>1907</v>
      </c>
      <c r="AH23" s="798" t="s">
        <v>1908</v>
      </c>
      <c r="AI23" s="798"/>
    </row>
    <row r="24" spans="1:35" ht="18.75" customHeight="1">
      <c r="A24" s="790">
        <v>19</v>
      </c>
      <c r="B24" s="790" t="s">
        <v>39</v>
      </c>
      <c r="C24" s="790" t="s">
        <v>50</v>
      </c>
      <c r="D24" s="790" t="s">
        <v>67</v>
      </c>
      <c r="E24" s="790" t="s">
        <v>68</v>
      </c>
      <c r="F24" s="791" t="s">
        <v>61</v>
      </c>
      <c r="G24" s="791" t="s">
        <v>69</v>
      </c>
      <c r="H24" s="791" t="s">
        <v>30</v>
      </c>
      <c r="I24" s="792" t="s">
        <v>1906</v>
      </c>
      <c r="J24" s="792" t="s">
        <v>77</v>
      </c>
      <c r="K24" s="793" t="s">
        <v>47</v>
      </c>
      <c r="L24" s="790">
        <v>2016</v>
      </c>
      <c r="M24" s="794">
        <v>7658.2336349462294</v>
      </c>
      <c r="N24" s="795" t="s">
        <v>59</v>
      </c>
      <c r="O24" s="795" t="s">
        <v>59</v>
      </c>
      <c r="P24" s="796">
        <v>49935.854901536833</v>
      </c>
      <c r="Q24" s="796">
        <v>57204.262518091404</v>
      </c>
      <c r="R24" s="796">
        <v>4101.7857173698412</v>
      </c>
      <c r="S24" s="796">
        <v>8007.9228269897449</v>
      </c>
      <c r="T24" s="796">
        <v>8007.9228269897449</v>
      </c>
      <c r="U24" s="796">
        <v>8007.9228269897449</v>
      </c>
      <c r="V24" s="796">
        <v>24023.768480969236</v>
      </c>
      <c r="W24" s="796">
        <v>16747.158955923827</v>
      </c>
      <c r="X24" s="796">
        <v>289.1129345407785</v>
      </c>
      <c r="Y24" s="741">
        <v>8007.9228269897449</v>
      </c>
      <c r="Z24" s="741">
        <v>8007.9228269897449</v>
      </c>
      <c r="AA24" s="741">
        <v>8007.9228269897449</v>
      </c>
      <c r="AB24" s="741">
        <v>24023.768480969236</v>
      </c>
      <c r="AC24" s="741">
        <v>16747.158955923827</v>
      </c>
      <c r="AD24" s="741">
        <v>715.69793776193637</v>
      </c>
      <c r="AE24" s="741" t="s">
        <v>59</v>
      </c>
      <c r="AF24" s="741" t="s">
        <v>59</v>
      </c>
      <c r="AG24" s="798" t="s">
        <v>1907</v>
      </c>
      <c r="AH24" s="798" t="s">
        <v>1908</v>
      </c>
      <c r="AI24" s="798" t="s">
        <v>1909</v>
      </c>
    </row>
    <row r="25" spans="1:35" ht="18.75" customHeight="1">
      <c r="A25" s="790">
        <v>20</v>
      </c>
      <c r="B25" s="790" t="s">
        <v>39</v>
      </c>
      <c r="C25" s="790" t="s">
        <v>50</v>
      </c>
      <c r="D25" s="790" t="s">
        <v>67</v>
      </c>
      <c r="E25" s="790" t="s">
        <v>68</v>
      </c>
      <c r="F25" s="791" t="s">
        <v>62</v>
      </c>
      <c r="G25" s="791" t="s">
        <v>69</v>
      </c>
      <c r="H25" s="791" t="s">
        <v>30</v>
      </c>
      <c r="I25" s="792" t="s">
        <v>1906</v>
      </c>
      <c r="J25" s="792" t="s">
        <v>78</v>
      </c>
      <c r="K25" s="793" t="s">
        <v>47</v>
      </c>
      <c r="L25" s="790">
        <v>2016</v>
      </c>
      <c r="M25" s="794">
        <v>5255.0309510069064</v>
      </c>
      <c r="N25" s="795" t="s">
        <v>59</v>
      </c>
      <c r="O25" s="795" t="s">
        <v>59</v>
      </c>
      <c r="P25" s="796">
        <v>43831.899768361509</v>
      </c>
      <c r="Q25" s="796">
        <v>54188.848009123576</v>
      </c>
      <c r="R25" s="796">
        <v>3454.0071397847041</v>
      </c>
      <c r="S25" s="796">
        <v>5507.9846566140059</v>
      </c>
      <c r="T25" s="796">
        <v>5507.9846566140059</v>
      </c>
      <c r="U25" s="796">
        <v>5507.9846566140059</v>
      </c>
      <c r="V25" s="796">
        <v>16523.953969842019</v>
      </c>
      <c r="W25" s="796">
        <v>11546.228846352407</v>
      </c>
      <c r="X25" s="796">
        <v>232.20193826509961</v>
      </c>
      <c r="Y25" s="741">
        <v>5507.9846566140059</v>
      </c>
      <c r="Z25" s="741">
        <v>5507.9846566140059</v>
      </c>
      <c r="AA25" s="741">
        <v>5507.9846566140059</v>
      </c>
      <c r="AB25" s="741">
        <v>16523.953969842019</v>
      </c>
      <c r="AC25" s="741">
        <v>11546.228846352407</v>
      </c>
      <c r="AD25" s="741">
        <v>589.1050072071248</v>
      </c>
      <c r="AE25" s="741" t="s">
        <v>59</v>
      </c>
      <c r="AF25" s="741" t="s">
        <v>59</v>
      </c>
      <c r="AG25" s="798" t="s">
        <v>1907</v>
      </c>
      <c r="AH25" s="798" t="s">
        <v>1908</v>
      </c>
      <c r="AI25" s="798" t="s">
        <v>1910</v>
      </c>
    </row>
    <row r="26" spans="1:35" ht="18.75" customHeight="1">
      <c r="A26" s="790">
        <v>21</v>
      </c>
      <c r="B26" s="790" t="s">
        <v>39</v>
      </c>
      <c r="C26" s="790" t="s">
        <v>50</v>
      </c>
      <c r="D26" s="790" t="s">
        <v>67</v>
      </c>
      <c r="E26" s="790" t="s">
        <v>68</v>
      </c>
      <c r="F26" s="791" t="s">
        <v>63</v>
      </c>
      <c r="G26" s="791" t="s">
        <v>69</v>
      </c>
      <c r="H26" s="791" t="s">
        <v>30</v>
      </c>
      <c r="I26" s="792" t="s">
        <v>1906</v>
      </c>
      <c r="J26" s="792" t="s">
        <v>79</v>
      </c>
      <c r="K26" s="793" t="s">
        <v>47</v>
      </c>
      <c r="L26" s="790">
        <v>2016</v>
      </c>
      <c r="M26" s="794">
        <v>38821531.701111235</v>
      </c>
      <c r="N26" s="795" t="s">
        <v>59</v>
      </c>
      <c r="O26" s="795" t="s">
        <v>59</v>
      </c>
      <c r="P26" s="796">
        <v>379473611.89551783</v>
      </c>
      <c r="Q26" s="796">
        <v>421316669.03513592</v>
      </c>
      <c r="R26" s="796">
        <v>20787082.358309519</v>
      </c>
      <c r="S26" s="796">
        <v>40115348.347882681</v>
      </c>
      <c r="T26" s="796">
        <v>40115348.347882681</v>
      </c>
      <c r="U26" s="796">
        <v>40115348.347882681</v>
      </c>
      <c r="V26" s="796">
        <v>120346045.04364803</v>
      </c>
      <c r="W26" s="796">
        <v>82904568.807928279</v>
      </c>
      <c r="X26" s="796">
        <v>2099626.6388987461</v>
      </c>
      <c r="Y26" s="741">
        <v>40115348.347882681</v>
      </c>
      <c r="Z26" s="741">
        <v>40115348.347882681</v>
      </c>
      <c r="AA26" s="741">
        <v>40115348.347882681</v>
      </c>
      <c r="AB26" s="741">
        <v>120346045.04364803</v>
      </c>
      <c r="AC26" s="741">
        <v>82904568.807928279</v>
      </c>
      <c r="AD26" s="741">
        <v>5055362.0642964551</v>
      </c>
      <c r="AE26" s="741" t="s">
        <v>59</v>
      </c>
      <c r="AF26" s="741" t="s">
        <v>59</v>
      </c>
      <c r="AG26" s="798" t="s">
        <v>1907</v>
      </c>
      <c r="AH26" s="798" t="s">
        <v>1908</v>
      </c>
      <c r="AI26" s="798" t="s">
        <v>1911</v>
      </c>
    </row>
    <row r="27" spans="1:35" ht="18.75" customHeight="1">
      <c r="A27" s="790">
        <v>22</v>
      </c>
      <c r="B27" s="790" t="s">
        <v>39</v>
      </c>
      <c r="C27" s="790" t="s">
        <v>50</v>
      </c>
      <c r="D27" s="790" t="s">
        <v>67</v>
      </c>
      <c r="E27" s="790" t="s">
        <v>68</v>
      </c>
      <c r="F27" s="791" t="s">
        <v>64</v>
      </c>
      <c r="G27" s="791" t="s">
        <v>69</v>
      </c>
      <c r="H27" s="791" t="s">
        <v>30</v>
      </c>
      <c r="I27" s="792" t="s">
        <v>1906</v>
      </c>
      <c r="J27" s="792" t="s">
        <v>80</v>
      </c>
      <c r="K27" s="793" t="s">
        <v>47</v>
      </c>
      <c r="L27" s="790">
        <v>2016</v>
      </c>
      <c r="M27" s="794">
        <v>27125921.26079388</v>
      </c>
      <c r="N27" s="795" t="s">
        <v>59</v>
      </c>
      <c r="O27" s="795" t="s">
        <v>59</v>
      </c>
      <c r="P27" s="796">
        <v>331820857.0606364</v>
      </c>
      <c r="Q27" s="796">
        <v>400887693.57401937</v>
      </c>
      <c r="R27" s="796">
        <v>18073823.016866051</v>
      </c>
      <c r="S27" s="796">
        <v>28047242.431992013</v>
      </c>
      <c r="T27" s="796">
        <v>28047242.431992013</v>
      </c>
      <c r="U27" s="796">
        <v>28047242.431992013</v>
      </c>
      <c r="V27" s="796">
        <v>84141727.295976043</v>
      </c>
      <c r="W27" s="796">
        <v>57999711.82367938</v>
      </c>
      <c r="X27" s="796">
        <v>1675038.6580146365</v>
      </c>
      <c r="Y27" s="741">
        <v>28047242.431992013</v>
      </c>
      <c r="Z27" s="741">
        <v>28047242.431992013</v>
      </c>
      <c r="AA27" s="741">
        <v>28047242.431992013</v>
      </c>
      <c r="AB27" s="741">
        <v>84141727.295976043</v>
      </c>
      <c r="AC27" s="741">
        <v>57999711.82367938</v>
      </c>
      <c r="AD27" s="741">
        <v>4245994.4595415313</v>
      </c>
      <c r="AE27" s="741" t="s">
        <v>59</v>
      </c>
      <c r="AF27" s="741" t="s">
        <v>59</v>
      </c>
      <c r="AG27" s="798" t="s">
        <v>1907</v>
      </c>
      <c r="AH27" s="798" t="s">
        <v>1908</v>
      </c>
      <c r="AI27" s="798" t="s">
        <v>1912</v>
      </c>
    </row>
    <row r="28" spans="1:35" ht="18.75" customHeight="1">
      <c r="A28" s="790">
        <v>23</v>
      </c>
      <c r="B28" s="790" t="s">
        <v>39</v>
      </c>
      <c r="C28" s="790" t="s">
        <v>50</v>
      </c>
      <c r="D28" s="790" t="s">
        <v>67</v>
      </c>
      <c r="E28" s="790" t="s">
        <v>68</v>
      </c>
      <c r="F28" s="791" t="s">
        <v>65</v>
      </c>
      <c r="G28" s="791" t="s">
        <v>69</v>
      </c>
      <c r="H28" s="791" t="s">
        <v>30</v>
      </c>
      <c r="I28" s="792" t="s">
        <v>1906</v>
      </c>
      <c r="J28" s="792" t="s">
        <v>81</v>
      </c>
      <c r="K28" s="793" t="s">
        <v>47</v>
      </c>
      <c r="L28" s="790">
        <v>2016</v>
      </c>
      <c r="M28" s="794">
        <v>-182463.67101869613</v>
      </c>
      <c r="N28" s="795" t="s">
        <v>59</v>
      </c>
      <c r="O28" s="795" t="s">
        <v>59</v>
      </c>
      <c r="P28" s="796">
        <v>-2209074.9557754756</v>
      </c>
      <c r="Q28" s="796">
        <v>-5059196.4952959334</v>
      </c>
      <c r="R28" s="796">
        <v>-21496.601848040758</v>
      </c>
      <c r="S28" s="796">
        <v>79197.589752993154</v>
      </c>
      <c r="T28" s="796">
        <v>79197.589752993154</v>
      </c>
      <c r="U28" s="796">
        <v>79197.589752993154</v>
      </c>
      <c r="V28" s="796">
        <v>237592.76925897948</v>
      </c>
      <c r="W28" s="796">
        <v>171238.35073850432</v>
      </c>
      <c r="X28" s="796">
        <v>12571.194248503609</v>
      </c>
      <c r="Y28" s="741">
        <v>79197.589752993154</v>
      </c>
      <c r="Z28" s="741">
        <v>79197.589752993154</v>
      </c>
      <c r="AA28" s="741">
        <v>79197.589752993154</v>
      </c>
      <c r="AB28" s="741">
        <v>237592.76925897948</v>
      </c>
      <c r="AC28" s="741">
        <v>171238.35073850432</v>
      </c>
      <c r="AD28" s="741">
        <v>241039.21882535325</v>
      </c>
      <c r="AE28" s="741" t="s">
        <v>59</v>
      </c>
      <c r="AF28" s="741" t="s">
        <v>59</v>
      </c>
      <c r="AG28" s="798" t="s">
        <v>1907</v>
      </c>
      <c r="AH28" s="798" t="s">
        <v>1908</v>
      </c>
      <c r="AI28" s="798"/>
    </row>
    <row r="29" spans="1:35" ht="18.75" customHeight="1">
      <c r="A29" s="790">
        <v>24</v>
      </c>
      <c r="B29" s="790" t="s">
        <v>39</v>
      </c>
      <c r="C29" s="790" t="s">
        <v>50</v>
      </c>
      <c r="D29" s="790" t="s">
        <v>67</v>
      </c>
      <c r="E29" s="790" t="s">
        <v>68</v>
      </c>
      <c r="F29" s="791" t="s">
        <v>66</v>
      </c>
      <c r="G29" s="791" t="s">
        <v>69</v>
      </c>
      <c r="H29" s="791" t="s">
        <v>30</v>
      </c>
      <c r="I29" s="792" t="s">
        <v>1906</v>
      </c>
      <c r="J29" s="792" t="s">
        <v>82</v>
      </c>
      <c r="K29" s="793" t="s">
        <v>47</v>
      </c>
      <c r="L29" s="790">
        <v>2016</v>
      </c>
      <c r="M29" s="794">
        <v>-155482.52311888602</v>
      </c>
      <c r="N29" s="795" t="s">
        <v>59</v>
      </c>
      <c r="O29" s="795" t="s">
        <v>59</v>
      </c>
      <c r="P29" s="796">
        <v>-2829173.7813169812</v>
      </c>
      <c r="Q29" s="796">
        <v>-4936595.3158479817</v>
      </c>
      <c r="R29" s="796">
        <v>-22659.07743245137</v>
      </c>
      <c r="S29" s="796">
        <v>31994.154029110756</v>
      </c>
      <c r="T29" s="796">
        <v>31994.154029110756</v>
      </c>
      <c r="U29" s="796">
        <v>31994.154029110756</v>
      </c>
      <c r="V29" s="796">
        <v>95982.462087332271</v>
      </c>
      <c r="W29" s="796">
        <v>67861.813262191383</v>
      </c>
      <c r="X29" s="796">
        <v>8115.8526963889335</v>
      </c>
      <c r="Y29" s="741">
        <v>31994.154029110756</v>
      </c>
      <c r="Z29" s="741">
        <v>31994.154029110756</v>
      </c>
      <c r="AA29" s="741">
        <v>31994.154029110756</v>
      </c>
      <c r="AB29" s="741">
        <v>95982.462087332271</v>
      </c>
      <c r="AC29" s="741">
        <v>67861.813262191383</v>
      </c>
      <c r="AD29" s="741">
        <v>218479.78036953663</v>
      </c>
      <c r="AE29" s="741" t="s">
        <v>59</v>
      </c>
      <c r="AF29" s="741" t="s">
        <v>59</v>
      </c>
      <c r="AG29" s="798" t="s">
        <v>1907</v>
      </c>
      <c r="AH29" s="798" t="s">
        <v>1908</v>
      </c>
      <c r="AI29" s="798"/>
    </row>
    <row r="30" spans="1:35" ht="18.75" customHeight="1">
      <c r="A30" s="790">
        <v>25</v>
      </c>
      <c r="B30" s="790" t="s">
        <v>39</v>
      </c>
      <c r="C30" s="790" t="s">
        <v>50</v>
      </c>
      <c r="D30" s="790" t="s">
        <v>83</v>
      </c>
      <c r="E30" s="790" t="s">
        <v>84</v>
      </c>
      <c r="F30" s="791" t="s">
        <v>52</v>
      </c>
      <c r="G30" s="791" t="s">
        <v>85</v>
      </c>
      <c r="H30" s="791" t="s">
        <v>30</v>
      </c>
      <c r="I30" s="792" t="s">
        <v>1913</v>
      </c>
      <c r="J30" s="792" t="s">
        <v>87</v>
      </c>
      <c r="K30" s="793" t="s">
        <v>47</v>
      </c>
      <c r="L30" s="790">
        <v>2016</v>
      </c>
      <c r="M30" s="794">
        <v>787.5783519236569</v>
      </c>
      <c r="N30" s="795" t="s">
        <v>59</v>
      </c>
      <c r="O30" s="795" t="s">
        <v>59</v>
      </c>
      <c r="P30" s="796">
        <v>1588.4303456033253</v>
      </c>
      <c r="Q30" s="796">
        <v>203.68568231666202</v>
      </c>
      <c r="R30" s="796">
        <v>214.51003992111239</v>
      </c>
      <c r="S30" s="796">
        <v>744.14292880362609</v>
      </c>
      <c r="T30" s="796">
        <v>744.14292880362609</v>
      </c>
      <c r="U30" s="796">
        <v>744.14292880362609</v>
      </c>
      <c r="V30" s="796">
        <v>2232.4287864108783</v>
      </c>
      <c r="W30" s="796">
        <v>1556.243758068998</v>
      </c>
      <c r="X30" s="796">
        <v>274.32763831806716</v>
      </c>
      <c r="Y30" s="741">
        <v>744.14292880362609</v>
      </c>
      <c r="Z30" s="741">
        <v>744.14292880362609</v>
      </c>
      <c r="AA30" s="741">
        <v>744.14292880362609</v>
      </c>
      <c r="AB30" s="741">
        <v>2232.4287864108783</v>
      </c>
      <c r="AC30" s="741">
        <v>1556.243758068998</v>
      </c>
      <c r="AD30" s="741">
        <v>504.12470657915094</v>
      </c>
      <c r="AE30" s="741" t="s">
        <v>59</v>
      </c>
      <c r="AF30" s="741" t="s">
        <v>59</v>
      </c>
      <c r="AG30" s="798" t="s">
        <v>1907</v>
      </c>
      <c r="AH30" s="798" t="s">
        <v>1914</v>
      </c>
      <c r="AI30" s="798" t="s">
        <v>2152</v>
      </c>
    </row>
    <row r="31" spans="1:35" ht="18.75" customHeight="1">
      <c r="A31" s="790">
        <v>26</v>
      </c>
      <c r="B31" s="790" t="s">
        <v>39</v>
      </c>
      <c r="C31" s="790" t="s">
        <v>50</v>
      </c>
      <c r="D31" s="790" t="s">
        <v>83</v>
      </c>
      <c r="E31" s="790" t="s">
        <v>84</v>
      </c>
      <c r="F31" s="791" t="s">
        <v>55</v>
      </c>
      <c r="G31" s="791" t="s">
        <v>85</v>
      </c>
      <c r="H31" s="791" t="s">
        <v>30</v>
      </c>
      <c r="I31" s="792" t="s">
        <v>1913</v>
      </c>
      <c r="J31" s="792" t="s">
        <v>88</v>
      </c>
      <c r="K31" s="793" t="s">
        <v>47</v>
      </c>
      <c r="L31" s="790">
        <v>2016</v>
      </c>
      <c r="M31" s="794">
        <v>542.6586265746264</v>
      </c>
      <c r="N31" s="795" t="s">
        <v>59</v>
      </c>
      <c r="O31" s="795" t="s">
        <v>59</v>
      </c>
      <c r="P31" s="796">
        <v>1405.8268413474159</v>
      </c>
      <c r="Q31" s="796">
        <v>183.31711894124086</v>
      </c>
      <c r="R31" s="796">
        <v>193.05904104331938</v>
      </c>
      <c r="S31" s="796">
        <v>516.87321544164672</v>
      </c>
      <c r="T31" s="796">
        <v>516.87321544164672</v>
      </c>
      <c r="U31" s="796">
        <v>516.87321544164672</v>
      </c>
      <c r="V31" s="796">
        <v>1550.6196463249403</v>
      </c>
      <c r="W31" s="796">
        <v>1083.506364323827</v>
      </c>
      <c r="X31" s="796">
        <v>246.89488102674073</v>
      </c>
      <c r="Y31" s="741">
        <v>516.87321544164672</v>
      </c>
      <c r="Z31" s="741">
        <v>516.87321544164672</v>
      </c>
      <c r="AA31" s="741">
        <v>516.87321544164672</v>
      </c>
      <c r="AB31" s="741">
        <v>1550.6196463249403</v>
      </c>
      <c r="AC31" s="741">
        <v>1083.506364323827</v>
      </c>
      <c r="AD31" s="741">
        <v>453.71224794050477</v>
      </c>
      <c r="AE31" s="741" t="s">
        <v>59</v>
      </c>
      <c r="AF31" s="741" t="s">
        <v>59</v>
      </c>
      <c r="AG31" s="798" t="s">
        <v>1907</v>
      </c>
      <c r="AH31" s="798" t="s">
        <v>1914</v>
      </c>
      <c r="AI31" s="798" t="s">
        <v>2152</v>
      </c>
    </row>
    <row r="32" spans="1:35" ht="18.75" customHeight="1">
      <c r="A32" s="790">
        <v>27</v>
      </c>
      <c r="B32" s="790" t="s">
        <v>39</v>
      </c>
      <c r="C32" s="790" t="s">
        <v>50</v>
      </c>
      <c r="D32" s="790" t="s">
        <v>83</v>
      </c>
      <c r="E32" s="790" t="s">
        <v>84</v>
      </c>
      <c r="F32" s="791" t="s">
        <v>56</v>
      </c>
      <c r="G32" s="791" t="s">
        <v>85</v>
      </c>
      <c r="H32" s="791" t="s">
        <v>30</v>
      </c>
      <c r="I32" s="792" t="s">
        <v>1913</v>
      </c>
      <c r="J32" s="792" t="s">
        <v>89</v>
      </c>
      <c r="K32" s="793" t="s">
        <v>47</v>
      </c>
      <c r="L32" s="790">
        <v>2016</v>
      </c>
      <c r="M32" s="794">
        <v>4154146.5130920759</v>
      </c>
      <c r="N32" s="795" t="s">
        <v>59</v>
      </c>
      <c r="O32" s="795" t="s">
        <v>59</v>
      </c>
      <c r="P32" s="796">
        <v>10289594.148304887</v>
      </c>
      <c r="Q32" s="796">
        <v>869801.07254393562</v>
      </c>
      <c r="R32" s="796">
        <v>768861.38582170778</v>
      </c>
      <c r="S32" s="796">
        <v>3659611.5060574478</v>
      </c>
      <c r="T32" s="796">
        <v>3659611.5060574478</v>
      </c>
      <c r="U32" s="796">
        <v>3659611.5060574478</v>
      </c>
      <c r="V32" s="796">
        <v>10978834.518172342</v>
      </c>
      <c r="W32" s="796">
        <v>7563152.9180087335</v>
      </c>
      <c r="X32" s="796">
        <v>803198.7375796258</v>
      </c>
      <c r="Y32" s="741">
        <v>3659611.5060574478</v>
      </c>
      <c r="Z32" s="741">
        <v>3659611.5060574478</v>
      </c>
      <c r="AA32" s="741">
        <v>3659611.5060574478</v>
      </c>
      <c r="AB32" s="741">
        <v>10978834.518172342</v>
      </c>
      <c r="AC32" s="741">
        <v>7563152.9180087335</v>
      </c>
      <c r="AD32" s="741">
        <v>1894081.8274459834</v>
      </c>
      <c r="AE32" s="741" t="s">
        <v>59</v>
      </c>
      <c r="AF32" s="741" t="s">
        <v>59</v>
      </c>
      <c r="AG32" s="798" t="s">
        <v>1907</v>
      </c>
      <c r="AH32" s="798" t="s">
        <v>1914</v>
      </c>
      <c r="AI32" s="798" t="s">
        <v>2152</v>
      </c>
    </row>
    <row r="33" spans="1:35" ht="18.75" customHeight="1">
      <c r="A33" s="790">
        <v>28</v>
      </c>
      <c r="B33" s="790" t="s">
        <v>39</v>
      </c>
      <c r="C33" s="790" t="s">
        <v>50</v>
      </c>
      <c r="D33" s="790" t="s">
        <v>83</v>
      </c>
      <c r="E33" s="790" t="s">
        <v>84</v>
      </c>
      <c r="F33" s="791" t="s">
        <v>57</v>
      </c>
      <c r="G33" s="791" t="s">
        <v>85</v>
      </c>
      <c r="H33" s="791" t="s">
        <v>30</v>
      </c>
      <c r="I33" s="792" t="s">
        <v>1913</v>
      </c>
      <c r="J33" s="792" t="s">
        <v>1915</v>
      </c>
      <c r="K33" s="793" t="s">
        <v>47</v>
      </c>
      <c r="L33" s="790">
        <v>2016</v>
      </c>
      <c r="M33" s="794">
        <v>2906226.2701966031</v>
      </c>
      <c r="N33" s="795" t="s">
        <v>59</v>
      </c>
      <c r="O33" s="795" t="s">
        <v>59</v>
      </c>
      <c r="P33" s="796">
        <v>9220973.1133457366</v>
      </c>
      <c r="Q33" s="796">
        <v>782820.98602721537</v>
      </c>
      <c r="R33" s="796">
        <v>691975.26557062077</v>
      </c>
      <c r="S33" s="796">
        <v>2598006.38224108</v>
      </c>
      <c r="T33" s="796">
        <v>2598006.38224108</v>
      </c>
      <c r="U33" s="796">
        <v>2598006.38224108</v>
      </c>
      <c r="V33" s="796">
        <v>7794019.1467232406</v>
      </c>
      <c r="W33" s="796">
        <v>5372493.279916374</v>
      </c>
      <c r="X33" s="796">
        <v>722878.88297141332</v>
      </c>
      <c r="Y33" s="741">
        <v>2598006.38224108</v>
      </c>
      <c r="Z33" s="741">
        <v>2598006.38224108</v>
      </c>
      <c r="AA33" s="741">
        <v>2598006.38224108</v>
      </c>
      <c r="AB33" s="741">
        <v>7794019.1467232406</v>
      </c>
      <c r="AC33" s="741">
        <v>5372493.279916374</v>
      </c>
      <c r="AD33" s="741">
        <v>1706087.5671114337</v>
      </c>
      <c r="AE33" s="741" t="s">
        <v>59</v>
      </c>
      <c r="AF33" s="741" t="s">
        <v>59</v>
      </c>
      <c r="AG33" s="798" t="s">
        <v>1907</v>
      </c>
      <c r="AH33" s="798" t="s">
        <v>1914</v>
      </c>
      <c r="AI33" s="798" t="s">
        <v>2152</v>
      </c>
    </row>
    <row r="34" spans="1:35" ht="18.75" customHeight="1">
      <c r="A34" s="790">
        <v>29</v>
      </c>
      <c r="B34" s="790" t="s">
        <v>39</v>
      </c>
      <c r="C34" s="790" t="s">
        <v>50</v>
      </c>
      <c r="D34" s="790" t="s">
        <v>83</v>
      </c>
      <c r="E34" s="790" t="s">
        <v>84</v>
      </c>
      <c r="F34" s="791" t="s">
        <v>58</v>
      </c>
      <c r="G34" s="791" t="s">
        <v>85</v>
      </c>
      <c r="H34" s="791" t="s">
        <v>30</v>
      </c>
      <c r="I34" s="792" t="s">
        <v>1913</v>
      </c>
      <c r="J34" s="792" t="s">
        <v>1916</v>
      </c>
      <c r="K34" s="793" t="s">
        <v>47</v>
      </c>
      <c r="L34" s="790">
        <v>2016</v>
      </c>
      <c r="M34" s="794">
        <v>-16744.569711076456</v>
      </c>
      <c r="N34" s="795" t="s">
        <v>59</v>
      </c>
      <c r="O34" s="795" t="s">
        <v>59</v>
      </c>
      <c r="P34" s="796">
        <v>-110984.98251064183</v>
      </c>
      <c r="Q34" s="796">
        <v>-524.44432420719932</v>
      </c>
      <c r="R34" s="796">
        <v>-1506.3048092467031</v>
      </c>
      <c r="S34" s="796">
        <v>37425.980072347294</v>
      </c>
      <c r="T34" s="796">
        <v>37425.980072347294</v>
      </c>
      <c r="U34" s="796">
        <v>37425.980072347294</v>
      </c>
      <c r="V34" s="796">
        <v>112277.94021704188</v>
      </c>
      <c r="W34" s="796">
        <v>80921.188666839051</v>
      </c>
      <c r="X34" s="796">
        <v>6013.9287557817761</v>
      </c>
      <c r="Y34" s="741">
        <v>37425.980072347294</v>
      </c>
      <c r="Z34" s="741">
        <v>37425.980072347294</v>
      </c>
      <c r="AA34" s="741">
        <v>37425.980072347294</v>
      </c>
      <c r="AB34" s="741">
        <v>112277.94021704188</v>
      </c>
      <c r="AC34" s="741">
        <v>80921.188666839051</v>
      </c>
      <c r="AD34" s="741">
        <v>316804.82786543982</v>
      </c>
      <c r="AE34" s="741" t="s">
        <v>59</v>
      </c>
      <c r="AF34" s="741" t="s">
        <v>59</v>
      </c>
      <c r="AG34" s="798" t="s">
        <v>1907</v>
      </c>
      <c r="AH34" s="798" t="s">
        <v>1914</v>
      </c>
      <c r="AI34" s="798" t="s">
        <v>2152</v>
      </c>
    </row>
    <row r="35" spans="1:35" ht="18.75" customHeight="1">
      <c r="A35" s="790">
        <v>30</v>
      </c>
      <c r="B35" s="790" t="s">
        <v>39</v>
      </c>
      <c r="C35" s="790" t="s">
        <v>50</v>
      </c>
      <c r="D35" s="790" t="s">
        <v>83</v>
      </c>
      <c r="E35" s="790" t="s">
        <v>84</v>
      </c>
      <c r="F35" s="791" t="s">
        <v>60</v>
      </c>
      <c r="G35" s="791" t="s">
        <v>85</v>
      </c>
      <c r="H35" s="791" t="s">
        <v>30</v>
      </c>
      <c r="I35" s="792" t="s">
        <v>1913</v>
      </c>
      <c r="J35" s="792" t="s">
        <v>1917</v>
      </c>
      <c r="K35" s="793" t="s">
        <v>47</v>
      </c>
      <c r="L35" s="790">
        <v>2016</v>
      </c>
      <c r="M35" s="794">
        <v>-15105.782309444616</v>
      </c>
      <c r="N35" s="795" t="s">
        <v>59</v>
      </c>
      <c r="O35" s="795" t="s">
        <v>59</v>
      </c>
      <c r="P35" s="796">
        <v>-104644.40102857532</v>
      </c>
      <c r="Q35" s="796">
        <v>-471.99990429023001</v>
      </c>
      <c r="R35" s="796">
        <v>-1355.6743642351378</v>
      </c>
      <c r="S35" s="796">
        <v>29650.861157484051</v>
      </c>
      <c r="T35" s="796">
        <v>29650.861157484051</v>
      </c>
      <c r="U35" s="796">
        <v>29650.861157484051</v>
      </c>
      <c r="V35" s="796">
        <v>88952.583472452156</v>
      </c>
      <c r="W35" s="796">
        <v>62891.527030267047</v>
      </c>
      <c r="X35" s="796">
        <v>5412.5360235868357</v>
      </c>
      <c r="Y35" s="741">
        <v>29650.861157484051</v>
      </c>
      <c r="Z35" s="741">
        <v>29650.861157484051</v>
      </c>
      <c r="AA35" s="741">
        <v>29650.861157484051</v>
      </c>
      <c r="AB35" s="741">
        <v>88952.583472452156</v>
      </c>
      <c r="AC35" s="741">
        <v>62891.527030267047</v>
      </c>
      <c r="AD35" s="741">
        <v>285159.16539891221</v>
      </c>
      <c r="AE35" s="741" t="s">
        <v>59</v>
      </c>
      <c r="AF35" s="741" t="s">
        <v>59</v>
      </c>
      <c r="AG35" s="798" t="s">
        <v>1907</v>
      </c>
      <c r="AH35" s="798" t="s">
        <v>1914</v>
      </c>
      <c r="AI35" s="798" t="s">
        <v>2152</v>
      </c>
    </row>
    <row r="36" spans="1:35" ht="18.75" customHeight="1">
      <c r="A36" s="790">
        <v>31</v>
      </c>
      <c r="B36" s="790" t="s">
        <v>39</v>
      </c>
      <c r="C36" s="790" t="s">
        <v>50</v>
      </c>
      <c r="D36" s="790" t="s">
        <v>83</v>
      </c>
      <c r="E36" s="790" t="s">
        <v>84</v>
      </c>
      <c r="F36" s="791" t="s">
        <v>61</v>
      </c>
      <c r="G36" s="791" t="s">
        <v>85</v>
      </c>
      <c r="H36" s="791" t="s">
        <v>30</v>
      </c>
      <c r="I36" s="792" t="s">
        <v>1913</v>
      </c>
      <c r="J36" s="792" t="s">
        <v>1918</v>
      </c>
      <c r="K36" s="793" t="s">
        <v>47</v>
      </c>
      <c r="L36" s="790">
        <v>2016</v>
      </c>
      <c r="M36" s="794">
        <v>8400.9467557914049</v>
      </c>
      <c r="N36" s="795" t="s">
        <v>59</v>
      </c>
      <c r="O36" s="795" t="s">
        <v>59</v>
      </c>
      <c r="P36" s="796">
        <v>18147.892622313058</v>
      </c>
      <c r="Q36" s="796">
        <v>1123.4651062340597</v>
      </c>
      <c r="R36" s="796">
        <v>1142.0903837244618</v>
      </c>
      <c r="S36" s="796">
        <v>8007.9228269897503</v>
      </c>
      <c r="T36" s="796">
        <v>8007.9228269897503</v>
      </c>
      <c r="U36" s="796">
        <v>8007.9228269897503</v>
      </c>
      <c r="V36" s="796">
        <v>24023.768480969251</v>
      </c>
      <c r="W36" s="796">
        <v>16747.158955923838</v>
      </c>
      <c r="X36" s="796">
        <v>1110.0082738198946</v>
      </c>
      <c r="Y36" s="741">
        <v>8007.9228269897503</v>
      </c>
      <c r="Z36" s="741">
        <v>8007.9228269897503</v>
      </c>
      <c r="AA36" s="741">
        <v>8007.9228269897503</v>
      </c>
      <c r="AB36" s="741">
        <v>24023.768480969251</v>
      </c>
      <c r="AC36" s="741">
        <v>16747.158955923838</v>
      </c>
      <c r="AD36" s="741">
        <v>3358.5738937092729</v>
      </c>
      <c r="AE36" s="741" t="s">
        <v>59</v>
      </c>
      <c r="AF36" s="741" t="s">
        <v>59</v>
      </c>
      <c r="AG36" s="798" t="s">
        <v>1907</v>
      </c>
      <c r="AH36" s="798" t="s">
        <v>1914</v>
      </c>
      <c r="AI36" s="798" t="s">
        <v>2153</v>
      </c>
    </row>
    <row r="37" spans="1:35" ht="18.75" customHeight="1">
      <c r="A37" s="790">
        <v>32</v>
      </c>
      <c r="B37" s="790" t="s">
        <v>39</v>
      </c>
      <c r="C37" s="790" t="s">
        <v>50</v>
      </c>
      <c r="D37" s="790" t="s">
        <v>83</v>
      </c>
      <c r="E37" s="790" t="s">
        <v>84</v>
      </c>
      <c r="F37" s="791" t="s">
        <v>62</v>
      </c>
      <c r="G37" s="791" t="s">
        <v>85</v>
      </c>
      <c r="H37" s="791" t="s">
        <v>30</v>
      </c>
      <c r="I37" s="792" t="s">
        <v>1913</v>
      </c>
      <c r="J37" s="792" t="s">
        <v>1919</v>
      </c>
      <c r="K37" s="793" t="s">
        <v>47</v>
      </c>
      <c r="L37" s="790">
        <v>2016</v>
      </c>
      <c r="M37" s="794">
        <v>5711.3254016515839</v>
      </c>
      <c r="N37" s="795" t="s">
        <v>59</v>
      </c>
      <c r="O37" s="795" t="s">
        <v>59</v>
      </c>
      <c r="P37" s="796">
        <v>16486.053892001019</v>
      </c>
      <c r="Q37" s="796">
        <v>1011.1186223961486</v>
      </c>
      <c r="R37" s="796">
        <v>1027.8813725815721</v>
      </c>
      <c r="S37" s="796">
        <v>5507.9846566140022</v>
      </c>
      <c r="T37" s="796">
        <v>5507.9846566140022</v>
      </c>
      <c r="U37" s="796">
        <v>5507.9846566140022</v>
      </c>
      <c r="V37" s="796">
        <v>16523.953969842005</v>
      </c>
      <c r="W37" s="796">
        <v>11546.2288463524</v>
      </c>
      <c r="X37" s="796">
        <v>999.00747290256629</v>
      </c>
      <c r="Y37" s="741">
        <v>5507.9846566140022</v>
      </c>
      <c r="Z37" s="741">
        <v>5507.9846566140022</v>
      </c>
      <c r="AA37" s="741">
        <v>5507.9846566140022</v>
      </c>
      <c r="AB37" s="741">
        <v>16523.953969842005</v>
      </c>
      <c r="AC37" s="741">
        <v>11546.2288463524</v>
      </c>
      <c r="AD37" s="741">
        <v>3022.716584412984</v>
      </c>
      <c r="AE37" s="741" t="s">
        <v>59</v>
      </c>
      <c r="AF37" s="741" t="s">
        <v>59</v>
      </c>
      <c r="AG37" s="798" t="s">
        <v>1907</v>
      </c>
      <c r="AH37" s="798" t="s">
        <v>1914</v>
      </c>
      <c r="AI37" s="798" t="s">
        <v>2154</v>
      </c>
    </row>
    <row r="38" spans="1:35" ht="18.75" customHeight="1">
      <c r="A38" s="790">
        <v>33</v>
      </c>
      <c r="B38" s="790" t="s">
        <v>39</v>
      </c>
      <c r="C38" s="790" t="s">
        <v>50</v>
      </c>
      <c r="D38" s="790" t="s">
        <v>83</v>
      </c>
      <c r="E38" s="790" t="s">
        <v>84</v>
      </c>
      <c r="F38" s="791" t="s">
        <v>63</v>
      </c>
      <c r="G38" s="791" t="s">
        <v>85</v>
      </c>
      <c r="H38" s="791" t="s">
        <v>30</v>
      </c>
      <c r="I38" s="792" t="s">
        <v>1913</v>
      </c>
      <c r="J38" s="792" t="s">
        <v>1920</v>
      </c>
      <c r="K38" s="793" t="s">
        <v>47</v>
      </c>
      <c r="L38" s="790">
        <v>2016</v>
      </c>
      <c r="M38" s="794">
        <v>45824586.977097183</v>
      </c>
      <c r="N38" s="795" t="s">
        <v>59</v>
      </c>
      <c r="O38" s="795" t="s">
        <v>59</v>
      </c>
      <c r="P38" s="796">
        <v>133922082.97886318</v>
      </c>
      <c r="Q38" s="796">
        <v>4982089.2948363777</v>
      </c>
      <c r="R38" s="796">
        <v>4241739.1991328923</v>
      </c>
      <c r="S38" s="796">
        <v>40115348.347882621</v>
      </c>
      <c r="T38" s="796">
        <v>40115348.347882621</v>
      </c>
      <c r="U38" s="796">
        <v>40115348.347882621</v>
      </c>
      <c r="V38" s="796">
        <v>120346045.04364786</v>
      </c>
      <c r="W38" s="796">
        <v>82904568.80792816</v>
      </c>
      <c r="X38" s="796">
        <v>4092674.0239007822</v>
      </c>
      <c r="Y38" s="741">
        <v>40115348.347882621</v>
      </c>
      <c r="Z38" s="741">
        <v>40115348.347882621</v>
      </c>
      <c r="AA38" s="741">
        <v>40115348.347882621</v>
      </c>
      <c r="AB38" s="741">
        <v>120346045.04364786</v>
      </c>
      <c r="AC38" s="741">
        <v>82904568.80792816</v>
      </c>
      <c r="AD38" s="741">
        <v>11163490.502552707</v>
      </c>
      <c r="AE38" s="741" t="s">
        <v>59</v>
      </c>
      <c r="AF38" s="741" t="s">
        <v>59</v>
      </c>
      <c r="AG38" s="798" t="s">
        <v>1907</v>
      </c>
      <c r="AH38" s="798" t="s">
        <v>1914</v>
      </c>
      <c r="AI38" s="798" t="s">
        <v>2155</v>
      </c>
    </row>
    <row r="39" spans="1:35" ht="18.75" customHeight="1">
      <c r="A39" s="790">
        <v>34</v>
      </c>
      <c r="B39" s="790" t="s">
        <v>39</v>
      </c>
      <c r="C39" s="790" t="s">
        <v>50</v>
      </c>
      <c r="D39" s="790" t="s">
        <v>83</v>
      </c>
      <c r="E39" s="790" t="s">
        <v>84</v>
      </c>
      <c r="F39" s="791" t="s">
        <v>64</v>
      </c>
      <c r="G39" s="791" t="s">
        <v>85</v>
      </c>
      <c r="H39" s="791" t="s">
        <v>30</v>
      </c>
      <c r="I39" s="792" t="s">
        <v>1913</v>
      </c>
      <c r="J39" s="792" t="s">
        <v>1921</v>
      </c>
      <c r="K39" s="793" t="s">
        <v>47</v>
      </c>
      <c r="L39" s="790">
        <v>2016</v>
      </c>
      <c r="M39" s="794">
        <v>31600403.454184487</v>
      </c>
      <c r="N39" s="795" t="s">
        <v>59</v>
      </c>
      <c r="O39" s="795" t="s">
        <v>59</v>
      </c>
      <c r="P39" s="796">
        <v>122257999.19741485</v>
      </c>
      <c r="Q39" s="796">
        <v>4483880.4841350066</v>
      </c>
      <c r="R39" s="796">
        <v>3817565.380350546</v>
      </c>
      <c r="S39" s="796">
        <v>28047242.431991916</v>
      </c>
      <c r="T39" s="796">
        <v>28047242.431991916</v>
      </c>
      <c r="U39" s="796">
        <v>28047242.431991916</v>
      </c>
      <c r="V39" s="796">
        <v>84141727.295975745</v>
      </c>
      <c r="W39" s="796">
        <v>57999711.823679179</v>
      </c>
      <c r="X39" s="796">
        <v>3683406.7190876557</v>
      </c>
      <c r="Y39" s="741">
        <v>28047242.431991916</v>
      </c>
      <c r="Z39" s="741">
        <v>28047242.431991916</v>
      </c>
      <c r="AA39" s="741">
        <v>28047242.431991916</v>
      </c>
      <c r="AB39" s="741">
        <v>84141727.295975745</v>
      </c>
      <c r="AC39" s="741">
        <v>57999711.823679179</v>
      </c>
      <c r="AD39" s="741">
        <v>10060008.001984902</v>
      </c>
      <c r="AE39" s="741" t="s">
        <v>59</v>
      </c>
      <c r="AF39" s="741" t="s">
        <v>59</v>
      </c>
      <c r="AG39" s="798" t="s">
        <v>1907</v>
      </c>
      <c r="AH39" s="798" t="s">
        <v>1914</v>
      </c>
      <c r="AI39" s="798" t="s">
        <v>2156</v>
      </c>
    </row>
    <row r="40" spans="1:35" ht="18.75" customHeight="1">
      <c r="A40" s="790">
        <v>35</v>
      </c>
      <c r="B40" s="790" t="s">
        <v>39</v>
      </c>
      <c r="C40" s="790" t="s">
        <v>50</v>
      </c>
      <c r="D40" s="790" t="s">
        <v>83</v>
      </c>
      <c r="E40" s="790" t="s">
        <v>84</v>
      </c>
      <c r="F40" s="791" t="s">
        <v>65</v>
      </c>
      <c r="G40" s="791" t="s">
        <v>85</v>
      </c>
      <c r="H40" s="791" t="s">
        <v>30</v>
      </c>
      <c r="I40" s="792" t="s">
        <v>1913</v>
      </c>
      <c r="J40" s="792" t="s">
        <v>1922</v>
      </c>
      <c r="K40" s="793" t="s">
        <v>47</v>
      </c>
      <c r="L40" s="790">
        <v>2016</v>
      </c>
      <c r="M40" s="794">
        <v>-156970.38357559391</v>
      </c>
      <c r="N40" s="795" t="s">
        <v>59</v>
      </c>
      <c r="O40" s="795" t="s">
        <v>59</v>
      </c>
      <c r="P40" s="796">
        <v>-1677049.759178228</v>
      </c>
      <c r="Q40" s="796">
        <v>-13188.591060963503</v>
      </c>
      <c r="R40" s="796">
        <v>9607.369357042222</v>
      </c>
      <c r="S40" s="796">
        <v>79197.589752993154</v>
      </c>
      <c r="T40" s="796">
        <v>79197.589752993154</v>
      </c>
      <c r="U40" s="796">
        <v>79197.589752993154</v>
      </c>
      <c r="V40" s="796">
        <v>237592.76925897948</v>
      </c>
      <c r="W40" s="796">
        <v>171238.35073850432</v>
      </c>
      <c r="X40" s="796">
        <v>37061.967562241553</v>
      </c>
      <c r="Y40" s="741">
        <v>79197.589752993154</v>
      </c>
      <c r="Z40" s="741">
        <v>79197.589752993154</v>
      </c>
      <c r="AA40" s="741">
        <v>79197.589752993154</v>
      </c>
      <c r="AB40" s="741">
        <v>237592.76925897948</v>
      </c>
      <c r="AC40" s="741">
        <v>171238.35073850432</v>
      </c>
      <c r="AD40" s="741">
        <v>1668284.4438924666</v>
      </c>
      <c r="AE40" s="741" t="s">
        <v>59</v>
      </c>
      <c r="AF40" s="741" t="s">
        <v>59</v>
      </c>
      <c r="AG40" s="798" t="s">
        <v>1907</v>
      </c>
      <c r="AH40" s="798" t="s">
        <v>1914</v>
      </c>
      <c r="AI40" s="798" t="s">
        <v>2152</v>
      </c>
    </row>
    <row r="41" spans="1:35" ht="18.75" customHeight="1">
      <c r="A41" s="790">
        <v>36</v>
      </c>
      <c r="B41" s="790" t="s">
        <v>39</v>
      </c>
      <c r="C41" s="790" t="s">
        <v>50</v>
      </c>
      <c r="D41" s="790" t="s">
        <v>83</v>
      </c>
      <c r="E41" s="790" t="s">
        <v>84</v>
      </c>
      <c r="F41" s="791" t="s">
        <v>66</v>
      </c>
      <c r="G41" s="791" t="s">
        <v>85</v>
      </c>
      <c r="H41" s="791" t="s">
        <v>30</v>
      </c>
      <c r="I41" s="792" t="s">
        <v>1913</v>
      </c>
      <c r="J41" s="792" t="s">
        <v>1923</v>
      </c>
      <c r="K41" s="793" t="s">
        <v>47</v>
      </c>
      <c r="L41" s="790">
        <v>2016</v>
      </c>
      <c r="M41" s="794">
        <v>-140163.27495328779</v>
      </c>
      <c r="N41" s="795" t="s">
        <v>59</v>
      </c>
      <c r="O41" s="795" t="s">
        <v>59</v>
      </c>
      <c r="P41" s="796">
        <v>-1581163.2365073944</v>
      </c>
      <c r="Q41" s="796">
        <v>-11869.732269307806</v>
      </c>
      <c r="R41" s="796">
        <v>8646.6326503955333</v>
      </c>
      <c r="S41" s="796">
        <v>31994.154029110756</v>
      </c>
      <c r="T41" s="796">
        <v>31994.154029110756</v>
      </c>
      <c r="U41" s="796">
        <v>31994.154029110756</v>
      </c>
      <c r="V41" s="796">
        <v>95982.462087332271</v>
      </c>
      <c r="W41" s="796">
        <v>67861.813262191383</v>
      </c>
      <c r="X41" s="796">
        <v>33355.771689643567</v>
      </c>
      <c r="Y41" s="741">
        <v>31994.154029110756</v>
      </c>
      <c r="Z41" s="741">
        <v>31994.154029110756</v>
      </c>
      <c r="AA41" s="741">
        <v>31994.154029110756</v>
      </c>
      <c r="AB41" s="741">
        <v>95982.462087332271</v>
      </c>
      <c r="AC41" s="741">
        <v>67861.813262191383</v>
      </c>
      <c r="AD41" s="741">
        <v>1501772.8354693796</v>
      </c>
      <c r="AE41" s="741" t="s">
        <v>59</v>
      </c>
      <c r="AF41" s="741" t="s">
        <v>59</v>
      </c>
      <c r="AG41" s="798" t="s">
        <v>1907</v>
      </c>
      <c r="AH41" s="798" t="s">
        <v>1914</v>
      </c>
      <c r="AI41" s="798" t="s">
        <v>2152</v>
      </c>
    </row>
    <row r="42" spans="1:35" ht="18.75" customHeight="1">
      <c r="A42" s="790">
        <v>37</v>
      </c>
      <c r="B42" s="790" t="s">
        <v>39</v>
      </c>
      <c r="C42" s="790" t="s">
        <v>50</v>
      </c>
      <c r="D42" s="790" t="s">
        <v>90</v>
      </c>
      <c r="E42" s="790" t="s">
        <v>91</v>
      </c>
      <c r="F42" s="791" t="s">
        <v>92</v>
      </c>
      <c r="G42" s="791" t="s">
        <v>93</v>
      </c>
      <c r="H42" s="791" t="s">
        <v>30</v>
      </c>
      <c r="I42" s="792" t="s">
        <v>1924</v>
      </c>
      <c r="J42" s="792" t="s">
        <v>92</v>
      </c>
      <c r="K42" s="793" t="s">
        <v>47</v>
      </c>
      <c r="L42" s="790">
        <v>2016</v>
      </c>
      <c r="M42" s="794">
        <v>299.22560289557811</v>
      </c>
      <c r="N42" s="795">
        <v>91039941.198558286</v>
      </c>
      <c r="O42" s="795">
        <v>304251.84314969479</v>
      </c>
      <c r="P42" s="796">
        <v>185.867699815739</v>
      </c>
      <c r="Q42" s="796">
        <v>95.02296044661847</v>
      </c>
      <c r="R42" s="796">
        <v>442.41093104497247</v>
      </c>
      <c r="S42" s="796">
        <v>290.537060458459</v>
      </c>
      <c r="T42" s="796">
        <v>290.537060458459</v>
      </c>
      <c r="U42" s="796">
        <v>290.537060458459</v>
      </c>
      <c r="V42" s="796">
        <v>871.61118137537699</v>
      </c>
      <c r="W42" s="796">
        <v>578.16875031233337</v>
      </c>
      <c r="X42" s="796">
        <v>38.187030879415758</v>
      </c>
      <c r="Y42" s="741">
        <v>290.537060458459</v>
      </c>
      <c r="Z42" s="741">
        <v>290.537060458459</v>
      </c>
      <c r="AA42" s="741">
        <v>290.537060458459</v>
      </c>
      <c r="AB42" s="741">
        <v>871.61118137537699</v>
      </c>
      <c r="AC42" s="741">
        <v>578.16875031233337</v>
      </c>
      <c r="AD42" s="741">
        <v>155.4677341965868</v>
      </c>
      <c r="AE42" s="741">
        <v>12471327.800627246</v>
      </c>
      <c r="AF42" s="741">
        <v>80218.109983242088</v>
      </c>
      <c r="AG42" s="798" t="s">
        <v>1925</v>
      </c>
      <c r="AH42" s="798" t="s">
        <v>1926</v>
      </c>
      <c r="AI42" s="798"/>
    </row>
    <row r="43" spans="1:35" ht="18.75" customHeight="1">
      <c r="A43" s="790">
        <v>38</v>
      </c>
      <c r="B43" s="790" t="s">
        <v>39</v>
      </c>
      <c r="C43" s="790" t="s">
        <v>50</v>
      </c>
      <c r="D43" s="790" t="s">
        <v>90</v>
      </c>
      <c r="E43" s="790" t="s">
        <v>91</v>
      </c>
      <c r="F43" s="791" t="s">
        <v>95</v>
      </c>
      <c r="G43" s="791" t="s">
        <v>93</v>
      </c>
      <c r="H43" s="791" t="s">
        <v>30</v>
      </c>
      <c r="I43" s="792" t="s">
        <v>1924</v>
      </c>
      <c r="J43" s="792" t="s">
        <v>95</v>
      </c>
      <c r="K43" s="793" t="s">
        <v>47</v>
      </c>
      <c r="L43" s="790">
        <v>2016</v>
      </c>
      <c r="M43" s="799">
        <v>6.5983874556443195E-2</v>
      </c>
      <c r="N43" s="795">
        <v>91039941.265597492</v>
      </c>
      <c r="O43" s="795">
        <v>1379730151.9134212</v>
      </c>
      <c r="P43" s="800">
        <v>2.6670905663994444E-2</v>
      </c>
      <c r="Q43" s="800">
        <v>1.5040071603837258E-2</v>
      </c>
      <c r="R43" s="800">
        <v>0.12039327439739812</v>
      </c>
      <c r="S43" s="800">
        <v>6.3296106683271139E-2</v>
      </c>
      <c r="T43" s="800">
        <v>6.3296106683271139E-2</v>
      </c>
      <c r="U43" s="800">
        <v>6.3296106683271139E-2</v>
      </c>
      <c r="V43" s="800">
        <v>0.18988832004981343</v>
      </c>
      <c r="W43" s="800">
        <v>0.12595925229970956</v>
      </c>
      <c r="X43" s="800">
        <v>7.742125191806469E-3</v>
      </c>
      <c r="Y43" s="741">
        <v>6.3296106683271139E-2</v>
      </c>
      <c r="Z43" s="741">
        <v>6.3296106683271139E-2</v>
      </c>
      <c r="AA43" s="741">
        <v>6.3296106683271139E-2</v>
      </c>
      <c r="AB43" s="741">
        <v>0.18988832004981343</v>
      </c>
      <c r="AC43" s="741">
        <v>0.12595925229970956</v>
      </c>
      <c r="AD43" s="741">
        <v>4.1299315466679955E-2</v>
      </c>
      <c r="AE43" s="741">
        <v>12471327.800627246</v>
      </c>
      <c r="AF43" s="741">
        <v>301974201.25980151</v>
      </c>
      <c r="AG43" s="798" t="s">
        <v>1927</v>
      </c>
      <c r="AH43" s="798" t="s">
        <v>1926</v>
      </c>
      <c r="AI43" s="798"/>
    </row>
    <row r="44" spans="1:35" ht="18.75" customHeight="1">
      <c r="A44" s="790">
        <v>39</v>
      </c>
      <c r="B44" s="790" t="s">
        <v>39</v>
      </c>
      <c r="C44" s="790" t="s">
        <v>50</v>
      </c>
      <c r="D44" s="790" t="s">
        <v>90</v>
      </c>
      <c r="E44" s="790" t="s">
        <v>91</v>
      </c>
      <c r="F44" s="791" t="s">
        <v>96</v>
      </c>
      <c r="G44" s="791" t="s">
        <v>93</v>
      </c>
      <c r="H44" s="791" t="s">
        <v>30</v>
      </c>
      <c r="I44" s="792" t="s">
        <v>1924</v>
      </c>
      <c r="J44" s="792" t="s">
        <v>96</v>
      </c>
      <c r="K44" s="793" t="s">
        <v>47</v>
      </c>
      <c r="L44" s="790">
        <v>2016</v>
      </c>
      <c r="M44" s="799">
        <v>0.52573295173332313</v>
      </c>
      <c r="N44" s="795">
        <v>5583512.8085025204</v>
      </c>
      <c r="O44" s="795">
        <v>10620435.318147501</v>
      </c>
      <c r="P44" s="800">
        <v>0.19863807912374151</v>
      </c>
      <c r="Q44" s="800">
        <v>3.3116917337878429E-2</v>
      </c>
      <c r="R44" s="800">
        <v>1.06881631989195</v>
      </c>
      <c r="S44" s="800">
        <v>0.41563700720718572</v>
      </c>
      <c r="T44" s="800">
        <v>0.41563700720718572</v>
      </c>
      <c r="U44" s="800">
        <v>0.41563700720718572</v>
      </c>
      <c r="V44" s="800">
        <v>1.2469110216215571</v>
      </c>
      <c r="W44" s="800">
        <v>0.82711764434229962</v>
      </c>
      <c r="X44" s="800">
        <v>9.7724503578921096E-2</v>
      </c>
      <c r="Y44" s="741">
        <v>0.41563700720718572</v>
      </c>
      <c r="Z44" s="741">
        <v>0.41563700720718572</v>
      </c>
      <c r="AA44" s="741">
        <v>0.41563700720718572</v>
      </c>
      <c r="AB44" s="741">
        <v>1.2469110216215571</v>
      </c>
      <c r="AC44" s="741">
        <v>0.82711764434229962</v>
      </c>
      <c r="AD44" s="741">
        <v>0.41742786847022956</v>
      </c>
      <c r="AE44" s="741">
        <v>7398391.5386358108</v>
      </c>
      <c r="AF44" s="741">
        <v>17723760.432548732</v>
      </c>
      <c r="AG44" s="798" t="s">
        <v>1928</v>
      </c>
      <c r="AH44" s="798" t="s">
        <v>1926</v>
      </c>
      <c r="AI44" s="798"/>
    </row>
    <row r="45" spans="1:35" ht="18.75" customHeight="1">
      <c r="A45" s="790">
        <v>40</v>
      </c>
      <c r="B45" s="790" t="s">
        <v>39</v>
      </c>
      <c r="C45" s="790" t="s">
        <v>50</v>
      </c>
      <c r="D45" s="790" t="s">
        <v>90</v>
      </c>
      <c r="E45" s="790" t="s">
        <v>91</v>
      </c>
      <c r="F45" s="791" t="s">
        <v>97</v>
      </c>
      <c r="G45" s="791" t="s">
        <v>93</v>
      </c>
      <c r="H45" s="791" t="s">
        <v>30</v>
      </c>
      <c r="I45" s="792" t="s">
        <v>1924</v>
      </c>
      <c r="J45" s="792" t="s">
        <v>97</v>
      </c>
      <c r="K45" s="793" t="s">
        <v>47</v>
      </c>
      <c r="L45" s="790">
        <v>2016</v>
      </c>
      <c r="M45" s="794">
        <v>420.38822782558418</v>
      </c>
      <c r="N45" s="795">
        <v>127903893.1543678</v>
      </c>
      <c r="O45" s="795">
        <v>304251.84314969479</v>
      </c>
      <c r="P45" s="796">
        <v>381.82048624610803</v>
      </c>
      <c r="Q45" s="796">
        <v>159.34630053275419</v>
      </c>
      <c r="R45" s="796">
        <v>538.62799204923965</v>
      </c>
      <c r="S45" s="796">
        <v>409.29856805963675</v>
      </c>
      <c r="T45" s="796">
        <v>409.29856805963675</v>
      </c>
      <c r="U45" s="796">
        <v>409.29856805963675</v>
      </c>
      <c r="V45" s="796">
        <v>1227.8957041789104</v>
      </c>
      <c r="W45" s="796">
        <v>814.50415043867713</v>
      </c>
      <c r="X45" s="796">
        <v>167.9982447322794</v>
      </c>
      <c r="Y45" s="741">
        <v>409.29856805963675</v>
      </c>
      <c r="Z45" s="741">
        <v>409.29856805963675</v>
      </c>
      <c r="AA45" s="741">
        <v>409.29856805963675</v>
      </c>
      <c r="AB45" s="741">
        <v>1227.8957041789104</v>
      </c>
      <c r="AC45" s="741">
        <v>814.50415043867713</v>
      </c>
      <c r="AD45" s="741">
        <v>190.80499152585656</v>
      </c>
      <c r="AE45" s="741">
        <v>15306015.795572737</v>
      </c>
      <c r="AF45" s="741">
        <v>80218.109983242088</v>
      </c>
      <c r="AG45" s="798" t="s">
        <v>1929</v>
      </c>
      <c r="AH45" s="798" t="s">
        <v>1926</v>
      </c>
      <c r="AI45" s="798"/>
    </row>
    <row r="46" spans="1:35" ht="18.75" customHeight="1">
      <c r="A46" s="790">
        <v>41</v>
      </c>
      <c r="B46" s="790" t="s">
        <v>39</v>
      </c>
      <c r="C46" s="790" t="s">
        <v>50</v>
      </c>
      <c r="D46" s="790" t="s">
        <v>90</v>
      </c>
      <c r="E46" s="790" t="s">
        <v>91</v>
      </c>
      <c r="F46" s="791" t="s">
        <v>98</v>
      </c>
      <c r="G46" s="791" t="s">
        <v>93</v>
      </c>
      <c r="H46" s="791" t="s">
        <v>30</v>
      </c>
      <c r="I46" s="792" t="s">
        <v>1924</v>
      </c>
      <c r="J46" s="792" t="s">
        <v>98</v>
      </c>
      <c r="K46" s="793" t="s">
        <v>47</v>
      </c>
      <c r="L46" s="790">
        <v>2016</v>
      </c>
      <c r="M46" s="799">
        <v>9.2702107710692289E-2</v>
      </c>
      <c r="N46" s="795">
        <v>127903893.1543678</v>
      </c>
      <c r="O46" s="795">
        <v>1379730151.9134212</v>
      </c>
      <c r="P46" s="800">
        <v>5.4788961069329976E-2</v>
      </c>
      <c r="Q46" s="800">
        <v>2.5221059821279014E-2</v>
      </c>
      <c r="R46" s="800">
        <v>0.14657682054043045</v>
      </c>
      <c r="S46" s="800">
        <v>8.9169367199944768E-2</v>
      </c>
      <c r="T46" s="800">
        <v>8.9169367199944768E-2</v>
      </c>
      <c r="U46" s="800">
        <v>8.9169367199944768E-2</v>
      </c>
      <c r="V46" s="800">
        <v>0.26750810159983429</v>
      </c>
      <c r="W46" s="800">
        <v>0.17744704072789008</v>
      </c>
      <c r="X46" s="800">
        <v>3.4060344906839936E-2</v>
      </c>
      <c r="Y46" s="741">
        <v>8.9169367199944768E-2</v>
      </c>
      <c r="Z46" s="741">
        <v>8.9169367199944768E-2</v>
      </c>
      <c r="AA46" s="741">
        <v>8.9169367199944768E-2</v>
      </c>
      <c r="AB46" s="741">
        <v>0.26750810159983429</v>
      </c>
      <c r="AC46" s="741">
        <v>0.17744704072789008</v>
      </c>
      <c r="AD46" s="741">
        <v>5.0686501468396331E-2</v>
      </c>
      <c r="AE46" s="741">
        <v>15306015.795572737</v>
      </c>
      <c r="AF46" s="741">
        <v>301974201.25980151</v>
      </c>
      <c r="AG46" s="798" t="s">
        <v>1930</v>
      </c>
      <c r="AH46" s="798" t="s">
        <v>1926</v>
      </c>
      <c r="AI46" s="798"/>
    </row>
    <row r="47" spans="1:35" ht="18.75" customHeight="1">
      <c r="A47" s="790">
        <v>42</v>
      </c>
      <c r="B47" s="790" t="s">
        <v>39</v>
      </c>
      <c r="C47" s="790" t="s">
        <v>50</v>
      </c>
      <c r="D47" s="790" t="s">
        <v>90</v>
      </c>
      <c r="E47" s="790" t="s">
        <v>91</v>
      </c>
      <c r="F47" s="791" t="s">
        <v>99</v>
      </c>
      <c r="G47" s="791" t="s">
        <v>93</v>
      </c>
      <c r="H47" s="791" t="s">
        <v>30</v>
      </c>
      <c r="I47" s="792" t="s">
        <v>1924</v>
      </c>
      <c r="J47" s="792" t="s">
        <v>99</v>
      </c>
      <c r="K47" s="793" t="s">
        <v>47</v>
      </c>
      <c r="L47" s="790">
        <v>2016</v>
      </c>
      <c r="M47" s="799">
        <v>0.7386130785174343</v>
      </c>
      <c r="N47" s="795">
        <v>7844392.4255322125</v>
      </c>
      <c r="O47" s="795">
        <v>10620435.318147501</v>
      </c>
      <c r="P47" s="800">
        <v>0.40805415913151299</v>
      </c>
      <c r="Q47" s="800">
        <v>5.5534559626822765E-2</v>
      </c>
      <c r="R47" s="800">
        <v>1.3012661936111558</v>
      </c>
      <c r="S47" s="800">
        <v>0.58553504883008811</v>
      </c>
      <c r="T47" s="800">
        <v>0.58553504883008811</v>
      </c>
      <c r="U47" s="800">
        <v>0.58553504883008811</v>
      </c>
      <c r="V47" s="800">
        <v>1.7566051464902643</v>
      </c>
      <c r="W47" s="800">
        <v>1.1652147471718752</v>
      </c>
      <c r="X47" s="800">
        <v>0.4299246286110649</v>
      </c>
      <c r="Y47" s="741">
        <v>0.58553504883008811</v>
      </c>
      <c r="Z47" s="741">
        <v>0.58553504883008811</v>
      </c>
      <c r="AA47" s="741">
        <v>0.58553504883008811</v>
      </c>
      <c r="AB47" s="741">
        <v>1.7566051464902643</v>
      </c>
      <c r="AC47" s="741">
        <v>1.1652147471718752</v>
      </c>
      <c r="AD47" s="741">
        <v>0.51230772299933036</v>
      </c>
      <c r="AE47" s="741">
        <v>9080019.3501846679</v>
      </c>
      <c r="AF47" s="741">
        <v>17723760.432548732</v>
      </c>
      <c r="AG47" s="798" t="s">
        <v>1931</v>
      </c>
      <c r="AH47" s="798" t="s">
        <v>1926</v>
      </c>
      <c r="AI47" s="798"/>
    </row>
    <row r="48" spans="1:35" ht="18.75" customHeight="1">
      <c r="A48" s="790">
        <v>43</v>
      </c>
      <c r="B48" s="790" t="s">
        <v>39</v>
      </c>
      <c r="C48" s="790" t="s">
        <v>50</v>
      </c>
      <c r="D48" s="790" t="s">
        <v>100</v>
      </c>
      <c r="E48" s="790" t="s">
        <v>51</v>
      </c>
      <c r="F48" s="791" t="s">
        <v>52</v>
      </c>
      <c r="G48" s="791" t="s">
        <v>53</v>
      </c>
      <c r="H48" s="791" t="s">
        <v>30</v>
      </c>
      <c r="I48" s="792" t="s">
        <v>1932</v>
      </c>
      <c r="J48" s="792" t="s">
        <v>52</v>
      </c>
      <c r="K48" s="793" t="s">
        <v>102</v>
      </c>
      <c r="L48" s="790">
        <v>2016</v>
      </c>
      <c r="M48" s="794">
        <v>37359.942249947097</v>
      </c>
      <c r="N48" s="795" t="s">
        <v>59</v>
      </c>
      <c r="O48" s="795" t="s">
        <v>59</v>
      </c>
      <c r="P48" s="796">
        <v>28969.162092688963</v>
      </c>
      <c r="Q48" s="796">
        <v>66741.149765853857</v>
      </c>
      <c r="R48" s="796">
        <v>111.749128412769</v>
      </c>
      <c r="S48" s="796">
        <v>38055.983396743606</v>
      </c>
      <c r="T48" s="796">
        <v>38055.983396743606</v>
      </c>
      <c r="U48" s="796">
        <v>38055.983396743606</v>
      </c>
      <c r="V48" s="796">
        <v>114167.95019023083</v>
      </c>
      <c r="W48" s="796">
        <v>79587.380765111782</v>
      </c>
      <c r="X48" s="796">
        <v>5310.0314466642203</v>
      </c>
      <c r="Y48" s="741">
        <v>38055.983396743606</v>
      </c>
      <c r="Z48" s="741">
        <v>38055.983396743606</v>
      </c>
      <c r="AA48" s="741">
        <v>38055.983396743606</v>
      </c>
      <c r="AB48" s="741">
        <v>114167.95019023083</v>
      </c>
      <c r="AC48" s="741">
        <v>79587.380765111782</v>
      </c>
      <c r="AD48" s="741">
        <v>4247.8978907279998</v>
      </c>
      <c r="AE48" s="741" t="s">
        <v>59</v>
      </c>
      <c r="AF48" s="741" t="s">
        <v>59</v>
      </c>
      <c r="AG48" s="798" t="s">
        <v>1933</v>
      </c>
      <c r="AH48" s="798" t="s">
        <v>1934</v>
      </c>
      <c r="AI48" s="798"/>
    </row>
    <row r="49" spans="1:35" ht="18.75" customHeight="1">
      <c r="A49" s="790">
        <v>44</v>
      </c>
      <c r="B49" s="790" t="s">
        <v>39</v>
      </c>
      <c r="C49" s="790" t="s">
        <v>50</v>
      </c>
      <c r="D49" s="790" t="s">
        <v>100</v>
      </c>
      <c r="E49" s="790" t="s">
        <v>51</v>
      </c>
      <c r="F49" s="791" t="s">
        <v>55</v>
      </c>
      <c r="G49" s="791" t="s">
        <v>53</v>
      </c>
      <c r="H49" s="791" t="s">
        <v>30</v>
      </c>
      <c r="I49" s="792" t="s">
        <v>1932</v>
      </c>
      <c r="J49" s="792" t="s">
        <v>55</v>
      </c>
      <c r="K49" s="793" t="s">
        <v>102</v>
      </c>
      <c r="L49" s="790">
        <v>2016</v>
      </c>
      <c r="M49" s="794">
        <v>36438.311610215598</v>
      </c>
      <c r="N49" s="795" t="s">
        <v>59</v>
      </c>
      <c r="O49" s="795" t="s">
        <v>59</v>
      </c>
      <c r="P49" s="796">
        <v>26882.147796141435</v>
      </c>
      <c r="Q49" s="796">
        <v>68352.677258835494</v>
      </c>
      <c r="R49" s="796">
        <v>74.695319897478598</v>
      </c>
      <c r="S49" s="796">
        <v>35093.260469887748</v>
      </c>
      <c r="T49" s="796">
        <v>35093.260469887748</v>
      </c>
      <c r="U49" s="796">
        <v>35093.260469887748</v>
      </c>
      <c r="V49" s="796">
        <v>105279.78140966324</v>
      </c>
      <c r="W49" s="796">
        <v>73564.986399048386</v>
      </c>
      <c r="X49" s="796">
        <v>5518.9322076968392</v>
      </c>
      <c r="Y49" s="741">
        <v>35093.260469887748</v>
      </c>
      <c r="Z49" s="741">
        <v>35093.260469887748</v>
      </c>
      <c r="AA49" s="741">
        <v>35093.260469887748</v>
      </c>
      <c r="AB49" s="741">
        <v>105279.78140966324</v>
      </c>
      <c r="AC49" s="741">
        <v>73564.986399048386</v>
      </c>
      <c r="AD49" s="741">
        <v>4404.9346867308886</v>
      </c>
      <c r="AE49" s="741" t="s">
        <v>59</v>
      </c>
      <c r="AF49" s="741" t="s">
        <v>59</v>
      </c>
      <c r="AG49" s="798" t="s">
        <v>1933</v>
      </c>
      <c r="AH49" s="798" t="s">
        <v>1934</v>
      </c>
      <c r="AI49" s="798"/>
    </row>
    <row r="50" spans="1:35" ht="18.75" customHeight="1">
      <c r="A50" s="790">
        <v>45</v>
      </c>
      <c r="B50" s="790" t="s">
        <v>39</v>
      </c>
      <c r="C50" s="790" t="s">
        <v>50</v>
      </c>
      <c r="D50" s="790" t="s">
        <v>100</v>
      </c>
      <c r="E50" s="790" t="s">
        <v>51</v>
      </c>
      <c r="F50" s="791" t="s">
        <v>56</v>
      </c>
      <c r="G50" s="791" t="s">
        <v>53</v>
      </c>
      <c r="H50" s="791" t="s">
        <v>30</v>
      </c>
      <c r="I50" s="792" t="s">
        <v>1932</v>
      </c>
      <c r="J50" s="792" t="s">
        <v>56</v>
      </c>
      <c r="K50" s="793" t="s">
        <v>102</v>
      </c>
      <c r="L50" s="790">
        <v>2016</v>
      </c>
      <c r="M50" s="794">
        <v>67699410.8394586</v>
      </c>
      <c r="N50" s="795" t="s">
        <v>59</v>
      </c>
      <c r="O50" s="795" t="s">
        <v>59</v>
      </c>
      <c r="P50" s="796">
        <v>172800465.07203701</v>
      </c>
      <c r="Q50" s="796">
        <v>172460845.21371642</v>
      </c>
      <c r="R50" s="796">
        <v>1032489.93762617</v>
      </c>
      <c r="S50" s="796">
        <v>70479219.393036798</v>
      </c>
      <c r="T50" s="796">
        <v>70479219.393036798</v>
      </c>
      <c r="U50" s="796">
        <v>70479219.393036798</v>
      </c>
      <c r="V50" s="796">
        <v>211437658.17911041</v>
      </c>
      <c r="W50" s="796">
        <v>145656202.28516582</v>
      </c>
      <c r="X50" s="796">
        <v>33263728.448498197</v>
      </c>
      <c r="Y50" s="741">
        <v>70479219.393036798</v>
      </c>
      <c r="Z50" s="741">
        <v>70479219.393036798</v>
      </c>
      <c r="AA50" s="741">
        <v>70479219.393036798</v>
      </c>
      <c r="AB50" s="741">
        <v>211437658.17911041</v>
      </c>
      <c r="AC50" s="741">
        <v>145656202.28516582</v>
      </c>
      <c r="AD50" s="741">
        <v>28894933.882561199</v>
      </c>
      <c r="AE50" s="741" t="s">
        <v>59</v>
      </c>
      <c r="AF50" s="741" t="s">
        <v>59</v>
      </c>
      <c r="AG50" s="798" t="s">
        <v>1933</v>
      </c>
      <c r="AH50" s="798" t="s">
        <v>1934</v>
      </c>
      <c r="AI50" s="798"/>
    </row>
    <row r="51" spans="1:35" ht="18.75" customHeight="1">
      <c r="A51" s="790">
        <v>46</v>
      </c>
      <c r="B51" s="790" t="s">
        <v>39</v>
      </c>
      <c r="C51" s="790" t="s">
        <v>50</v>
      </c>
      <c r="D51" s="790" t="s">
        <v>100</v>
      </c>
      <c r="E51" s="790" t="s">
        <v>51</v>
      </c>
      <c r="F51" s="791" t="s">
        <v>57</v>
      </c>
      <c r="G51" s="791" t="s">
        <v>53</v>
      </c>
      <c r="H51" s="791" t="s">
        <v>30</v>
      </c>
      <c r="I51" s="792" t="s">
        <v>1932</v>
      </c>
      <c r="J51" s="792" t="s">
        <v>57</v>
      </c>
      <c r="K51" s="793" t="s">
        <v>102</v>
      </c>
      <c r="L51" s="790">
        <v>2016</v>
      </c>
      <c r="M51" s="794">
        <v>54672508.702405602</v>
      </c>
      <c r="N51" s="795" t="s">
        <v>59</v>
      </c>
      <c r="O51" s="795" t="s">
        <v>59</v>
      </c>
      <c r="P51" s="796">
        <v>158258802.05444619</v>
      </c>
      <c r="Q51" s="796">
        <v>167737013.89033544</v>
      </c>
      <c r="R51" s="796">
        <v>624041.56883064599</v>
      </c>
      <c r="S51" s="796">
        <v>53104884.395673916</v>
      </c>
      <c r="T51" s="796">
        <v>53104884.395673916</v>
      </c>
      <c r="U51" s="796">
        <v>53104884.395673916</v>
      </c>
      <c r="V51" s="796">
        <v>159314653.18702173</v>
      </c>
      <c r="W51" s="796">
        <v>109817141.51925409</v>
      </c>
      <c r="X51" s="796">
        <v>33868101.648062274</v>
      </c>
      <c r="Y51" s="741">
        <v>53104884.395673916</v>
      </c>
      <c r="Z51" s="741">
        <v>53104884.395673916</v>
      </c>
      <c r="AA51" s="741">
        <v>53104884.395673916</v>
      </c>
      <c r="AB51" s="741">
        <v>159314653.18702173</v>
      </c>
      <c r="AC51" s="741">
        <v>109817141.51925409</v>
      </c>
      <c r="AD51" s="741">
        <v>29659939.295696195</v>
      </c>
      <c r="AE51" s="741" t="s">
        <v>59</v>
      </c>
      <c r="AF51" s="741" t="s">
        <v>59</v>
      </c>
      <c r="AG51" s="798" t="s">
        <v>1933</v>
      </c>
      <c r="AH51" s="798" t="s">
        <v>1934</v>
      </c>
      <c r="AI51" s="798"/>
    </row>
    <row r="52" spans="1:35" ht="18.75" customHeight="1">
      <c r="A52" s="790">
        <v>47</v>
      </c>
      <c r="B52" s="790" t="s">
        <v>39</v>
      </c>
      <c r="C52" s="790" t="s">
        <v>50</v>
      </c>
      <c r="D52" s="790" t="s">
        <v>100</v>
      </c>
      <c r="E52" s="790" t="s">
        <v>51</v>
      </c>
      <c r="F52" s="791" t="s">
        <v>58</v>
      </c>
      <c r="G52" s="791" t="s">
        <v>53</v>
      </c>
      <c r="H52" s="791" t="s">
        <v>30</v>
      </c>
      <c r="I52" s="792" t="s">
        <v>1932</v>
      </c>
      <c r="J52" s="792" t="s">
        <v>58</v>
      </c>
      <c r="K52" s="793" t="s">
        <v>102</v>
      </c>
      <c r="L52" s="790">
        <v>2016</v>
      </c>
      <c r="M52" s="794">
        <v>822665.18352141499</v>
      </c>
      <c r="N52" s="795" t="s">
        <v>59</v>
      </c>
      <c r="O52" s="795" t="s">
        <v>59</v>
      </c>
      <c r="P52" s="796">
        <v>-933885.90742931678</v>
      </c>
      <c r="Q52" s="796">
        <v>-780082.90165939706</v>
      </c>
      <c r="R52" s="796">
        <v>67210.402317334898</v>
      </c>
      <c r="S52" s="796">
        <v>885322.77227546775</v>
      </c>
      <c r="T52" s="796">
        <v>885322.77227546775</v>
      </c>
      <c r="U52" s="796">
        <v>885322.77227546775</v>
      </c>
      <c r="V52" s="796">
        <v>2655968.3168264031</v>
      </c>
      <c r="W52" s="796">
        <v>1914214.9637194227</v>
      </c>
      <c r="X52" s="796">
        <v>836574.30775762093</v>
      </c>
      <c r="Y52" s="741">
        <v>885322.77227546775</v>
      </c>
      <c r="Z52" s="741">
        <v>885322.77227546775</v>
      </c>
      <c r="AA52" s="741">
        <v>885322.77227546775</v>
      </c>
      <c r="AB52" s="741">
        <v>2655968.3168264031</v>
      </c>
      <c r="AC52" s="741">
        <v>1914214.9637194227</v>
      </c>
      <c r="AD52" s="741">
        <v>463417.08028299303</v>
      </c>
      <c r="AE52" s="741" t="s">
        <v>59</v>
      </c>
      <c r="AF52" s="741" t="s">
        <v>59</v>
      </c>
      <c r="AG52" s="798" t="s">
        <v>1933</v>
      </c>
      <c r="AH52" s="798" t="s">
        <v>1934</v>
      </c>
      <c r="AI52" s="798"/>
    </row>
    <row r="53" spans="1:35" ht="18.75" customHeight="1">
      <c r="A53" s="790">
        <v>48</v>
      </c>
      <c r="B53" s="790" t="s">
        <v>39</v>
      </c>
      <c r="C53" s="790" t="s">
        <v>50</v>
      </c>
      <c r="D53" s="790" t="s">
        <v>100</v>
      </c>
      <c r="E53" s="790" t="s">
        <v>51</v>
      </c>
      <c r="F53" s="791" t="s">
        <v>60</v>
      </c>
      <c r="G53" s="791" t="s">
        <v>53</v>
      </c>
      <c r="H53" s="791" t="s">
        <v>30</v>
      </c>
      <c r="I53" s="792" t="s">
        <v>1932</v>
      </c>
      <c r="J53" s="792" t="s">
        <v>60</v>
      </c>
      <c r="K53" s="793" t="s">
        <v>102</v>
      </c>
      <c r="L53" s="790">
        <v>2016</v>
      </c>
      <c r="M53" s="794">
        <v>716993.593016561</v>
      </c>
      <c r="N53" s="795" t="s">
        <v>59</v>
      </c>
      <c r="O53" s="795" t="s">
        <v>59</v>
      </c>
      <c r="P53" s="796">
        <v>-835957.48843687319</v>
      </c>
      <c r="Q53" s="796">
        <v>-790274.81353473954</v>
      </c>
      <c r="R53" s="796">
        <v>38763.076341592903</v>
      </c>
      <c r="S53" s="796">
        <v>701654.88071326318</v>
      </c>
      <c r="T53" s="796">
        <v>701654.88071326318</v>
      </c>
      <c r="U53" s="796">
        <v>701654.88071326318</v>
      </c>
      <c r="V53" s="796">
        <v>2104964.6421397896</v>
      </c>
      <c r="W53" s="796">
        <v>1488258.5251713269</v>
      </c>
      <c r="X53" s="796">
        <v>845800.47900917358</v>
      </c>
      <c r="Y53" s="741">
        <v>701654.88071326318</v>
      </c>
      <c r="Z53" s="741">
        <v>701654.88071326318</v>
      </c>
      <c r="AA53" s="741">
        <v>701654.88071326318</v>
      </c>
      <c r="AB53" s="741">
        <v>2104964.6421397896</v>
      </c>
      <c r="AC53" s="741">
        <v>1488258.5251713269</v>
      </c>
      <c r="AD53" s="741">
        <v>477086.22954885225</v>
      </c>
      <c r="AE53" s="741" t="s">
        <v>59</v>
      </c>
      <c r="AF53" s="741" t="s">
        <v>59</v>
      </c>
      <c r="AG53" s="798" t="s">
        <v>1933</v>
      </c>
      <c r="AH53" s="798" t="s">
        <v>1934</v>
      </c>
      <c r="AI53" s="798"/>
    </row>
    <row r="54" spans="1:35" ht="18.75" customHeight="1">
      <c r="A54" s="790">
        <v>49</v>
      </c>
      <c r="B54" s="790" t="s">
        <v>39</v>
      </c>
      <c r="C54" s="790" t="s">
        <v>50</v>
      </c>
      <c r="D54" s="790" t="s">
        <v>100</v>
      </c>
      <c r="E54" s="790" t="s">
        <v>51</v>
      </c>
      <c r="F54" s="791" t="s">
        <v>61</v>
      </c>
      <c r="G54" s="791" t="s">
        <v>53</v>
      </c>
      <c r="H54" s="791" t="s">
        <v>30</v>
      </c>
      <c r="I54" s="792" t="s">
        <v>1932</v>
      </c>
      <c r="J54" s="792" t="s">
        <v>61</v>
      </c>
      <c r="K54" s="793" t="s">
        <v>102</v>
      </c>
      <c r="L54" s="790">
        <v>2016</v>
      </c>
      <c r="M54" s="794">
        <v>128250.001890332</v>
      </c>
      <c r="N54" s="795" t="s">
        <v>59</v>
      </c>
      <c r="O54" s="795" t="s">
        <v>59</v>
      </c>
      <c r="P54" s="796">
        <v>269132.43180932821</v>
      </c>
      <c r="Q54" s="796">
        <v>296697.17006932048</v>
      </c>
      <c r="R54" s="796">
        <v>1260.8270398638001</v>
      </c>
      <c r="S54" s="796">
        <v>141338.4441734117</v>
      </c>
      <c r="T54" s="796">
        <v>141338.4441734117</v>
      </c>
      <c r="U54" s="796">
        <v>141338.4441734117</v>
      </c>
      <c r="V54" s="796">
        <v>424015.3325202351</v>
      </c>
      <c r="W54" s="796">
        <v>295584.44084617589</v>
      </c>
      <c r="X54" s="796">
        <v>6442.0477026642202</v>
      </c>
      <c r="Y54" s="741">
        <v>141338.4441734117</v>
      </c>
      <c r="Z54" s="741">
        <v>141338.4441734117</v>
      </c>
      <c r="AA54" s="741">
        <v>141338.4441734117</v>
      </c>
      <c r="AB54" s="741">
        <v>424015.3325202351</v>
      </c>
      <c r="AC54" s="741">
        <v>295584.44084617589</v>
      </c>
      <c r="AD54" s="741">
        <v>5355.059890728</v>
      </c>
      <c r="AE54" s="741" t="s">
        <v>59</v>
      </c>
      <c r="AF54" s="741" t="s">
        <v>59</v>
      </c>
      <c r="AG54" s="798" t="s">
        <v>1935</v>
      </c>
      <c r="AH54" s="798" t="s">
        <v>1934</v>
      </c>
      <c r="AI54" s="798"/>
    </row>
    <row r="55" spans="1:35" ht="18.75" customHeight="1">
      <c r="A55" s="790">
        <v>50</v>
      </c>
      <c r="B55" s="790" t="s">
        <v>39</v>
      </c>
      <c r="C55" s="790" t="s">
        <v>50</v>
      </c>
      <c r="D55" s="790" t="s">
        <v>100</v>
      </c>
      <c r="E55" s="790" t="s">
        <v>51</v>
      </c>
      <c r="F55" s="791" t="s">
        <v>62</v>
      </c>
      <c r="G55" s="791" t="s">
        <v>53</v>
      </c>
      <c r="H55" s="791" t="s">
        <v>30</v>
      </c>
      <c r="I55" s="792" t="s">
        <v>1932</v>
      </c>
      <c r="J55" s="792" t="s">
        <v>62</v>
      </c>
      <c r="K55" s="793" t="s">
        <v>102</v>
      </c>
      <c r="L55" s="790">
        <v>2016</v>
      </c>
      <c r="M55" s="794">
        <v>97804.343194222107</v>
      </c>
      <c r="N55" s="795" t="s">
        <v>59</v>
      </c>
      <c r="O55" s="795" t="s">
        <v>59</v>
      </c>
      <c r="P55" s="796">
        <v>236796.75498653812</v>
      </c>
      <c r="Q55" s="796">
        <v>287151.68807807314</v>
      </c>
      <c r="R55" s="796">
        <v>825.33274796973899</v>
      </c>
      <c r="S55" s="796">
        <v>100926.04588659786</v>
      </c>
      <c r="T55" s="796">
        <v>100926.04588659786</v>
      </c>
      <c r="U55" s="796">
        <v>100926.04588659786</v>
      </c>
      <c r="V55" s="796">
        <v>302778.1376597936</v>
      </c>
      <c r="W55" s="796">
        <v>211568.34940794698</v>
      </c>
      <c r="X55" s="796">
        <v>6198.1419747915243</v>
      </c>
      <c r="Y55" s="741">
        <v>100926.04588659786</v>
      </c>
      <c r="Z55" s="741">
        <v>100926.04588659786</v>
      </c>
      <c r="AA55" s="741">
        <v>100926.04588659786</v>
      </c>
      <c r="AB55" s="741">
        <v>302778.1376597936</v>
      </c>
      <c r="AC55" s="741">
        <v>211568.34940794698</v>
      </c>
      <c r="AD55" s="741">
        <v>5069.2318999292884</v>
      </c>
      <c r="AE55" s="741" t="s">
        <v>59</v>
      </c>
      <c r="AF55" s="741" t="s">
        <v>59</v>
      </c>
      <c r="AG55" s="798" t="s">
        <v>2157</v>
      </c>
      <c r="AH55" s="798" t="s">
        <v>1934</v>
      </c>
      <c r="AI55" s="798"/>
    </row>
    <row r="56" spans="1:35" ht="18.75" customHeight="1">
      <c r="A56" s="790">
        <v>51</v>
      </c>
      <c r="B56" s="790" t="s">
        <v>39</v>
      </c>
      <c r="C56" s="790" t="s">
        <v>50</v>
      </c>
      <c r="D56" s="790" t="s">
        <v>100</v>
      </c>
      <c r="E56" s="790" t="s">
        <v>51</v>
      </c>
      <c r="F56" s="791" t="s">
        <v>63</v>
      </c>
      <c r="G56" s="791" t="s">
        <v>53</v>
      </c>
      <c r="H56" s="791" t="s">
        <v>30</v>
      </c>
      <c r="I56" s="792" t="s">
        <v>1932</v>
      </c>
      <c r="J56" s="792" t="s">
        <v>63</v>
      </c>
      <c r="K56" s="793" t="s">
        <v>102</v>
      </c>
      <c r="L56" s="790">
        <v>2016</v>
      </c>
      <c r="M56" s="794">
        <v>622467999.60087097</v>
      </c>
      <c r="N56" s="795" t="s">
        <v>59</v>
      </c>
      <c r="O56" s="795" t="s">
        <v>59</v>
      </c>
      <c r="P56" s="796">
        <v>2169183161.5208969</v>
      </c>
      <c r="Q56" s="796">
        <v>2170897257.3384709</v>
      </c>
      <c r="R56" s="796">
        <v>11133227.128706099</v>
      </c>
      <c r="S56" s="796">
        <v>669008045.25631535</v>
      </c>
      <c r="T56" s="796">
        <v>669008045.25631535</v>
      </c>
      <c r="U56" s="796">
        <v>669008045.25631535</v>
      </c>
      <c r="V56" s="796">
        <v>2007024135.7689462</v>
      </c>
      <c r="W56" s="796">
        <v>1382608547.7315123</v>
      </c>
      <c r="X56" s="796">
        <v>53946269.870446295</v>
      </c>
      <c r="Y56" s="741">
        <v>669008045.25631535</v>
      </c>
      <c r="Z56" s="741">
        <v>669008045.25631535</v>
      </c>
      <c r="AA56" s="741">
        <v>669008045.25631535</v>
      </c>
      <c r="AB56" s="741">
        <v>2007024135.7689462</v>
      </c>
      <c r="AC56" s="741">
        <v>1382608547.7315123</v>
      </c>
      <c r="AD56" s="741">
        <v>42489759.862561196</v>
      </c>
      <c r="AE56" s="741" t="s">
        <v>59</v>
      </c>
      <c r="AF56" s="741" t="s">
        <v>59</v>
      </c>
      <c r="AG56" s="798" t="s">
        <v>2157</v>
      </c>
      <c r="AH56" s="798" t="s">
        <v>1934</v>
      </c>
      <c r="AI56" s="798"/>
    </row>
    <row r="57" spans="1:35" ht="18.75" customHeight="1">
      <c r="A57" s="790">
        <v>52</v>
      </c>
      <c r="B57" s="790" t="s">
        <v>39</v>
      </c>
      <c r="C57" s="790" t="s">
        <v>50</v>
      </c>
      <c r="D57" s="790" t="s">
        <v>100</v>
      </c>
      <c r="E57" s="790" t="s">
        <v>51</v>
      </c>
      <c r="F57" s="791" t="s">
        <v>64</v>
      </c>
      <c r="G57" s="791" t="s">
        <v>53</v>
      </c>
      <c r="H57" s="791" t="s">
        <v>30</v>
      </c>
      <c r="I57" s="792" t="s">
        <v>1932</v>
      </c>
      <c r="J57" s="792" t="s">
        <v>64</v>
      </c>
      <c r="K57" s="793" t="s">
        <v>102</v>
      </c>
      <c r="L57" s="790">
        <v>2016</v>
      </c>
      <c r="M57" s="794">
        <v>424281432.92512399</v>
      </c>
      <c r="N57" s="795" t="s">
        <v>59</v>
      </c>
      <c r="O57" s="795" t="s">
        <v>59</v>
      </c>
      <c r="P57" s="796">
        <v>1934264941.6334074</v>
      </c>
      <c r="Q57" s="796">
        <v>2075911835.8221164</v>
      </c>
      <c r="R57" s="796">
        <v>6751199.06814628</v>
      </c>
      <c r="S57" s="796">
        <v>424986810.56923443</v>
      </c>
      <c r="T57" s="796">
        <v>424986810.56923443</v>
      </c>
      <c r="U57" s="796">
        <v>424986810.56923443</v>
      </c>
      <c r="V57" s="796">
        <v>1274960431.7077034</v>
      </c>
      <c r="W57" s="796">
        <v>878842638.51066768</v>
      </c>
      <c r="X57" s="796">
        <v>46277626.747786298</v>
      </c>
      <c r="Y57" s="741">
        <v>424986810.56923443</v>
      </c>
      <c r="Z57" s="741">
        <v>424986810.56923443</v>
      </c>
      <c r="AA57" s="741">
        <v>424986810.56923443</v>
      </c>
      <c r="AB57" s="741">
        <v>1274960431.7077034</v>
      </c>
      <c r="AC57" s="741">
        <v>878842638.51066768</v>
      </c>
      <c r="AD57" s="741">
        <v>37816835.045759149</v>
      </c>
      <c r="AE57" s="741" t="s">
        <v>59</v>
      </c>
      <c r="AF57" s="741" t="s">
        <v>59</v>
      </c>
      <c r="AG57" s="798" t="s">
        <v>2157</v>
      </c>
      <c r="AH57" s="798" t="s">
        <v>1934</v>
      </c>
      <c r="AI57" s="798"/>
    </row>
    <row r="58" spans="1:35" ht="18.75" customHeight="1">
      <c r="A58" s="790">
        <v>53</v>
      </c>
      <c r="B58" s="790" t="s">
        <v>39</v>
      </c>
      <c r="C58" s="790" t="s">
        <v>50</v>
      </c>
      <c r="D58" s="790" t="s">
        <v>100</v>
      </c>
      <c r="E58" s="790" t="s">
        <v>51</v>
      </c>
      <c r="F58" s="791" t="s">
        <v>65</v>
      </c>
      <c r="G58" s="791" t="s">
        <v>53</v>
      </c>
      <c r="H58" s="791" t="s">
        <v>30</v>
      </c>
      <c r="I58" s="792" t="s">
        <v>1932</v>
      </c>
      <c r="J58" s="792" t="s">
        <v>65</v>
      </c>
      <c r="K58" s="793" t="s">
        <v>102</v>
      </c>
      <c r="L58" s="790">
        <v>2016</v>
      </c>
      <c r="M58" s="794">
        <v>1238409.8967502301</v>
      </c>
      <c r="N58" s="795" t="s">
        <v>59</v>
      </c>
      <c r="O58" s="795" t="s">
        <v>59</v>
      </c>
      <c r="P58" s="796">
        <v>-28473475.208798978</v>
      </c>
      <c r="Q58" s="796">
        <v>-29464988.738078784</v>
      </c>
      <c r="R58" s="796">
        <v>806223.21620807797</v>
      </c>
      <c r="S58" s="796">
        <v>1784810.1444445392</v>
      </c>
      <c r="T58" s="796">
        <v>1784810.1444445392</v>
      </c>
      <c r="U58" s="796">
        <v>1784810.1444445392</v>
      </c>
      <c r="V58" s="796">
        <v>5354430.4333336176</v>
      </c>
      <c r="W58" s="796">
        <v>3859056.1463959673</v>
      </c>
      <c r="X58" s="796">
        <v>1486699.8226902529</v>
      </c>
      <c r="Y58" s="741">
        <v>1784810.1444445392</v>
      </c>
      <c r="Z58" s="741">
        <v>1784810.1444445392</v>
      </c>
      <c r="AA58" s="741">
        <v>1784810.1444445392</v>
      </c>
      <c r="AB58" s="741">
        <v>5354430.4333336176</v>
      </c>
      <c r="AC58" s="741">
        <v>3859056.1463959673</v>
      </c>
      <c r="AD58" s="741">
        <v>674566.08028299303</v>
      </c>
      <c r="AE58" s="741" t="s">
        <v>59</v>
      </c>
      <c r="AF58" s="741" t="s">
        <v>59</v>
      </c>
      <c r="AG58" s="798" t="s">
        <v>2157</v>
      </c>
      <c r="AH58" s="798" t="s">
        <v>1934</v>
      </c>
      <c r="AI58" s="798"/>
    </row>
    <row r="59" spans="1:35" ht="18.75" customHeight="1">
      <c r="A59" s="790">
        <v>54</v>
      </c>
      <c r="B59" s="790" t="s">
        <v>39</v>
      </c>
      <c r="C59" s="790" t="s">
        <v>50</v>
      </c>
      <c r="D59" s="790" t="s">
        <v>100</v>
      </c>
      <c r="E59" s="790" t="s">
        <v>51</v>
      </c>
      <c r="F59" s="791" t="s">
        <v>66</v>
      </c>
      <c r="G59" s="791" t="s">
        <v>53</v>
      </c>
      <c r="H59" s="791" t="s">
        <v>30</v>
      </c>
      <c r="I59" s="792" t="s">
        <v>1932</v>
      </c>
      <c r="J59" s="792" t="s">
        <v>66</v>
      </c>
      <c r="K59" s="793" t="s">
        <v>102</v>
      </c>
      <c r="L59" s="790">
        <v>2016</v>
      </c>
      <c r="M59" s="794">
        <v>451045.580858309</v>
      </c>
      <c r="N59" s="795" t="s">
        <v>59</v>
      </c>
      <c r="O59" s="795" t="s">
        <v>59</v>
      </c>
      <c r="P59" s="796">
        <v>-26334895.867990877</v>
      </c>
      <c r="Q59" s="796">
        <v>-29056739.574923828</v>
      </c>
      <c r="R59" s="796">
        <v>462418.04391632299</v>
      </c>
      <c r="S59" s="796">
        <v>679849.33936842519</v>
      </c>
      <c r="T59" s="796">
        <v>679849.33936842519</v>
      </c>
      <c r="U59" s="796">
        <v>679849.33936842519</v>
      </c>
      <c r="V59" s="796">
        <v>2039548.0181052755</v>
      </c>
      <c r="W59" s="796">
        <v>1442007.4640094039</v>
      </c>
      <c r="X59" s="796">
        <v>1235875.7957188531</v>
      </c>
      <c r="Y59" s="741">
        <v>679849.33936842519</v>
      </c>
      <c r="Z59" s="741">
        <v>679849.33936842519</v>
      </c>
      <c r="AA59" s="741">
        <v>679849.33936842519</v>
      </c>
      <c r="AB59" s="741">
        <v>2039548.0181052755</v>
      </c>
      <c r="AC59" s="741">
        <v>1442007.4640094039</v>
      </c>
      <c r="AD59" s="741">
        <v>603775.63206594472</v>
      </c>
      <c r="AE59" s="741" t="s">
        <v>59</v>
      </c>
      <c r="AF59" s="741" t="s">
        <v>59</v>
      </c>
      <c r="AG59" s="798" t="s">
        <v>2157</v>
      </c>
      <c r="AH59" s="798" t="s">
        <v>1934</v>
      </c>
      <c r="AI59" s="798"/>
    </row>
    <row r="60" spans="1:35" ht="18.75" customHeight="1">
      <c r="A60" s="790">
        <v>55</v>
      </c>
      <c r="B60" s="790" t="s">
        <v>39</v>
      </c>
      <c r="C60" s="790" t="s">
        <v>40</v>
      </c>
      <c r="D60" s="790" t="s">
        <v>103</v>
      </c>
      <c r="E60" s="790" t="s">
        <v>42</v>
      </c>
      <c r="F60" s="791" t="s">
        <v>43</v>
      </c>
      <c r="G60" s="791" t="s">
        <v>44</v>
      </c>
      <c r="H60" s="791" t="s">
        <v>30</v>
      </c>
      <c r="I60" s="792" t="s">
        <v>1899</v>
      </c>
      <c r="J60" s="792" t="s">
        <v>46</v>
      </c>
      <c r="K60" s="793" t="s">
        <v>102</v>
      </c>
      <c r="L60" s="790">
        <v>2016</v>
      </c>
      <c r="M60" s="794">
        <v>42453.529695588535</v>
      </c>
      <c r="N60" s="795" t="s">
        <v>59</v>
      </c>
      <c r="O60" s="795" t="s">
        <v>59</v>
      </c>
      <c r="P60" s="796">
        <v>107458.39836377802</v>
      </c>
      <c r="Q60" s="796">
        <v>114401.61230873302</v>
      </c>
      <c r="R60" s="796">
        <v>646.64169377370911</v>
      </c>
      <c r="S60" s="796">
        <v>25311.150040951987</v>
      </c>
      <c r="T60" s="796">
        <v>25311.150040951987</v>
      </c>
      <c r="U60" s="796">
        <v>25311.150040951987</v>
      </c>
      <c r="V60" s="796">
        <v>75933.450122855953</v>
      </c>
      <c r="W60" s="796">
        <v>52309.404419983221</v>
      </c>
      <c r="X60" s="796">
        <v>28427.490403928648</v>
      </c>
      <c r="Y60" s="741">
        <v>25311.150040951987</v>
      </c>
      <c r="Z60" s="741">
        <v>25311.150040951987</v>
      </c>
      <c r="AA60" s="741">
        <v>25311.150040951987</v>
      </c>
      <c r="AB60" s="741">
        <v>75933.450122855953</v>
      </c>
      <c r="AC60" s="741">
        <v>52309.404419983221</v>
      </c>
      <c r="AD60" s="741">
        <v>6460.5659519101091</v>
      </c>
      <c r="AE60" s="741" t="s">
        <v>59</v>
      </c>
      <c r="AF60" s="741" t="s">
        <v>59</v>
      </c>
      <c r="AG60" s="798" t="s">
        <v>1936</v>
      </c>
      <c r="AH60" s="798" t="s">
        <v>1937</v>
      </c>
      <c r="AI60" s="798"/>
    </row>
    <row r="61" spans="1:35" ht="18.75" customHeight="1">
      <c r="A61" s="790">
        <v>56</v>
      </c>
      <c r="B61" s="790" t="s">
        <v>39</v>
      </c>
      <c r="C61" s="790" t="s">
        <v>40</v>
      </c>
      <c r="D61" s="790" t="s">
        <v>106</v>
      </c>
      <c r="E61" s="790" t="s">
        <v>107</v>
      </c>
      <c r="F61" s="791" t="s">
        <v>108</v>
      </c>
      <c r="G61" s="791" t="s">
        <v>1938</v>
      </c>
      <c r="H61" s="791" t="s">
        <v>30</v>
      </c>
      <c r="I61" s="792" t="s">
        <v>1939</v>
      </c>
      <c r="J61" s="792" t="s">
        <v>111</v>
      </c>
      <c r="K61" s="793" t="s">
        <v>102</v>
      </c>
      <c r="L61" s="801">
        <v>2016</v>
      </c>
      <c r="M61" s="800">
        <v>3.7510014566642389</v>
      </c>
      <c r="N61" s="795">
        <v>82402</v>
      </c>
      <c r="O61" s="795">
        <v>21968</v>
      </c>
      <c r="P61" s="800">
        <v>7.3340558175075525</v>
      </c>
      <c r="Q61" s="800">
        <v>13.499810030395137</v>
      </c>
      <c r="R61" s="800">
        <v>0.70816317545376795</v>
      </c>
      <c r="S61" s="800">
        <v>0.4587736522038085</v>
      </c>
      <c r="T61" s="800">
        <v>0.4587736522038085</v>
      </c>
      <c r="U61" s="800">
        <v>0.4587736522038085</v>
      </c>
      <c r="V61" s="800">
        <v>1.3763209566114254</v>
      </c>
      <c r="W61" s="800">
        <v>0.94812667427335662</v>
      </c>
      <c r="X61" s="800">
        <v>0.96906534940455347</v>
      </c>
      <c r="Y61" s="741">
        <v>0.4587736522038085</v>
      </c>
      <c r="Z61" s="741">
        <v>0.4587736522038085</v>
      </c>
      <c r="AA61" s="741">
        <v>0.4587736522038085</v>
      </c>
      <c r="AB61" s="741">
        <v>1.3763209566114254</v>
      </c>
      <c r="AC61" s="741">
        <v>0.94812667427335662</v>
      </c>
      <c r="AD61" s="741">
        <v>7.2833791665650693</v>
      </c>
      <c r="AE61" s="741">
        <v>5069.2318999292884</v>
      </c>
      <c r="AF61" s="741">
        <v>696</v>
      </c>
      <c r="AG61" s="798" t="s">
        <v>1940</v>
      </c>
      <c r="AH61" s="798" t="s">
        <v>117</v>
      </c>
      <c r="AI61" s="798"/>
    </row>
    <row r="62" spans="1:35" ht="18.75" customHeight="1">
      <c r="A62" s="790">
        <v>57</v>
      </c>
      <c r="B62" s="790" t="s">
        <v>39</v>
      </c>
      <c r="C62" s="790" t="s">
        <v>40</v>
      </c>
      <c r="D62" s="790" t="s">
        <v>106</v>
      </c>
      <c r="E62" s="790" t="s">
        <v>107</v>
      </c>
      <c r="F62" s="791" t="s">
        <v>112</v>
      </c>
      <c r="G62" s="791" t="s">
        <v>1938</v>
      </c>
      <c r="H62" s="791" t="s">
        <v>30</v>
      </c>
      <c r="I62" s="792" t="s">
        <v>1939</v>
      </c>
      <c r="J62" s="792" t="s">
        <v>113</v>
      </c>
      <c r="K62" s="793" t="s">
        <v>102</v>
      </c>
      <c r="L62" s="801">
        <v>2016</v>
      </c>
      <c r="M62" s="796">
        <v>17791.417197742172</v>
      </c>
      <c r="N62" s="795">
        <v>390841853</v>
      </c>
      <c r="O62" s="795">
        <v>21968</v>
      </c>
      <c r="P62" s="796">
        <v>61441.877780799441</v>
      </c>
      <c r="Q62" s="796">
        <v>98316.27268759931</v>
      </c>
      <c r="R62" s="796">
        <v>3845.101555649735</v>
      </c>
      <c r="S62" s="796">
        <v>3288.086214407957</v>
      </c>
      <c r="T62" s="796">
        <v>3288.086214407957</v>
      </c>
      <c r="U62" s="796">
        <v>3288.086214407957</v>
      </c>
      <c r="V62" s="796">
        <v>9864.2586432238713</v>
      </c>
      <c r="W62" s="796">
        <v>6795.3384685782694</v>
      </c>
      <c r="X62" s="796">
        <v>7235.4013051573329</v>
      </c>
      <c r="Y62" s="741">
        <v>3288.086214407957</v>
      </c>
      <c r="Z62" s="741">
        <v>3288.086214407957</v>
      </c>
      <c r="AA62" s="741">
        <v>3288.086214407957</v>
      </c>
      <c r="AB62" s="741">
        <v>9864.2586432238713</v>
      </c>
      <c r="AC62" s="741">
        <v>6795.3384685782694</v>
      </c>
      <c r="AD62" s="741">
        <v>54334.533111722914</v>
      </c>
      <c r="AE62" s="741">
        <v>37816835.045759149</v>
      </c>
      <c r="AF62" s="741">
        <v>696</v>
      </c>
      <c r="AG62" s="798" t="s">
        <v>1940</v>
      </c>
      <c r="AH62" s="798" t="s">
        <v>117</v>
      </c>
      <c r="AI62" s="798"/>
    </row>
    <row r="63" spans="1:35" ht="18.75" customHeight="1">
      <c r="A63" s="790">
        <v>58</v>
      </c>
      <c r="B63" s="790" t="s">
        <v>39</v>
      </c>
      <c r="C63" s="790" t="s">
        <v>40</v>
      </c>
      <c r="D63" s="790" t="s">
        <v>106</v>
      </c>
      <c r="E63" s="790" t="s">
        <v>107</v>
      </c>
      <c r="F63" s="791" t="s">
        <v>114</v>
      </c>
      <c r="G63" s="791" t="s">
        <v>1938</v>
      </c>
      <c r="H63" s="791" t="s">
        <v>30</v>
      </c>
      <c r="I63" s="792" t="s">
        <v>1939</v>
      </c>
      <c r="J63" s="792" t="s">
        <v>115</v>
      </c>
      <c r="K63" s="793" t="s">
        <v>102</v>
      </c>
      <c r="L63" s="801">
        <v>2016</v>
      </c>
      <c r="M63" s="796">
        <v>3.8351758779093545</v>
      </c>
      <c r="N63" s="795">
        <v>84251.143685912699</v>
      </c>
      <c r="O63" s="795">
        <v>21968</v>
      </c>
      <c r="P63" s="796">
        <v>-854.08657015297149</v>
      </c>
      <c r="Q63" s="796">
        <v>-1395.6140195788223</v>
      </c>
      <c r="R63" s="796">
        <v>132.09404088456441</v>
      </c>
      <c r="S63" s="796">
        <v>-5.4602621085363587</v>
      </c>
      <c r="T63" s="796">
        <v>-5.4602621085363587</v>
      </c>
      <c r="U63" s="796">
        <v>-5.4602621085363587</v>
      </c>
      <c r="V63" s="796">
        <v>-16.380786325609076</v>
      </c>
      <c r="W63" s="796">
        <v>-11.284475751296048</v>
      </c>
      <c r="X63" s="796">
        <v>193.22635955579318</v>
      </c>
      <c r="Y63" s="741">
        <v>-5.4602621085363587</v>
      </c>
      <c r="Z63" s="741">
        <v>-5.4602621085363587</v>
      </c>
      <c r="AA63" s="741">
        <v>-5.4602621085363587</v>
      </c>
      <c r="AB63" s="741">
        <v>-16.380786325609076</v>
      </c>
      <c r="AC63" s="741">
        <v>-11.284475751296048</v>
      </c>
      <c r="AD63" s="741">
        <v>867.49372423267903</v>
      </c>
      <c r="AE63" s="741">
        <v>603775.63206594461</v>
      </c>
      <c r="AF63" s="741">
        <v>696</v>
      </c>
      <c r="AG63" s="798" t="s">
        <v>1940</v>
      </c>
      <c r="AH63" s="798" t="s">
        <v>117</v>
      </c>
      <c r="AI63" s="798"/>
    </row>
    <row r="64" spans="1:35" ht="18.75" customHeight="1">
      <c r="A64" s="790">
        <v>59</v>
      </c>
      <c r="B64" s="790" t="s">
        <v>39</v>
      </c>
      <c r="C64" s="790" t="s">
        <v>40</v>
      </c>
      <c r="D64" s="790" t="s">
        <v>106</v>
      </c>
      <c r="E64" s="790" t="s">
        <v>118</v>
      </c>
      <c r="F64" s="791" t="s">
        <v>108</v>
      </c>
      <c r="G64" s="791" t="s">
        <v>1941</v>
      </c>
      <c r="H64" s="791" t="s">
        <v>30</v>
      </c>
      <c r="I64" s="792" t="s">
        <v>1939</v>
      </c>
      <c r="J64" s="792" t="s">
        <v>121</v>
      </c>
      <c r="K64" s="793" t="s">
        <v>102</v>
      </c>
      <c r="L64" s="801">
        <v>2016</v>
      </c>
      <c r="M64" s="800">
        <v>3.2393629493648981</v>
      </c>
      <c r="N64" s="795">
        <v>43967.87331172976</v>
      </c>
      <c r="O64" s="795">
        <v>13573</v>
      </c>
      <c r="P64" s="800">
        <v>0</v>
      </c>
      <c r="Q64" s="800">
        <v>16.91622014213597</v>
      </c>
      <c r="R64" s="800">
        <v>1.8624585434977029E-2</v>
      </c>
      <c r="S64" s="796" t="s">
        <v>743</v>
      </c>
      <c r="T64" s="796" t="s">
        <v>743</v>
      </c>
      <c r="U64" s="796" t="s">
        <v>743</v>
      </c>
      <c r="V64" s="796" t="s">
        <v>743</v>
      </c>
      <c r="W64" s="796" t="s">
        <v>743</v>
      </c>
      <c r="X64" s="800">
        <v>0.11933547106168485</v>
      </c>
      <c r="Y64" s="741" t="s">
        <v>743</v>
      </c>
      <c r="Z64" s="741" t="s">
        <v>743</v>
      </c>
      <c r="AA64" s="741" t="s">
        <v>743</v>
      </c>
      <c r="AB64" s="741"/>
      <c r="AC64" s="741"/>
      <c r="AD64" s="741">
        <v>1.0620259203811342</v>
      </c>
      <c r="AE64" s="741">
        <v>738.10801466488829</v>
      </c>
      <c r="AF64" s="741">
        <v>695</v>
      </c>
      <c r="AG64" s="798" t="s">
        <v>1942</v>
      </c>
      <c r="AH64" s="798" t="s">
        <v>1943</v>
      </c>
      <c r="AI64" s="798"/>
    </row>
    <row r="65" spans="1:35" ht="18.75" customHeight="1">
      <c r="A65" s="790">
        <v>60</v>
      </c>
      <c r="B65" s="790" t="s">
        <v>39</v>
      </c>
      <c r="C65" s="790" t="s">
        <v>40</v>
      </c>
      <c r="D65" s="790" t="s">
        <v>106</v>
      </c>
      <c r="E65" s="790" t="s">
        <v>118</v>
      </c>
      <c r="F65" s="791" t="s">
        <v>112</v>
      </c>
      <c r="G65" s="791" t="s">
        <v>1941</v>
      </c>
      <c r="H65" s="791" t="s">
        <v>30</v>
      </c>
      <c r="I65" s="792" t="s">
        <v>1939</v>
      </c>
      <c r="J65" s="792" t="s">
        <v>122</v>
      </c>
      <c r="K65" s="793" t="s">
        <v>102</v>
      </c>
      <c r="L65" s="801">
        <v>2016</v>
      </c>
      <c r="M65" s="796">
        <v>26408.666304034865</v>
      </c>
      <c r="N65" s="795">
        <v>358444827.74466521</v>
      </c>
      <c r="O65" s="795">
        <v>13573</v>
      </c>
      <c r="P65" s="796">
        <v>65949.398012764752</v>
      </c>
      <c r="Q65" s="796">
        <v>150255.9347505201</v>
      </c>
      <c r="R65" s="796">
        <v>824.67508692301249</v>
      </c>
      <c r="S65" s="796" t="s">
        <v>743</v>
      </c>
      <c r="T65" s="796" t="s">
        <v>743</v>
      </c>
      <c r="U65" s="796" t="s">
        <v>743</v>
      </c>
      <c r="V65" s="796" t="s">
        <v>743</v>
      </c>
      <c r="W65" s="796" t="s">
        <v>743</v>
      </c>
      <c r="X65" s="796">
        <v>2185.5275346277672</v>
      </c>
      <c r="Y65" s="741" t="s">
        <v>743</v>
      </c>
      <c r="Z65" s="741" t="s">
        <v>743</v>
      </c>
      <c r="AA65" s="741" t="s">
        <v>743</v>
      </c>
      <c r="AB65" s="741"/>
      <c r="AC65" s="741"/>
      <c r="AD65" s="741">
        <v>13040.600719525108</v>
      </c>
      <c r="AE65" s="741">
        <v>9063217.5000699498</v>
      </c>
      <c r="AF65" s="741">
        <v>695</v>
      </c>
      <c r="AG65" s="798" t="s">
        <v>1942</v>
      </c>
      <c r="AH65" s="798" t="s">
        <v>1943</v>
      </c>
      <c r="AI65" s="798"/>
    </row>
    <row r="66" spans="1:35" ht="18.75" customHeight="1">
      <c r="A66" s="790">
        <v>61</v>
      </c>
      <c r="B66" s="790" t="s">
        <v>39</v>
      </c>
      <c r="C66" s="790" t="s">
        <v>40</v>
      </c>
      <c r="D66" s="790" t="s">
        <v>106</v>
      </c>
      <c r="E66" s="790" t="s">
        <v>118</v>
      </c>
      <c r="F66" s="791" t="s">
        <v>114</v>
      </c>
      <c r="G66" s="791" t="s">
        <v>1941</v>
      </c>
      <c r="H66" s="791" t="s">
        <v>30</v>
      </c>
      <c r="I66" s="792" t="s">
        <v>1939</v>
      </c>
      <c r="J66" s="792" t="s">
        <v>123</v>
      </c>
      <c r="K66" s="793" t="s">
        <v>102</v>
      </c>
      <c r="L66" s="801">
        <v>2016</v>
      </c>
      <c r="M66" s="796">
        <v>-75.019524055109414</v>
      </c>
      <c r="N66" s="795">
        <v>-1018240</v>
      </c>
      <c r="O66" s="795">
        <v>13573</v>
      </c>
      <c r="P66" s="796">
        <v>-968.65441579763183</v>
      </c>
      <c r="Q66" s="796">
        <v>-2253.965942153563</v>
      </c>
      <c r="R66" s="796">
        <v>52.180663016717212</v>
      </c>
      <c r="S66" s="796" t="s">
        <v>743</v>
      </c>
      <c r="T66" s="796" t="s">
        <v>743</v>
      </c>
      <c r="U66" s="796" t="s">
        <v>743</v>
      </c>
      <c r="V66" s="796" t="s">
        <v>743</v>
      </c>
      <c r="W66" s="796" t="s">
        <v>743</v>
      </c>
      <c r="X66" s="796">
        <v>68.555562551130933</v>
      </c>
      <c r="Y66" s="741" t="s">
        <v>743</v>
      </c>
      <c r="Z66" s="741" t="s">
        <v>743</v>
      </c>
      <c r="AA66" s="741" t="s">
        <v>743</v>
      </c>
      <c r="AB66" s="741"/>
      <c r="AC66" s="741"/>
      <c r="AD66" s="741">
        <v>200.51560110618948</v>
      </c>
      <c r="AE66" s="741">
        <v>139358.3427688017</v>
      </c>
      <c r="AF66" s="741">
        <v>695</v>
      </c>
      <c r="AG66" s="798" t="s">
        <v>1942</v>
      </c>
      <c r="AH66" s="798" t="s">
        <v>1943</v>
      </c>
      <c r="AI66" s="798"/>
    </row>
    <row r="67" spans="1:35" ht="18.75" customHeight="1">
      <c r="A67" s="790">
        <v>62</v>
      </c>
      <c r="B67" s="790" t="s">
        <v>39</v>
      </c>
      <c r="C67" s="790" t="s">
        <v>40</v>
      </c>
      <c r="D67" s="790" t="s">
        <v>106</v>
      </c>
      <c r="E67" s="790" t="s">
        <v>125</v>
      </c>
      <c r="F67" s="791" t="s">
        <v>108</v>
      </c>
      <c r="G67" s="791" t="s">
        <v>1944</v>
      </c>
      <c r="H67" s="791" t="s">
        <v>30</v>
      </c>
      <c r="I67" s="792" t="s">
        <v>1939</v>
      </c>
      <c r="J67" s="792" t="s">
        <v>128</v>
      </c>
      <c r="K67" s="793" t="s">
        <v>102</v>
      </c>
      <c r="L67" s="801">
        <v>2016</v>
      </c>
      <c r="M67" s="796">
        <v>0</v>
      </c>
      <c r="N67" s="795" t="s">
        <v>59</v>
      </c>
      <c r="O67" s="795" t="s">
        <v>59</v>
      </c>
      <c r="P67" s="796" t="s">
        <v>1945</v>
      </c>
      <c r="Q67" s="796" t="s">
        <v>1945</v>
      </c>
      <c r="R67" s="796" t="s">
        <v>1945</v>
      </c>
      <c r="S67" s="796">
        <v>1.47</v>
      </c>
      <c r="T67" s="796">
        <v>1.47</v>
      </c>
      <c r="U67" s="796">
        <v>1.47</v>
      </c>
      <c r="V67" s="796">
        <v>4.41</v>
      </c>
      <c r="W67" s="796">
        <v>2.96</v>
      </c>
      <c r="X67" s="796">
        <v>0</v>
      </c>
      <c r="Y67" s="741">
        <v>1.47</v>
      </c>
      <c r="Z67" s="741">
        <v>1.47</v>
      </c>
      <c r="AA67" s="741">
        <v>1.47</v>
      </c>
      <c r="AB67" s="741">
        <v>4.41</v>
      </c>
      <c r="AC67" s="741">
        <v>2.96</v>
      </c>
      <c r="AD67" s="741">
        <v>0</v>
      </c>
      <c r="AE67" s="741" t="s">
        <v>59</v>
      </c>
      <c r="AF67" s="741" t="s">
        <v>59</v>
      </c>
      <c r="AG67" s="798" t="s">
        <v>1946</v>
      </c>
      <c r="AH67" s="798" t="s">
        <v>1947</v>
      </c>
      <c r="AI67" s="798"/>
    </row>
    <row r="68" spans="1:35" ht="18.75" customHeight="1">
      <c r="A68" s="790">
        <v>63</v>
      </c>
      <c r="B68" s="790" t="s">
        <v>39</v>
      </c>
      <c r="C68" s="790" t="s">
        <v>40</v>
      </c>
      <c r="D68" s="790" t="s">
        <v>106</v>
      </c>
      <c r="E68" s="790" t="s">
        <v>125</v>
      </c>
      <c r="F68" s="791" t="s">
        <v>112</v>
      </c>
      <c r="G68" s="791" t="s">
        <v>1944</v>
      </c>
      <c r="H68" s="791" t="s">
        <v>30</v>
      </c>
      <c r="I68" s="792" t="s">
        <v>1939</v>
      </c>
      <c r="J68" s="792" t="s">
        <v>129</v>
      </c>
      <c r="K68" s="793" t="s">
        <v>102</v>
      </c>
      <c r="L68" s="801">
        <v>2016</v>
      </c>
      <c r="M68" s="796">
        <v>0</v>
      </c>
      <c r="N68" s="795" t="s">
        <v>59</v>
      </c>
      <c r="O68" s="795" t="s">
        <v>59</v>
      </c>
      <c r="P68" s="796">
        <v>0</v>
      </c>
      <c r="Q68" s="796">
        <v>0</v>
      </c>
      <c r="R68" s="796">
        <v>0</v>
      </c>
      <c r="S68" s="796">
        <v>70.650000000000006</v>
      </c>
      <c r="T68" s="796">
        <v>70.650000000000006</v>
      </c>
      <c r="U68" s="796">
        <v>70.650000000000006</v>
      </c>
      <c r="V68" s="796">
        <v>211.95000000000002</v>
      </c>
      <c r="W68" s="796">
        <v>153.78</v>
      </c>
      <c r="X68" s="796">
        <v>0</v>
      </c>
      <c r="Y68" s="741">
        <v>70.650000000000006</v>
      </c>
      <c r="Z68" s="741">
        <v>70.650000000000006</v>
      </c>
      <c r="AA68" s="741">
        <v>70.650000000000006</v>
      </c>
      <c r="AB68" s="741">
        <v>211.95000000000002</v>
      </c>
      <c r="AC68" s="741">
        <v>153.78</v>
      </c>
      <c r="AD68" s="741">
        <v>0</v>
      </c>
      <c r="AE68" s="741" t="s">
        <v>59</v>
      </c>
      <c r="AF68" s="741" t="s">
        <v>59</v>
      </c>
      <c r="AG68" s="798" t="s">
        <v>1946</v>
      </c>
      <c r="AH68" s="798" t="s">
        <v>1947</v>
      </c>
      <c r="AI68" s="798"/>
    </row>
    <row r="69" spans="1:35" ht="18.75" customHeight="1">
      <c r="A69" s="790">
        <v>64</v>
      </c>
      <c r="B69" s="790" t="s">
        <v>39</v>
      </c>
      <c r="C69" s="790" t="s">
        <v>40</v>
      </c>
      <c r="D69" s="790" t="s">
        <v>106</v>
      </c>
      <c r="E69" s="790" t="s">
        <v>125</v>
      </c>
      <c r="F69" s="791" t="s">
        <v>114</v>
      </c>
      <c r="G69" s="791" t="s">
        <v>1944</v>
      </c>
      <c r="H69" s="791" t="s">
        <v>30</v>
      </c>
      <c r="I69" s="792" t="s">
        <v>1939</v>
      </c>
      <c r="J69" s="792" t="s">
        <v>130</v>
      </c>
      <c r="K69" s="793" t="s">
        <v>102</v>
      </c>
      <c r="L69" s="790">
        <v>2016</v>
      </c>
      <c r="M69" s="794">
        <v>0</v>
      </c>
      <c r="N69" s="795" t="s">
        <v>59</v>
      </c>
      <c r="O69" s="795" t="s">
        <v>59</v>
      </c>
      <c r="P69" s="796">
        <v>0</v>
      </c>
      <c r="Q69" s="796">
        <v>0</v>
      </c>
      <c r="R69" s="796">
        <v>0</v>
      </c>
      <c r="S69" s="796">
        <v>2.06</v>
      </c>
      <c r="T69" s="796">
        <v>2.06</v>
      </c>
      <c r="U69" s="796">
        <v>2.06</v>
      </c>
      <c r="V69" s="796">
        <v>6.18</v>
      </c>
      <c r="W69" s="796">
        <v>4.32</v>
      </c>
      <c r="X69" s="796">
        <v>0</v>
      </c>
      <c r="Y69" s="741">
        <v>2.06</v>
      </c>
      <c r="Z69" s="741">
        <v>2.06</v>
      </c>
      <c r="AA69" s="741">
        <v>2.06</v>
      </c>
      <c r="AB69" s="741">
        <v>6.18</v>
      </c>
      <c r="AC69" s="741">
        <v>4.32</v>
      </c>
      <c r="AD69" s="741">
        <v>0</v>
      </c>
      <c r="AE69" s="741" t="s">
        <v>59</v>
      </c>
      <c r="AF69" s="741" t="s">
        <v>59</v>
      </c>
      <c r="AG69" s="798" t="s">
        <v>1946</v>
      </c>
      <c r="AH69" s="798" t="s">
        <v>1947</v>
      </c>
      <c r="AI69" s="798"/>
    </row>
    <row r="70" spans="1:35" ht="18.75" customHeight="1">
      <c r="A70" s="790">
        <v>65</v>
      </c>
      <c r="B70" s="790" t="s">
        <v>39</v>
      </c>
      <c r="C70" s="790" t="s">
        <v>40</v>
      </c>
      <c r="D70" s="790" t="s">
        <v>106</v>
      </c>
      <c r="E70" s="790" t="s">
        <v>133</v>
      </c>
      <c r="F70" s="791" t="s">
        <v>108</v>
      </c>
      <c r="G70" s="791" t="s">
        <v>1948</v>
      </c>
      <c r="H70" s="791" t="s">
        <v>30</v>
      </c>
      <c r="I70" s="792" t="s">
        <v>1939</v>
      </c>
      <c r="J70" s="792" t="s">
        <v>136</v>
      </c>
      <c r="K70" s="793" t="s">
        <v>102</v>
      </c>
      <c r="L70" s="790">
        <v>2016</v>
      </c>
      <c r="M70" s="799">
        <v>3.5477427511241526</v>
      </c>
      <c r="N70" s="795">
        <v>47983.220708954163</v>
      </c>
      <c r="O70" s="795">
        <v>13525</v>
      </c>
      <c r="P70" s="800">
        <v>7.5891127354438295</v>
      </c>
      <c r="Q70" s="800">
        <v>3.5473660611335993</v>
      </c>
      <c r="R70" s="800">
        <v>8.1899694272682635E-2</v>
      </c>
      <c r="S70" s="796" t="s">
        <v>743</v>
      </c>
      <c r="T70" s="796" t="s">
        <v>743</v>
      </c>
      <c r="U70" s="796" t="s">
        <v>743</v>
      </c>
      <c r="V70" s="796" t="s">
        <v>743</v>
      </c>
      <c r="W70" s="796" t="s">
        <v>743</v>
      </c>
      <c r="X70" s="800">
        <v>0.11933547106168485</v>
      </c>
      <c r="Y70" s="741" t="s">
        <v>743</v>
      </c>
      <c r="Z70" s="741" t="s">
        <v>743</v>
      </c>
      <c r="AA70" s="741" t="s">
        <v>743</v>
      </c>
      <c r="AB70" s="741"/>
      <c r="AC70" s="741"/>
      <c r="AD70" s="741">
        <v>1.0620259203811342</v>
      </c>
      <c r="AE70" s="741">
        <v>738.10801466488829</v>
      </c>
      <c r="AF70" s="741">
        <v>695</v>
      </c>
      <c r="AG70" s="798" t="s">
        <v>1949</v>
      </c>
      <c r="AH70" s="798" t="s">
        <v>1950</v>
      </c>
      <c r="AI70" s="798"/>
    </row>
    <row r="71" spans="1:35" ht="18.75" customHeight="1">
      <c r="A71" s="790">
        <v>66</v>
      </c>
      <c r="B71" s="790" t="s">
        <v>39</v>
      </c>
      <c r="C71" s="790" t="s">
        <v>40</v>
      </c>
      <c r="D71" s="790" t="s">
        <v>106</v>
      </c>
      <c r="E71" s="790" t="s">
        <v>133</v>
      </c>
      <c r="F71" s="791" t="s">
        <v>112</v>
      </c>
      <c r="G71" s="791" t="s">
        <v>1948</v>
      </c>
      <c r="H71" s="791" t="s">
        <v>30</v>
      </c>
      <c r="I71" s="792" t="s">
        <v>1939</v>
      </c>
      <c r="J71" s="792" t="s">
        <v>137</v>
      </c>
      <c r="K71" s="793" t="s">
        <v>102</v>
      </c>
      <c r="L71" s="790">
        <v>2016</v>
      </c>
      <c r="M71" s="794">
        <v>26921.303517263077</v>
      </c>
      <c r="N71" s="795">
        <v>364110630.07098311</v>
      </c>
      <c r="O71" s="795">
        <v>13525</v>
      </c>
      <c r="P71" s="796">
        <v>66208.753183408335</v>
      </c>
      <c r="Q71" s="796">
        <v>26917.323284614697</v>
      </c>
      <c r="R71" s="796">
        <v>761.27707542182577</v>
      </c>
      <c r="S71" s="796" t="s">
        <v>743</v>
      </c>
      <c r="T71" s="796" t="s">
        <v>743</v>
      </c>
      <c r="U71" s="796" t="s">
        <v>743</v>
      </c>
      <c r="V71" s="796" t="s">
        <v>743</v>
      </c>
      <c r="W71" s="796" t="s">
        <v>743</v>
      </c>
      <c r="X71" s="796">
        <v>2185.5275346277672</v>
      </c>
      <c r="Y71" s="741" t="s">
        <v>743</v>
      </c>
      <c r="Z71" s="741" t="s">
        <v>743</v>
      </c>
      <c r="AA71" s="741" t="s">
        <v>743</v>
      </c>
      <c r="AB71" s="741"/>
      <c r="AC71" s="741"/>
      <c r="AD71" s="741">
        <v>13040.600719525108</v>
      </c>
      <c r="AE71" s="741">
        <v>9063217.5000699498</v>
      </c>
      <c r="AF71" s="741">
        <v>695</v>
      </c>
      <c r="AG71" s="798" t="s">
        <v>1949</v>
      </c>
      <c r="AH71" s="798" t="s">
        <v>1950</v>
      </c>
      <c r="AI71" s="798"/>
    </row>
    <row r="72" spans="1:35" ht="18.75" customHeight="1">
      <c r="A72" s="790">
        <v>67</v>
      </c>
      <c r="B72" s="790" t="s">
        <v>39</v>
      </c>
      <c r="C72" s="790" t="s">
        <v>40</v>
      </c>
      <c r="D72" s="790" t="s">
        <v>106</v>
      </c>
      <c r="E72" s="790" t="s">
        <v>133</v>
      </c>
      <c r="F72" s="791" t="s">
        <v>114</v>
      </c>
      <c r="G72" s="791" t="s">
        <v>1948</v>
      </c>
      <c r="H72" s="791" t="s">
        <v>30</v>
      </c>
      <c r="I72" s="792" t="s">
        <v>1939</v>
      </c>
      <c r="J72" s="792" t="s">
        <v>138</v>
      </c>
      <c r="K72" s="793" t="s">
        <v>102</v>
      </c>
      <c r="L72" s="790">
        <v>2016</v>
      </c>
      <c r="M72" s="794">
        <v>-44.401914902810184</v>
      </c>
      <c r="N72" s="795">
        <v>-600535.89906050777</v>
      </c>
      <c r="O72" s="795">
        <v>13525</v>
      </c>
      <c r="P72" s="796">
        <v>-964.44774937687782</v>
      </c>
      <c r="Q72" s="796">
        <v>-44.395202118763066</v>
      </c>
      <c r="R72" s="796">
        <v>54.528459728478438</v>
      </c>
      <c r="S72" s="796" t="s">
        <v>743</v>
      </c>
      <c r="T72" s="796" t="s">
        <v>743</v>
      </c>
      <c r="U72" s="796" t="s">
        <v>743</v>
      </c>
      <c r="V72" s="796" t="s">
        <v>743</v>
      </c>
      <c r="W72" s="796" t="s">
        <v>743</v>
      </c>
      <c r="X72" s="796">
        <v>68.555562551130933</v>
      </c>
      <c r="Y72" s="741" t="s">
        <v>743</v>
      </c>
      <c r="Z72" s="741" t="s">
        <v>743</v>
      </c>
      <c r="AA72" s="741" t="s">
        <v>743</v>
      </c>
      <c r="AB72" s="741"/>
      <c r="AC72" s="741"/>
      <c r="AD72" s="741">
        <v>200.51560110618948</v>
      </c>
      <c r="AE72" s="741">
        <v>139358.3427688017</v>
      </c>
      <c r="AF72" s="741">
        <v>695</v>
      </c>
      <c r="AG72" s="798" t="s">
        <v>1949</v>
      </c>
      <c r="AH72" s="798" t="s">
        <v>1950</v>
      </c>
      <c r="AI72" s="798"/>
    </row>
    <row r="73" spans="1:35" ht="18.75" customHeight="1">
      <c r="A73" s="790">
        <v>68</v>
      </c>
      <c r="B73" s="790" t="s">
        <v>39</v>
      </c>
      <c r="C73" s="790" t="s">
        <v>40</v>
      </c>
      <c r="D73" s="790" t="s">
        <v>140</v>
      </c>
      <c r="E73" s="790" t="s">
        <v>141</v>
      </c>
      <c r="F73" s="791" t="s">
        <v>142</v>
      </c>
      <c r="G73" s="791" t="s">
        <v>1951</v>
      </c>
      <c r="H73" s="791" t="s">
        <v>30</v>
      </c>
      <c r="I73" s="792" t="s">
        <v>145</v>
      </c>
      <c r="J73" s="792" t="s">
        <v>145</v>
      </c>
      <c r="K73" s="793" t="s">
        <v>102</v>
      </c>
      <c r="L73" s="790">
        <v>2016</v>
      </c>
      <c r="M73" s="799">
        <v>2.6745722060229009E-2</v>
      </c>
      <c r="N73" s="795">
        <v>21968</v>
      </c>
      <c r="O73" s="795">
        <v>821365</v>
      </c>
      <c r="P73" s="802">
        <v>3.7552926231167474E-2</v>
      </c>
      <c r="Q73" s="802">
        <v>4.1519488924159326E-2</v>
      </c>
      <c r="R73" s="802">
        <v>7.7566998391272058E-3</v>
      </c>
      <c r="S73" s="796">
        <v>0.7</v>
      </c>
      <c r="T73" s="796">
        <v>0.7</v>
      </c>
      <c r="U73" s="796">
        <v>0.7</v>
      </c>
      <c r="V73" s="796">
        <v>2.0999999999999996</v>
      </c>
      <c r="W73" s="796">
        <v>1.42</v>
      </c>
      <c r="X73" s="802">
        <v>6.4650270942856886E-3</v>
      </c>
      <c r="Y73" s="741">
        <v>0.7</v>
      </c>
      <c r="Z73" s="741">
        <v>0.7</v>
      </c>
      <c r="AA73" s="741">
        <v>0.7</v>
      </c>
      <c r="AB73" s="741">
        <v>2.0999999999999996</v>
      </c>
      <c r="AC73" s="741">
        <v>1.42</v>
      </c>
      <c r="AD73" s="741">
        <v>7.1690051769281637E-4</v>
      </c>
      <c r="AE73" s="741">
        <v>696</v>
      </c>
      <c r="AF73" s="741">
        <v>970846</v>
      </c>
      <c r="AG73" s="798" t="s">
        <v>1952</v>
      </c>
      <c r="AH73" s="798" t="s">
        <v>1953</v>
      </c>
      <c r="AI73" s="798"/>
    </row>
    <row r="74" spans="1:35" ht="18.75" customHeight="1">
      <c r="A74" s="790">
        <v>69</v>
      </c>
      <c r="B74" s="790" t="s">
        <v>39</v>
      </c>
      <c r="C74" s="790" t="s">
        <v>40</v>
      </c>
      <c r="D74" s="790" t="s">
        <v>140</v>
      </c>
      <c r="E74" s="790" t="s">
        <v>148</v>
      </c>
      <c r="F74" s="791" t="s">
        <v>142</v>
      </c>
      <c r="G74" s="791" t="s">
        <v>149</v>
      </c>
      <c r="H74" s="791" t="s">
        <v>30</v>
      </c>
      <c r="I74" s="792" t="s">
        <v>151</v>
      </c>
      <c r="J74" s="792" t="s">
        <v>151</v>
      </c>
      <c r="K74" s="793" t="s">
        <v>102</v>
      </c>
      <c r="L74" s="790">
        <v>2016</v>
      </c>
      <c r="M74" s="799">
        <v>1.6742897906088707E-2</v>
      </c>
      <c r="N74" s="795">
        <v>399</v>
      </c>
      <c r="O74" s="795">
        <v>23831</v>
      </c>
      <c r="P74" s="802">
        <v>1.8132975151108125E-2</v>
      </c>
      <c r="Q74" s="802">
        <v>4.1752339389870337E-2</v>
      </c>
      <c r="R74" s="802">
        <v>1.3302034428794992E-3</v>
      </c>
      <c r="S74" s="796">
        <v>8.1084387646647351E-3</v>
      </c>
      <c r="T74" s="796">
        <v>8.1084387646647351E-3</v>
      </c>
      <c r="U74" s="796">
        <v>8.1084387646647351E-3</v>
      </c>
      <c r="V74" s="796">
        <v>2.4325316293994204E-2</v>
      </c>
      <c r="W74" s="796">
        <v>1.6757342193826446E-2</v>
      </c>
      <c r="X74" s="802">
        <v>0</v>
      </c>
      <c r="Y74" s="741">
        <v>8.1084387646647351E-3</v>
      </c>
      <c r="Z74" s="741">
        <v>8.1084387646647351E-3</v>
      </c>
      <c r="AA74" s="741">
        <v>8.1084387646647351E-3</v>
      </c>
      <c r="AB74" s="741">
        <v>2.4325316293994204E-2</v>
      </c>
      <c r="AC74" s="741">
        <v>1.6757342193826446E-2</v>
      </c>
      <c r="AD74" s="741">
        <v>0</v>
      </c>
      <c r="AE74" s="741">
        <v>0</v>
      </c>
      <c r="AF74" s="741">
        <v>35888</v>
      </c>
      <c r="AG74" s="798" t="s">
        <v>1954</v>
      </c>
      <c r="AH74" s="798" t="s">
        <v>1955</v>
      </c>
      <c r="AI74" s="798"/>
    </row>
    <row r="75" spans="1:35" ht="18.75" customHeight="1">
      <c r="A75" s="790">
        <v>70</v>
      </c>
      <c r="B75" s="790" t="s">
        <v>39</v>
      </c>
      <c r="C75" s="790" t="s">
        <v>40</v>
      </c>
      <c r="D75" s="790" t="s">
        <v>140</v>
      </c>
      <c r="E75" s="790" t="s">
        <v>153</v>
      </c>
      <c r="F75" s="791" t="s">
        <v>142</v>
      </c>
      <c r="G75" s="791" t="s">
        <v>154</v>
      </c>
      <c r="H75" s="791" t="s">
        <v>30</v>
      </c>
      <c r="I75" s="792" t="s">
        <v>156</v>
      </c>
      <c r="J75" s="792" t="s">
        <v>156</v>
      </c>
      <c r="K75" s="793" t="s">
        <v>102</v>
      </c>
      <c r="L75" s="790">
        <v>2016</v>
      </c>
      <c r="M75" s="799">
        <v>1.8295677799607071E-2</v>
      </c>
      <c r="N75" s="795">
        <v>298</v>
      </c>
      <c r="O75" s="795">
        <v>16288</v>
      </c>
      <c r="P75" s="802">
        <v>2.6755852842809364E-2</v>
      </c>
      <c r="Q75" s="802">
        <v>5.9709586069771649E-2</v>
      </c>
      <c r="R75" s="802">
        <v>4.2153438516198964E-4</v>
      </c>
      <c r="S75" s="796">
        <v>8.1084387646647351E-3</v>
      </c>
      <c r="T75" s="796">
        <v>8.1084387646647351E-3</v>
      </c>
      <c r="U75" s="796">
        <v>8.1084387646647351E-3</v>
      </c>
      <c r="V75" s="796">
        <v>2.4325316293994204E-2</v>
      </c>
      <c r="W75" s="796">
        <v>1.6757342193826446E-2</v>
      </c>
      <c r="X75" s="802">
        <v>0</v>
      </c>
      <c r="Y75" s="741">
        <v>8.1084387646647351E-3</v>
      </c>
      <c r="Z75" s="741">
        <v>8.1084387646647351E-3</v>
      </c>
      <c r="AA75" s="741">
        <v>8.1084387646647351E-3</v>
      </c>
      <c r="AB75" s="741">
        <v>2.4325316293994204E-2</v>
      </c>
      <c r="AC75" s="741">
        <v>1.6757342193826446E-2</v>
      </c>
      <c r="AD75" s="741">
        <v>0</v>
      </c>
      <c r="AE75" s="741">
        <v>0</v>
      </c>
      <c r="AF75" s="741">
        <v>23549</v>
      </c>
      <c r="AG75" s="798" t="s">
        <v>1956</v>
      </c>
      <c r="AH75" s="798" t="s">
        <v>1957</v>
      </c>
      <c r="AI75" s="798" t="s">
        <v>2158</v>
      </c>
    </row>
    <row r="76" spans="1:35" ht="18.75" customHeight="1">
      <c r="A76" s="790">
        <v>71</v>
      </c>
      <c r="B76" s="790" t="s">
        <v>39</v>
      </c>
      <c r="C76" s="790" t="s">
        <v>40</v>
      </c>
      <c r="D76" s="790" t="s">
        <v>158</v>
      </c>
      <c r="E76" s="790" t="s">
        <v>91</v>
      </c>
      <c r="F76" s="791" t="s">
        <v>92</v>
      </c>
      <c r="G76" s="791" t="s">
        <v>93</v>
      </c>
      <c r="H76" s="791" t="s">
        <v>30</v>
      </c>
      <c r="I76" s="792" t="s">
        <v>1924</v>
      </c>
      <c r="J76" s="792" t="s">
        <v>92</v>
      </c>
      <c r="K76" s="793" t="s">
        <v>102</v>
      </c>
      <c r="L76" s="790">
        <v>2016</v>
      </c>
      <c r="M76" s="794">
        <v>254.14889648737142</v>
      </c>
      <c r="N76" s="795">
        <v>24856865.894483704</v>
      </c>
      <c r="O76" s="795">
        <v>97804.343194222107</v>
      </c>
      <c r="P76" s="796">
        <v>185.09887405791844</v>
      </c>
      <c r="Q76" s="796">
        <v>119.32561930251238</v>
      </c>
      <c r="R76" s="796">
        <v>962.76142935991925</v>
      </c>
      <c r="S76" s="796">
        <v>233.49104225851681</v>
      </c>
      <c r="T76" s="796">
        <v>233.49104225851681</v>
      </c>
      <c r="U76" s="796">
        <v>233.49104225851681</v>
      </c>
      <c r="V76" s="796">
        <v>700.47312677555044</v>
      </c>
      <c r="W76" s="796">
        <v>464.64717409444847</v>
      </c>
      <c r="X76" s="796">
        <v>791.68698077758927</v>
      </c>
      <c r="Y76" s="741">
        <v>233.49104225851681</v>
      </c>
      <c r="Z76" s="741">
        <v>233.49104225851681</v>
      </c>
      <c r="AA76" s="741">
        <v>233.49104225851681</v>
      </c>
      <c r="AB76" s="741">
        <v>700.47312677555044</v>
      </c>
      <c r="AC76" s="741">
        <v>464.64717409444847</v>
      </c>
      <c r="AD76" s="741">
        <v>605.54601756827196</v>
      </c>
      <c r="AE76" s="741">
        <v>3069653.1891322257</v>
      </c>
      <c r="AF76" s="741">
        <v>5069.2318999292884</v>
      </c>
      <c r="AG76" s="798" t="s">
        <v>1958</v>
      </c>
      <c r="AH76" s="798" t="s">
        <v>1959</v>
      </c>
      <c r="AI76" s="798"/>
    </row>
    <row r="77" spans="1:35" ht="18.75" customHeight="1">
      <c r="A77" s="790">
        <v>72</v>
      </c>
      <c r="B77" s="790" t="s">
        <v>39</v>
      </c>
      <c r="C77" s="790" t="s">
        <v>40</v>
      </c>
      <c r="D77" s="790" t="s">
        <v>158</v>
      </c>
      <c r="E77" s="790" t="s">
        <v>91</v>
      </c>
      <c r="F77" s="791" t="s">
        <v>95</v>
      </c>
      <c r="G77" s="791" t="s">
        <v>93</v>
      </c>
      <c r="H77" s="791" t="s">
        <v>30</v>
      </c>
      <c r="I77" s="792" t="s">
        <v>1924</v>
      </c>
      <c r="J77" s="792" t="s">
        <v>95</v>
      </c>
      <c r="K77" s="793" t="s">
        <v>102</v>
      </c>
      <c r="L77" s="790">
        <v>2016</v>
      </c>
      <c r="M77" s="799">
        <v>5.8585796986478963E-2</v>
      </c>
      <c r="N77" s="795">
        <v>24856865.894483704</v>
      </c>
      <c r="O77" s="795">
        <v>424281432.92512399</v>
      </c>
      <c r="P77" s="800">
        <v>2.2660190848293814E-2</v>
      </c>
      <c r="Q77" s="800">
        <v>1.6505784312419156E-2</v>
      </c>
      <c r="R77" s="800">
        <v>0.19222505797688974</v>
      </c>
      <c r="S77" s="796">
        <v>5.1659215319599487E-2</v>
      </c>
      <c r="T77" s="796">
        <v>5.1659215319599487E-2</v>
      </c>
      <c r="U77" s="796">
        <v>5.1659215319599487E-2</v>
      </c>
      <c r="V77" s="796">
        <v>0.15497764595879845</v>
      </c>
      <c r="W77" s="796">
        <v>0.10280183848600298</v>
      </c>
      <c r="X77" s="800">
        <v>0.10603370681034921</v>
      </c>
      <c r="Y77" s="741">
        <v>5.1659215319599487E-2</v>
      </c>
      <c r="Z77" s="741">
        <v>5.1659215319599487E-2</v>
      </c>
      <c r="AA77" s="741">
        <v>5.1659215319599487E-2</v>
      </c>
      <c r="AB77" s="741">
        <v>0.15497764595879845</v>
      </c>
      <c r="AC77" s="741">
        <v>0.10280183848600298</v>
      </c>
      <c r="AD77" s="741">
        <v>8.117160480029284E-2</v>
      </c>
      <c r="AE77" s="741">
        <v>3069653.1891322257</v>
      </c>
      <c r="AF77" s="741">
        <v>37816835.045759149</v>
      </c>
      <c r="AG77" s="798" t="s">
        <v>1960</v>
      </c>
      <c r="AH77" s="798" t="s">
        <v>1959</v>
      </c>
      <c r="AI77" s="798"/>
    </row>
    <row r="78" spans="1:35" ht="18.75" customHeight="1">
      <c r="A78" s="790">
        <v>73</v>
      </c>
      <c r="B78" s="790" t="s">
        <v>39</v>
      </c>
      <c r="C78" s="790" t="s">
        <v>40</v>
      </c>
      <c r="D78" s="790" t="s">
        <v>158</v>
      </c>
      <c r="E78" s="790" t="s">
        <v>91</v>
      </c>
      <c r="F78" s="791" t="s">
        <v>96</v>
      </c>
      <c r="G78" s="791" t="s">
        <v>93</v>
      </c>
      <c r="H78" s="791" t="s">
        <v>30</v>
      </c>
      <c r="I78" s="792" t="s">
        <v>1924</v>
      </c>
      <c r="J78" s="792" t="s">
        <v>96</v>
      </c>
      <c r="K78" s="793" t="s">
        <v>102</v>
      </c>
      <c r="L78" s="790">
        <v>2016</v>
      </c>
      <c r="M78" s="799">
        <v>0.90336078837294476</v>
      </c>
      <c r="N78" s="795">
        <v>407456.89151629503</v>
      </c>
      <c r="O78" s="795">
        <v>451045.580858309</v>
      </c>
      <c r="P78" s="800">
        <v>0.19256602471479006</v>
      </c>
      <c r="Q78" s="800">
        <v>0.15518995573662073</v>
      </c>
      <c r="R78" s="800">
        <v>2.2174402850636699</v>
      </c>
      <c r="S78" s="796">
        <v>0.13266795330321654</v>
      </c>
      <c r="T78" s="796">
        <v>0.13266795330321654</v>
      </c>
      <c r="U78" s="796">
        <v>0.13266795330321654</v>
      </c>
      <c r="V78" s="796">
        <v>0.39800385990964959</v>
      </c>
      <c r="W78" s="796">
        <v>0.26400922707340091</v>
      </c>
      <c r="X78" s="800">
        <v>1.0162588104301145</v>
      </c>
      <c r="Y78" s="741">
        <v>0.13266795330321654</v>
      </c>
      <c r="Z78" s="741">
        <v>0.13266795330321654</v>
      </c>
      <c r="AA78" s="741">
        <v>0.13266795330321654</v>
      </c>
      <c r="AB78" s="741">
        <v>0.39800385990964959</v>
      </c>
      <c r="AC78" s="741">
        <v>0.26400922707340091</v>
      </c>
      <c r="AD78" s="741">
        <v>0.93603902022142815</v>
      </c>
      <c r="AE78" s="741">
        <v>565157.55107258039</v>
      </c>
      <c r="AF78" s="741">
        <v>603775.63206594472</v>
      </c>
      <c r="AG78" s="798" t="s">
        <v>1961</v>
      </c>
      <c r="AH78" s="798" t="s">
        <v>1959</v>
      </c>
      <c r="AI78" s="798"/>
    </row>
    <row r="79" spans="1:35" ht="18.75" customHeight="1">
      <c r="A79" s="790">
        <v>74</v>
      </c>
      <c r="B79" s="790" t="s">
        <v>39</v>
      </c>
      <c r="C79" s="790" t="s">
        <v>40</v>
      </c>
      <c r="D79" s="790" t="s">
        <v>158</v>
      </c>
      <c r="E79" s="790" t="s">
        <v>91</v>
      </c>
      <c r="F79" s="791" t="s">
        <v>97</v>
      </c>
      <c r="G79" s="791" t="s">
        <v>93</v>
      </c>
      <c r="H79" s="791" t="s">
        <v>30</v>
      </c>
      <c r="I79" s="792" t="s">
        <v>1924</v>
      </c>
      <c r="J79" s="792" t="s">
        <v>97</v>
      </c>
      <c r="K79" s="793" t="s">
        <v>102</v>
      </c>
      <c r="L79" s="790">
        <v>2016</v>
      </c>
      <c r="M79" s="794">
        <v>384.07231652920501</v>
      </c>
      <c r="N79" s="795">
        <v>37563940.657222301</v>
      </c>
      <c r="O79" s="795">
        <v>97804.343194222107</v>
      </c>
      <c r="P79" s="796">
        <v>413.22048092535744</v>
      </c>
      <c r="Q79" s="796">
        <v>276.57103073558193</v>
      </c>
      <c r="R79" s="796">
        <v>1078.0793842289152</v>
      </c>
      <c r="S79" s="796">
        <v>357.02014108757282</v>
      </c>
      <c r="T79" s="796">
        <v>357.02014108757282</v>
      </c>
      <c r="U79" s="796">
        <v>357.02014108757282</v>
      </c>
      <c r="V79" s="796">
        <v>1071.0604232627184</v>
      </c>
      <c r="W79" s="796">
        <v>710.47008076426994</v>
      </c>
      <c r="X79" s="796">
        <v>839.00673256190248</v>
      </c>
      <c r="Y79" s="741">
        <v>357.02014108757282</v>
      </c>
      <c r="Z79" s="741">
        <v>357.02014108757282</v>
      </c>
      <c r="AA79" s="741">
        <v>357.02014108757282</v>
      </c>
      <c r="AB79" s="741">
        <v>1071.0604232627184</v>
      </c>
      <c r="AC79" s="741">
        <v>710.47008076426994</v>
      </c>
      <c r="AD79" s="741">
        <v>643.35594451469171</v>
      </c>
      <c r="AE79" s="741">
        <v>3261320.4769430123</v>
      </c>
      <c r="AF79" s="741">
        <v>5069.2318999292884</v>
      </c>
      <c r="AG79" s="798" t="s">
        <v>1962</v>
      </c>
      <c r="AH79" s="798" t="s">
        <v>1959</v>
      </c>
      <c r="AI79" s="798"/>
    </row>
    <row r="80" spans="1:35" ht="18.75" customHeight="1">
      <c r="A80" s="790">
        <v>75</v>
      </c>
      <c r="B80" s="790" t="s">
        <v>39</v>
      </c>
      <c r="C80" s="790" t="s">
        <v>40</v>
      </c>
      <c r="D80" s="790" t="s">
        <v>158</v>
      </c>
      <c r="E80" s="790" t="s">
        <v>91</v>
      </c>
      <c r="F80" s="791" t="s">
        <v>98</v>
      </c>
      <c r="G80" s="791" t="s">
        <v>93</v>
      </c>
      <c r="H80" s="791" t="s">
        <v>30</v>
      </c>
      <c r="I80" s="792" t="s">
        <v>1924</v>
      </c>
      <c r="J80" s="792" t="s">
        <v>98</v>
      </c>
      <c r="K80" s="793" t="s">
        <v>102</v>
      </c>
      <c r="L80" s="790">
        <v>2016</v>
      </c>
      <c r="M80" s="799">
        <v>8.8535433658374227E-2</v>
      </c>
      <c r="N80" s="795">
        <v>37563940.657222301</v>
      </c>
      <c r="O80" s="795">
        <v>424281432.92512399</v>
      </c>
      <c r="P80" s="800">
        <v>5.0587314525005783E-2</v>
      </c>
      <c r="Q80" s="800">
        <v>3.8256845487738847E-2</v>
      </c>
      <c r="R80" s="800">
        <v>0.21524945414033653</v>
      </c>
      <c r="S80" s="796">
        <v>7.8989669854043293E-2</v>
      </c>
      <c r="T80" s="796">
        <v>7.8989669854043293E-2</v>
      </c>
      <c r="U80" s="796">
        <v>7.8989669854043293E-2</v>
      </c>
      <c r="V80" s="796">
        <v>0.23696900956212988</v>
      </c>
      <c r="W80" s="796">
        <v>0.15718944300954615</v>
      </c>
      <c r="X80" s="800">
        <v>0.11237142463173895</v>
      </c>
      <c r="Y80" s="741">
        <v>7.8989669854043293E-2</v>
      </c>
      <c r="Z80" s="741">
        <v>7.8989669854043293E-2</v>
      </c>
      <c r="AA80" s="741">
        <v>7.8989669854043293E-2</v>
      </c>
      <c r="AB80" s="741">
        <v>0.23696900956212988</v>
      </c>
      <c r="AC80" s="741">
        <v>0.15718944300954615</v>
      </c>
      <c r="AD80" s="741">
        <v>8.623991069048341E-2</v>
      </c>
      <c r="AE80" s="741">
        <v>3261320.4769430123</v>
      </c>
      <c r="AF80" s="741">
        <v>37816835.045759149</v>
      </c>
      <c r="AG80" s="798" t="s">
        <v>1963</v>
      </c>
      <c r="AH80" s="798" t="s">
        <v>1959</v>
      </c>
      <c r="AI80" s="798"/>
    </row>
    <row r="81" spans="1:35" ht="18.75" customHeight="1">
      <c r="A81" s="790">
        <v>76</v>
      </c>
      <c r="B81" s="790" t="s">
        <v>39</v>
      </c>
      <c r="C81" s="790" t="s">
        <v>40</v>
      </c>
      <c r="D81" s="790" t="s">
        <v>158</v>
      </c>
      <c r="E81" s="790" t="s">
        <v>91</v>
      </c>
      <c r="F81" s="791" t="s">
        <v>99</v>
      </c>
      <c r="G81" s="791" t="s">
        <v>93</v>
      </c>
      <c r="H81" s="791" t="s">
        <v>30</v>
      </c>
      <c r="I81" s="792" t="s">
        <v>1924</v>
      </c>
      <c r="J81" s="792" t="s">
        <v>99</v>
      </c>
      <c r="K81" s="793" t="s">
        <v>102</v>
      </c>
      <c r="L81" s="790">
        <v>2016</v>
      </c>
      <c r="M81" s="799">
        <v>1.3651677243040317</v>
      </c>
      <c r="N81" s="795">
        <v>615752.86917772784</v>
      </c>
      <c r="O81" s="795">
        <v>451045.580858309</v>
      </c>
      <c r="P81" s="800">
        <v>0.42989038019556641</v>
      </c>
      <c r="Q81" s="800">
        <v>0.35969682176192008</v>
      </c>
      <c r="R81" s="800">
        <v>2.4830415762243181</v>
      </c>
      <c r="S81" s="796">
        <v>0.20285631066596607</v>
      </c>
      <c r="T81" s="796">
        <v>0.20285631066596607</v>
      </c>
      <c r="U81" s="796">
        <v>0.20285631066596607</v>
      </c>
      <c r="V81" s="796">
        <v>0.60856893199789819</v>
      </c>
      <c r="W81" s="796">
        <v>0.40368405822527248</v>
      </c>
      <c r="X81" s="800">
        <v>1.0770013966110084</v>
      </c>
      <c r="Y81" s="741">
        <v>0.20285631066596607</v>
      </c>
      <c r="Z81" s="741">
        <v>0.20285631066596607</v>
      </c>
      <c r="AA81" s="741">
        <v>0.20285631066596607</v>
      </c>
      <c r="AB81" s="741">
        <v>0.60856893199789819</v>
      </c>
      <c r="AC81" s="741">
        <v>0.40368405822527248</v>
      </c>
      <c r="AD81" s="741">
        <v>0.99448473028603168</v>
      </c>
      <c r="AE81" s="741">
        <v>600445.64660837932</v>
      </c>
      <c r="AF81" s="741">
        <v>603775.63206594472</v>
      </c>
      <c r="AG81" s="798" t="s">
        <v>1964</v>
      </c>
      <c r="AH81" s="798" t="s">
        <v>1959</v>
      </c>
      <c r="AI81" s="798"/>
    </row>
    <row r="82" spans="1:35" ht="18.75" customHeight="1">
      <c r="A82" s="790">
        <v>77</v>
      </c>
      <c r="B82" s="790" t="s">
        <v>39</v>
      </c>
      <c r="C82" s="790" t="s">
        <v>40</v>
      </c>
      <c r="D82" s="790" t="s">
        <v>160</v>
      </c>
      <c r="E82" s="790" t="s">
        <v>161</v>
      </c>
      <c r="F82" s="791" t="s">
        <v>752</v>
      </c>
      <c r="G82" s="791" t="s">
        <v>163</v>
      </c>
      <c r="H82" s="791" t="s">
        <v>164</v>
      </c>
      <c r="I82" s="792" t="s">
        <v>1965</v>
      </c>
      <c r="J82" s="792" t="s">
        <v>1966</v>
      </c>
      <c r="K82" s="793" t="s">
        <v>102</v>
      </c>
      <c r="L82" s="790" t="s">
        <v>1881</v>
      </c>
      <c r="M82" s="794">
        <v>0</v>
      </c>
      <c r="N82" s="795" t="s">
        <v>59</v>
      </c>
      <c r="O82" s="795" t="s">
        <v>59</v>
      </c>
      <c r="P82" s="796">
        <v>19533.959284520995</v>
      </c>
      <c r="Q82" s="796">
        <v>18683.521073355674</v>
      </c>
      <c r="R82" s="796">
        <v>36845.376452039825</v>
      </c>
      <c r="S82" s="796" t="s">
        <v>1881</v>
      </c>
      <c r="T82" s="796" t="s">
        <v>1881</v>
      </c>
      <c r="U82" s="796" t="s">
        <v>1881</v>
      </c>
      <c r="V82" s="796" t="e">
        <v>#VALUE!</v>
      </c>
      <c r="W82" s="796" t="e">
        <v>#VALUE!</v>
      </c>
      <c r="X82" s="796">
        <v>37390.980254976144</v>
      </c>
      <c r="Y82" s="741" t="s">
        <v>1881</v>
      </c>
      <c r="Z82" s="741" t="s">
        <v>1881</v>
      </c>
      <c r="AA82" s="741" t="s">
        <v>1881</v>
      </c>
      <c r="AB82" s="741"/>
      <c r="AC82" s="741"/>
      <c r="AD82" s="741">
        <v>36126.706568950249</v>
      </c>
      <c r="AE82" s="741" t="s">
        <v>59</v>
      </c>
      <c r="AF82" s="741" t="s">
        <v>59</v>
      </c>
      <c r="AG82" s="798" t="s">
        <v>2159</v>
      </c>
      <c r="AH82" s="798" t="s">
        <v>1967</v>
      </c>
      <c r="AI82" s="798"/>
    </row>
    <row r="83" spans="1:35" ht="18.75" customHeight="1">
      <c r="A83" s="790">
        <v>78</v>
      </c>
      <c r="B83" s="790" t="s">
        <v>39</v>
      </c>
      <c r="C83" s="790" t="s">
        <v>40</v>
      </c>
      <c r="D83" s="790" t="s">
        <v>170</v>
      </c>
      <c r="E83" s="790" t="s">
        <v>171</v>
      </c>
      <c r="F83" s="791" t="s">
        <v>52</v>
      </c>
      <c r="G83" s="791" t="s">
        <v>53</v>
      </c>
      <c r="H83" s="791" t="s">
        <v>30</v>
      </c>
      <c r="I83" s="792" t="s">
        <v>1968</v>
      </c>
      <c r="J83" s="792" t="s">
        <v>173</v>
      </c>
      <c r="K83" s="793" t="s">
        <v>174</v>
      </c>
      <c r="L83" s="790">
        <v>2016</v>
      </c>
      <c r="M83" s="794">
        <v>929.27079517745756</v>
      </c>
      <c r="N83" s="795" t="s">
        <v>59</v>
      </c>
      <c r="O83" s="795" t="s">
        <v>59</v>
      </c>
      <c r="P83" s="796">
        <v>491.41787051347353</v>
      </c>
      <c r="Q83" s="796">
        <v>219.03197422503709</v>
      </c>
      <c r="R83" s="796">
        <v>472.46451493200942</v>
      </c>
      <c r="S83" s="796">
        <v>2045.6073286677167</v>
      </c>
      <c r="T83" s="796">
        <v>2045.6073286677167</v>
      </c>
      <c r="U83" s="796">
        <v>2045.6073286677167</v>
      </c>
      <c r="V83" s="796">
        <v>6136.8219860031504</v>
      </c>
      <c r="W83" s="796">
        <v>4278.0271282258254</v>
      </c>
      <c r="X83" s="796">
        <v>2846.1503726502024</v>
      </c>
      <c r="Y83" s="741">
        <v>2045.6073286677167</v>
      </c>
      <c r="Z83" s="741">
        <v>2045.6073286677167</v>
      </c>
      <c r="AA83" s="741">
        <v>2045.6073286677167</v>
      </c>
      <c r="AB83" s="741">
        <v>6136.8219860031504</v>
      </c>
      <c r="AC83" s="741">
        <v>4278.0271282258254</v>
      </c>
      <c r="AD83" s="741">
        <v>2272.6820359994967</v>
      </c>
      <c r="AE83" s="741" t="s">
        <v>59</v>
      </c>
      <c r="AF83" s="741" t="s">
        <v>59</v>
      </c>
      <c r="AG83" s="798" t="s">
        <v>1933</v>
      </c>
      <c r="AH83" s="798" t="s">
        <v>2160</v>
      </c>
      <c r="AI83" s="803"/>
    </row>
    <row r="84" spans="1:35" ht="18.75" customHeight="1">
      <c r="A84" s="790">
        <v>79</v>
      </c>
      <c r="B84" s="790" t="s">
        <v>39</v>
      </c>
      <c r="C84" s="790" t="s">
        <v>40</v>
      </c>
      <c r="D84" s="790" t="s">
        <v>170</v>
      </c>
      <c r="E84" s="790" t="s">
        <v>171</v>
      </c>
      <c r="F84" s="791" t="s">
        <v>55</v>
      </c>
      <c r="G84" s="791" t="s">
        <v>53</v>
      </c>
      <c r="H84" s="791" t="s">
        <v>30</v>
      </c>
      <c r="I84" s="792" t="s">
        <v>1968</v>
      </c>
      <c r="J84" s="792" t="s">
        <v>175</v>
      </c>
      <c r="K84" s="793" t="s">
        <v>174</v>
      </c>
      <c r="L84" s="790">
        <v>2016</v>
      </c>
      <c r="M84" s="794">
        <v>740.14404512616363</v>
      </c>
      <c r="N84" s="795" t="s">
        <v>59</v>
      </c>
      <c r="O84" s="795" t="s">
        <v>59</v>
      </c>
      <c r="P84" s="796">
        <v>318.91910754790689</v>
      </c>
      <c r="Q84" s="796">
        <v>142.14357720803355</v>
      </c>
      <c r="R84" s="796">
        <v>375.30491883338573</v>
      </c>
      <c r="S84" s="796">
        <v>1879.2156065807903</v>
      </c>
      <c r="T84" s="796">
        <v>1879.2156065807903</v>
      </c>
      <c r="U84" s="796">
        <v>1879.2156065807903</v>
      </c>
      <c r="V84" s="796">
        <v>5637.646819742371</v>
      </c>
      <c r="W84" s="796">
        <v>3939.3452955908119</v>
      </c>
      <c r="X84" s="796">
        <v>2834.2529214697938</v>
      </c>
      <c r="Y84" s="741">
        <v>1879.2156065807903</v>
      </c>
      <c r="Z84" s="741">
        <v>1879.2156065807903</v>
      </c>
      <c r="AA84" s="741">
        <v>1879.2156065807903</v>
      </c>
      <c r="AB84" s="741">
        <v>5637.646819742371</v>
      </c>
      <c r="AC84" s="741">
        <v>3939.3452955908119</v>
      </c>
      <c r="AD84" s="741">
        <v>2277.5363655269839</v>
      </c>
      <c r="AE84" s="741" t="s">
        <v>59</v>
      </c>
      <c r="AF84" s="741" t="s">
        <v>59</v>
      </c>
      <c r="AG84" s="798" t="s">
        <v>1933</v>
      </c>
      <c r="AH84" s="798" t="s">
        <v>2160</v>
      </c>
      <c r="AI84" s="798"/>
    </row>
    <row r="85" spans="1:35" ht="18.75" customHeight="1">
      <c r="A85" s="790">
        <v>80</v>
      </c>
      <c r="B85" s="790" t="s">
        <v>39</v>
      </c>
      <c r="C85" s="790" t="s">
        <v>40</v>
      </c>
      <c r="D85" s="790" t="s">
        <v>170</v>
      </c>
      <c r="E85" s="790" t="s">
        <v>171</v>
      </c>
      <c r="F85" s="791" t="s">
        <v>56</v>
      </c>
      <c r="G85" s="791" t="s">
        <v>53</v>
      </c>
      <c r="H85" s="791" t="s">
        <v>30</v>
      </c>
      <c r="I85" s="792" t="s">
        <v>1968</v>
      </c>
      <c r="J85" s="792" t="s">
        <v>176</v>
      </c>
      <c r="K85" s="793" t="s">
        <v>174</v>
      </c>
      <c r="L85" s="790">
        <v>2016</v>
      </c>
      <c r="M85" s="794">
        <v>3515134.8480861313</v>
      </c>
      <c r="N85" s="795" t="s">
        <v>59</v>
      </c>
      <c r="O85" s="795" t="s">
        <v>59</v>
      </c>
      <c r="P85" s="796">
        <v>1927660.3566466852</v>
      </c>
      <c r="Q85" s="796">
        <v>1278348.796947879</v>
      </c>
      <c r="R85" s="796">
        <v>2351367.3470587926</v>
      </c>
      <c r="S85" s="796">
        <v>4163975.6682137055</v>
      </c>
      <c r="T85" s="796">
        <v>4163975.6682137055</v>
      </c>
      <c r="U85" s="796">
        <v>4163975.6682137055</v>
      </c>
      <c r="V85" s="796">
        <v>12491927.004641116</v>
      </c>
      <c r="W85" s="796">
        <v>8605499.4289531801</v>
      </c>
      <c r="X85" s="796">
        <v>15494532.942354519</v>
      </c>
      <c r="Y85" s="741">
        <v>4163975.6682137055</v>
      </c>
      <c r="Z85" s="741">
        <v>4163975.6682137055</v>
      </c>
      <c r="AA85" s="741">
        <v>4163975.6682137055</v>
      </c>
      <c r="AB85" s="741">
        <v>12491927.004641116</v>
      </c>
      <c r="AC85" s="741">
        <v>8605499.4289531801</v>
      </c>
      <c r="AD85" s="741">
        <v>13909685.113864617</v>
      </c>
      <c r="AE85" s="741" t="s">
        <v>59</v>
      </c>
      <c r="AF85" s="741" t="s">
        <v>59</v>
      </c>
      <c r="AG85" s="798" t="s">
        <v>1933</v>
      </c>
      <c r="AH85" s="798" t="s">
        <v>2160</v>
      </c>
      <c r="AI85" s="798"/>
    </row>
    <row r="86" spans="1:35" ht="18.75" customHeight="1">
      <c r="A86" s="790">
        <v>81</v>
      </c>
      <c r="B86" s="790" t="s">
        <v>39</v>
      </c>
      <c r="C86" s="790" t="s">
        <v>40</v>
      </c>
      <c r="D86" s="790" t="s">
        <v>170</v>
      </c>
      <c r="E86" s="790" t="s">
        <v>171</v>
      </c>
      <c r="F86" s="791" t="s">
        <v>57</v>
      </c>
      <c r="G86" s="791" t="s">
        <v>53</v>
      </c>
      <c r="H86" s="791" t="s">
        <v>30</v>
      </c>
      <c r="I86" s="792" t="s">
        <v>1968</v>
      </c>
      <c r="J86" s="792" t="s">
        <v>177</v>
      </c>
      <c r="K86" s="793" t="s">
        <v>174</v>
      </c>
      <c r="L86" s="790">
        <v>2016</v>
      </c>
      <c r="M86" s="794">
        <v>2625359.8568609315</v>
      </c>
      <c r="N86" s="795" t="s">
        <v>59</v>
      </c>
      <c r="O86" s="795" t="s">
        <v>59</v>
      </c>
      <c r="P86" s="796">
        <v>1313895.7263670263</v>
      </c>
      <c r="Q86" s="796">
        <v>825918.07880019047</v>
      </c>
      <c r="R86" s="796">
        <v>1668325.764766549</v>
      </c>
      <c r="S86" s="796">
        <v>3152613.0685632708</v>
      </c>
      <c r="T86" s="796">
        <v>3152613.0685632708</v>
      </c>
      <c r="U86" s="796">
        <v>3152613.0685632708</v>
      </c>
      <c r="V86" s="796">
        <v>9457839.2056898121</v>
      </c>
      <c r="W86" s="796">
        <v>6519380.6454094453</v>
      </c>
      <c r="X86" s="796">
        <v>15890094.776891826</v>
      </c>
      <c r="Y86" s="741">
        <v>3152613.0685632708</v>
      </c>
      <c r="Z86" s="741">
        <v>3152613.0685632708</v>
      </c>
      <c r="AA86" s="741">
        <v>3152613.0685632708</v>
      </c>
      <c r="AB86" s="741">
        <v>9457839.2056898121</v>
      </c>
      <c r="AC86" s="741">
        <v>6519380.6454094453</v>
      </c>
      <c r="AD86" s="741">
        <v>14235406.513566123</v>
      </c>
      <c r="AE86" s="741" t="s">
        <v>59</v>
      </c>
      <c r="AF86" s="741" t="s">
        <v>59</v>
      </c>
      <c r="AG86" s="798" t="s">
        <v>1933</v>
      </c>
      <c r="AH86" s="798" t="s">
        <v>2160</v>
      </c>
      <c r="AI86" s="798"/>
    </row>
    <row r="87" spans="1:35" ht="18.75" customHeight="1">
      <c r="A87" s="790">
        <v>82</v>
      </c>
      <c r="B87" s="790" t="s">
        <v>39</v>
      </c>
      <c r="C87" s="790" t="s">
        <v>40</v>
      </c>
      <c r="D87" s="790" t="s">
        <v>170</v>
      </c>
      <c r="E87" s="790" t="s">
        <v>171</v>
      </c>
      <c r="F87" s="791" t="s">
        <v>58</v>
      </c>
      <c r="G87" s="791" t="s">
        <v>53</v>
      </c>
      <c r="H87" s="791" t="s">
        <v>30</v>
      </c>
      <c r="I87" s="792" t="s">
        <v>1968</v>
      </c>
      <c r="J87" s="792" t="s">
        <v>178</v>
      </c>
      <c r="K87" s="793" t="s">
        <v>174</v>
      </c>
      <c r="L87" s="790">
        <v>2016</v>
      </c>
      <c r="M87" s="794">
        <v>40721.875985925755</v>
      </c>
      <c r="N87" s="795" t="s">
        <v>59</v>
      </c>
      <c r="O87" s="795" t="s">
        <v>59</v>
      </c>
      <c r="P87" s="796">
        <v>36224.955523545803</v>
      </c>
      <c r="Q87" s="796">
        <v>10484.676605899693</v>
      </c>
      <c r="R87" s="796">
        <v>24608.467718135285</v>
      </c>
      <c r="S87" s="796">
        <v>50326.729533214566</v>
      </c>
      <c r="T87" s="796">
        <v>50326.729533214566</v>
      </c>
      <c r="U87" s="796">
        <v>50326.729533214566</v>
      </c>
      <c r="V87" s="796">
        <v>150980.1885996437</v>
      </c>
      <c r="W87" s="796">
        <v>108814.75295155354</v>
      </c>
      <c r="X87" s="796">
        <v>374173.23724446661</v>
      </c>
      <c r="Y87" s="741">
        <v>50326.729533214566</v>
      </c>
      <c r="Z87" s="741">
        <v>50326.729533214566</v>
      </c>
      <c r="AA87" s="741">
        <v>50326.729533214566</v>
      </c>
      <c r="AB87" s="741">
        <v>150980.1885996437</v>
      </c>
      <c r="AC87" s="741">
        <v>108814.75295155354</v>
      </c>
      <c r="AD87" s="741">
        <v>716248.89391560736</v>
      </c>
      <c r="AE87" s="741" t="s">
        <v>59</v>
      </c>
      <c r="AF87" s="741" t="s">
        <v>59</v>
      </c>
      <c r="AG87" s="798" t="s">
        <v>1933</v>
      </c>
      <c r="AH87" s="798" t="s">
        <v>2160</v>
      </c>
      <c r="AI87" s="798"/>
    </row>
    <row r="88" spans="1:35" ht="18.75" customHeight="1">
      <c r="A88" s="790">
        <v>83</v>
      </c>
      <c r="B88" s="790" t="s">
        <v>39</v>
      </c>
      <c r="C88" s="790" t="s">
        <v>40</v>
      </c>
      <c r="D88" s="790" t="s">
        <v>170</v>
      </c>
      <c r="E88" s="790" t="s">
        <v>171</v>
      </c>
      <c r="F88" s="791" t="s">
        <v>60</v>
      </c>
      <c r="G88" s="791" t="s">
        <v>53</v>
      </c>
      <c r="H88" s="791" t="s">
        <v>30</v>
      </c>
      <c r="I88" s="792" t="s">
        <v>1968</v>
      </c>
      <c r="J88" s="792" t="s">
        <v>180</v>
      </c>
      <c r="K88" s="793" t="s">
        <v>174</v>
      </c>
      <c r="L88" s="790">
        <v>2016</v>
      </c>
      <c r="M88" s="794">
        <v>25268.224979089129</v>
      </c>
      <c r="N88" s="795" t="s">
        <v>59</v>
      </c>
      <c r="O88" s="795" t="s">
        <v>59</v>
      </c>
      <c r="P88" s="796">
        <v>24024.130264612726</v>
      </c>
      <c r="Q88" s="796">
        <v>5865.7814489256234</v>
      </c>
      <c r="R88" s="796">
        <v>13695.783272898685</v>
      </c>
      <c r="S88" s="796">
        <v>39616.648223838019</v>
      </c>
      <c r="T88" s="796">
        <v>39616.648223838019</v>
      </c>
      <c r="U88" s="796">
        <v>39616.648223838019</v>
      </c>
      <c r="V88" s="796">
        <v>118849.94467151407</v>
      </c>
      <c r="W88" s="796">
        <v>84029.650585349285</v>
      </c>
      <c r="X88" s="796">
        <v>387621.69002220535</v>
      </c>
      <c r="Y88" s="741">
        <v>39616.648223838019</v>
      </c>
      <c r="Z88" s="741">
        <v>39616.648223838019</v>
      </c>
      <c r="AA88" s="741">
        <v>39616.648223838019</v>
      </c>
      <c r="AB88" s="741">
        <v>118849.94467151407</v>
      </c>
      <c r="AC88" s="741">
        <v>84029.650585349285</v>
      </c>
      <c r="AD88" s="741">
        <v>551774.14396279259</v>
      </c>
      <c r="AE88" s="741" t="s">
        <v>59</v>
      </c>
      <c r="AF88" s="741" t="s">
        <v>59</v>
      </c>
      <c r="AG88" s="798" t="s">
        <v>1933</v>
      </c>
      <c r="AH88" s="798" t="s">
        <v>2160</v>
      </c>
      <c r="AI88" s="798"/>
    </row>
    <row r="89" spans="1:35" ht="18.75" customHeight="1">
      <c r="A89" s="790">
        <v>84</v>
      </c>
      <c r="B89" s="790" t="s">
        <v>39</v>
      </c>
      <c r="C89" s="790" t="s">
        <v>40</v>
      </c>
      <c r="D89" s="790" t="s">
        <v>170</v>
      </c>
      <c r="E89" s="790" t="s">
        <v>171</v>
      </c>
      <c r="F89" s="791" t="s">
        <v>61</v>
      </c>
      <c r="G89" s="791" t="s">
        <v>53</v>
      </c>
      <c r="H89" s="791" t="s">
        <v>30</v>
      </c>
      <c r="I89" s="792" t="s">
        <v>1968</v>
      </c>
      <c r="J89" s="792" t="s">
        <v>181</v>
      </c>
      <c r="K89" s="793" t="s">
        <v>174</v>
      </c>
      <c r="L89" s="790">
        <v>2016</v>
      </c>
      <c r="M89" s="794">
        <v>12212.805663345569</v>
      </c>
      <c r="N89" s="795" t="s">
        <v>59</v>
      </c>
      <c r="O89" s="795" t="s">
        <v>59</v>
      </c>
      <c r="P89" s="796">
        <v>6857.0031069133192</v>
      </c>
      <c r="Q89" s="796">
        <v>2944.1001747175792</v>
      </c>
      <c r="R89" s="796">
        <v>1509.0301823954469</v>
      </c>
      <c r="S89" s="796">
        <v>7306.4063528787756</v>
      </c>
      <c r="T89" s="796">
        <v>7306.4063528787756</v>
      </c>
      <c r="U89" s="796">
        <v>7306.4063528787756</v>
      </c>
      <c r="V89" s="796">
        <v>21919.219058636329</v>
      </c>
      <c r="W89" s="796">
        <v>15280.060913652613</v>
      </c>
      <c r="X89" s="796">
        <v>4054.2623407428978</v>
      </c>
      <c r="Y89" s="741">
        <v>7306.4063528787756</v>
      </c>
      <c r="Z89" s="741">
        <v>7306.4063528787756</v>
      </c>
      <c r="AA89" s="741">
        <v>7306.4063528787756</v>
      </c>
      <c r="AB89" s="741">
        <v>21919.219058636329</v>
      </c>
      <c r="AC89" s="741">
        <v>15280.060913652613</v>
      </c>
      <c r="AD89" s="741">
        <v>3860.1328062654202</v>
      </c>
      <c r="AE89" s="741" t="s">
        <v>59</v>
      </c>
      <c r="AF89" s="741" t="s">
        <v>59</v>
      </c>
      <c r="AG89" s="798" t="s">
        <v>1969</v>
      </c>
      <c r="AH89" s="798" t="s">
        <v>2160</v>
      </c>
      <c r="AI89" s="798"/>
    </row>
    <row r="90" spans="1:35" ht="18.75" customHeight="1">
      <c r="A90" s="790">
        <v>85</v>
      </c>
      <c r="B90" s="790" t="s">
        <v>39</v>
      </c>
      <c r="C90" s="790" t="s">
        <v>40</v>
      </c>
      <c r="D90" s="790" t="s">
        <v>170</v>
      </c>
      <c r="E90" s="790" t="s">
        <v>171</v>
      </c>
      <c r="F90" s="791" t="s">
        <v>62</v>
      </c>
      <c r="G90" s="791" t="s">
        <v>53</v>
      </c>
      <c r="H90" s="791" t="s">
        <v>30</v>
      </c>
      <c r="I90" s="792" t="s">
        <v>1968</v>
      </c>
      <c r="J90" s="792" t="s">
        <v>182</v>
      </c>
      <c r="K90" s="793" t="s">
        <v>174</v>
      </c>
      <c r="L90" s="790">
        <v>2016</v>
      </c>
      <c r="M90" s="794">
        <v>9561.106466467374</v>
      </c>
      <c r="N90" s="795" t="s">
        <v>59</v>
      </c>
      <c r="O90" s="795" t="s">
        <v>59</v>
      </c>
      <c r="P90" s="796">
        <v>4339.8669662691809</v>
      </c>
      <c r="Q90" s="796">
        <v>1803.5670695796587</v>
      </c>
      <c r="R90" s="796">
        <v>1186.4867226503263</v>
      </c>
      <c r="S90" s="796">
        <v>5396.1399023338818</v>
      </c>
      <c r="T90" s="796">
        <v>5396.1399023338818</v>
      </c>
      <c r="U90" s="796">
        <v>5396.1399023338818</v>
      </c>
      <c r="V90" s="796">
        <v>16188.419707001645</v>
      </c>
      <c r="W90" s="796">
        <v>11311.771924503202</v>
      </c>
      <c r="X90" s="796">
        <v>3637.1866576251391</v>
      </c>
      <c r="Y90" s="741">
        <v>5396.1399023338818</v>
      </c>
      <c r="Z90" s="741">
        <v>5396.1399023338818</v>
      </c>
      <c r="AA90" s="741">
        <v>5396.1399023338818</v>
      </c>
      <c r="AB90" s="741">
        <v>16188.419707001645</v>
      </c>
      <c r="AC90" s="741">
        <v>11311.771924503202</v>
      </c>
      <c r="AD90" s="741">
        <v>3494.9754540435247</v>
      </c>
      <c r="AE90" s="741" t="s">
        <v>59</v>
      </c>
      <c r="AF90" s="741" t="s">
        <v>59</v>
      </c>
      <c r="AG90" s="798" t="s">
        <v>1969</v>
      </c>
      <c r="AH90" s="798" t="s">
        <v>2160</v>
      </c>
      <c r="AI90" s="798"/>
    </row>
    <row r="91" spans="1:35" ht="18.75" customHeight="1">
      <c r="A91" s="790">
        <v>86</v>
      </c>
      <c r="B91" s="790" t="s">
        <v>39</v>
      </c>
      <c r="C91" s="790" t="s">
        <v>40</v>
      </c>
      <c r="D91" s="790" t="s">
        <v>170</v>
      </c>
      <c r="E91" s="790" t="s">
        <v>171</v>
      </c>
      <c r="F91" s="791" t="s">
        <v>63</v>
      </c>
      <c r="G91" s="791" t="s">
        <v>53</v>
      </c>
      <c r="H91" s="791" t="s">
        <v>30</v>
      </c>
      <c r="I91" s="792" t="s">
        <v>1968</v>
      </c>
      <c r="J91" s="792" t="s">
        <v>183</v>
      </c>
      <c r="K91" s="793" t="s">
        <v>174</v>
      </c>
      <c r="L91" s="790">
        <v>2016</v>
      </c>
      <c r="M91" s="794">
        <v>46049141.974360339</v>
      </c>
      <c r="N91" s="795" t="s">
        <v>59</v>
      </c>
      <c r="O91" s="795" t="s">
        <v>59</v>
      </c>
      <c r="P91" s="796">
        <v>25237042.285346583</v>
      </c>
      <c r="Q91" s="796">
        <v>16714964.959891923</v>
      </c>
      <c r="R91" s="796">
        <v>14804156.202913992</v>
      </c>
      <c r="S91" s="796">
        <v>34835587.671396069</v>
      </c>
      <c r="T91" s="796">
        <v>34835587.671396069</v>
      </c>
      <c r="U91" s="796">
        <v>34835587.671396069</v>
      </c>
      <c r="V91" s="796">
        <v>104506763.0141882</v>
      </c>
      <c r="W91" s="796">
        <v>71993127.169748381</v>
      </c>
      <c r="X91" s="796">
        <v>20109152.663810141</v>
      </c>
      <c r="Y91" s="741">
        <v>34835587.671396069</v>
      </c>
      <c r="Z91" s="741">
        <v>34835587.671396069</v>
      </c>
      <c r="AA91" s="741">
        <v>34835587.671396069</v>
      </c>
      <c r="AB91" s="741">
        <v>104506763.0141882</v>
      </c>
      <c r="AC91" s="741">
        <v>71993127.169748381</v>
      </c>
      <c r="AD91" s="741">
        <v>18795364.293484993</v>
      </c>
      <c r="AE91" s="741" t="s">
        <v>59</v>
      </c>
      <c r="AF91" s="741" t="s">
        <v>59</v>
      </c>
      <c r="AG91" s="798" t="s">
        <v>1969</v>
      </c>
      <c r="AH91" s="798" t="s">
        <v>2160</v>
      </c>
      <c r="AI91" s="798"/>
    </row>
    <row r="92" spans="1:35" ht="18.75" customHeight="1">
      <c r="A92" s="790">
        <v>87</v>
      </c>
      <c r="B92" s="790" t="s">
        <v>39</v>
      </c>
      <c r="C92" s="790" t="s">
        <v>40</v>
      </c>
      <c r="D92" s="790" t="s">
        <v>170</v>
      </c>
      <c r="E92" s="790" t="s">
        <v>171</v>
      </c>
      <c r="F92" s="791" t="s">
        <v>64</v>
      </c>
      <c r="G92" s="791" t="s">
        <v>53</v>
      </c>
      <c r="H92" s="791" t="s">
        <v>30</v>
      </c>
      <c r="I92" s="792" t="s">
        <v>1968</v>
      </c>
      <c r="J92" s="792" t="s">
        <v>184</v>
      </c>
      <c r="K92" s="793" t="s">
        <v>174</v>
      </c>
      <c r="L92" s="790">
        <v>2016</v>
      </c>
      <c r="M92" s="794">
        <v>33164544.343028806</v>
      </c>
      <c r="N92" s="795" t="s">
        <v>59</v>
      </c>
      <c r="O92" s="795" t="s">
        <v>59</v>
      </c>
      <c r="P92" s="796">
        <v>16538879.534338683</v>
      </c>
      <c r="Q92" s="796">
        <v>10317369.910208927</v>
      </c>
      <c r="R92" s="796">
        <v>10036625.689705309</v>
      </c>
      <c r="S92" s="796">
        <v>21815455.059507266</v>
      </c>
      <c r="T92" s="796">
        <v>21815455.059507266</v>
      </c>
      <c r="U92" s="796">
        <v>21815455.059507266</v>
      </c>
      <c r="V92" s="796">
        <v>65446365.178521797</v>
      </c>
      <c r="W92" s="796">
        <v>45112816.699248835</v>
      </c>
      <c r="X92" s="796">
        <v>18847541.687370114</v>
      </c>
      <c r="Y92" s="741">
        <v>21815455.059507266</v>
      </c>
      <c r="Z92" s="741">
        <v>21815455.059507266</v>
      </c>
      <c r="AA92" s="741">
        <v>21815455.059507266</v>
      </c>
      <c r="AB92" s="741">
        <v>65446365.178521797</v>
      </c>
      <c r="AC92" s="741">
        <v>45112816.699248835</v>
      </c>
      <c r="AD92" s="741">
        <v>17778919.704575717</v>
      </c>
      <c r="AE92" s="741" t="s">
        <v>59</v>
      </c>
      <c r="AF92" s="741" t="s">
        <v>59</v>
      </c>
      <c r="AG92" s="798" t="s">
        <v>1969</v>
      </c>
      <c r="AH92" s="798" t="s">
        <v>2160</v>
      </c>
      <c r="AI92" s="798"/>
    </row>
    <row r="93" spans="1:35" ht="18.75" customHeight="1">
      <c r="A93" s="790">
        <v>88</v>
      </c>
      <c r="B93" s="790" t="s">
        <v>39</v>
      </c>
      <c r="C93" s="790" t="s">
        <v>40</v>
      </c>
      <c r="D93" s="790" t="s">
        <v>170</v>
      </c>
      <c r="E93" s="790" t="s">
        <v>171</v>
      </c>
      <c r="F93" s="791" t="s">
        <v>65</v>
      </c>
      <c r="G93" s="791" t="s">
        <v>53</v>
      </c>
      <c r="H93" s="791" t="s">
        <v>30</v>
      </c>
      <c r="I93" s="792" t="s">
        <v>1968</v>
      </c>
      <c r="J93" s="792" t="s">
        <v>185</v>
      </c>
      <c r="K93" s="793" t="s">
        <v>174</v>
      </c>
      <c r="L93" s="790">
        <v>2016</v>
      </c>
      <c r="M93" s="794">
        <v>560964.19382027769</v>
      </c>
      <c r="N93" s="795" t="s">
        <v>59</v>
      </c>
      <c r="O93" s="795" t="s">
        <v>59</v>
      </c>
      <c r="P93" s="796">
        <v>525635.65437626862</v>
      </c>
      <c r="Q93" s="796">
        <v>167769.44976755657</v>
      </c>
      <c r="R93" s="796">
        <v>345872.63006051077</v>
      </c>
      <c r="S93" s="796">
        <v>195129.59938028964</v>
      </c>
      <c r="T93" s="796">
        <v>195129.59938028964</v>
      </c>
      <c r="U93" s="796">
        <v>195129.59938028964</v>
      </c>
      <c r="V93" s="796">
        <v>585388.79814086889</v>
      </c>
      <c r="W93" s="796">
        <v>421902.62206663995</v>
      </c>
      <c r="X93" s="796">
        <v>463920.78687777388</v>
      </c>
      <c r="Y93" s="741">
        <v>195129.59938028964</v>
      </c>
      <c r="Z93" s="741">
        <v>195129.59938028964</v>
      </c>
      <c r="AA93" s="741">
        <v>195129.59938028964</v>
      </c>
      <c r="AB93" s="741">
        <v>585388.79814086889</v>
      </c>
      <c r="AC93" s="741">
        <v>421902.62206663995</v>
      </c>
      <c r="AD93" s="741">
        <v>3000413.3257367313</v>
      </c>
      <c r="AE93" s="741" t="s">
        <v>59</v>
      </c>
      <c r="AF93" s="741" t="s">
        <v>59</v>
      </c>
      <c r="AG93" s="798" t="s">
        <v>1969</v>
      </c>
      <c r="AH93" s="798" t="s">
        <v>2160</v>
      </c>
      <c r="AI93" s="798"/>
    </row>
    <row r="94" spans="1:35" ht="18.75" customHeight="1">
      <c r="A94" s="790">
        <v>89</v>
      </c>
      <c r="B94" s="790" t="s">
        <v>39</v>
      </c>
      <c r="C94" s="790" t="s">
        <v>40</v>
      </c>
      <c r="D94" s="790" t="s">
        <v>170</v>
      </c>
      <c r="E94" s="790" t="s">
        <v>171</v>
      </c>
      <c r="F94" s="791" t="s">
        <v>66</v>
      </c>
      <c r="G94" s="791" t="s">
        <v>53</v>
      </c>
      <c r="H94" s="791" t="s">
        <v>30</v>
      </c>
      <c r="I94" s="792" t="s">
        <v>1968</v>
      </c>
      <c r="J94" s="792" t="s">
        <v>186</v>
      </c>
      <c r="K94" s="793" t="s">
        <v>174</v>
      </c>
      <c r="L94" s="790">
        <v>2016</v>
      </c>
      <c r="M94" s="794">
        <v>371293.58326287294</v>
      </c>
      <c r="N94" s="795" t="s">
        <v>59</v>
      </c>
      <c r="O94" s="795" t="s">
        <v>59</v>
      </c>
      <c r="P94" s="796">
        <v>349439.29916558019</v>
      </c>
      <c r="Q94" s="796">
        <v>99843.581838185171</v>
      </c>
      <c r="R94" s="796">
        <v>200510.07670012189</v>
      </c>
      <c r="S94" s="796">
        <v>120004.51135934365</v>
      </c>
      <c r="T94" s="796">
        <v>120004.51135934365</v>
      </c>
      <c r="U94" s="796">
        <v>120004.51135934365</v>
      </c>
      <c r="V94" s="796">
        <v>360013.53407803096</v>
      </c>
      <c r="W94" s="796">
        <v>254537.86754538078</v>
      </c>
      <c r="X94" s="796">
        <v>447181.16146424651</v>
      </c>
      <c r="Y94" s="741">
        <v>120004.51135934365</v>
      </c>
      <c r="Z94" s="741">
        <v>120004.51135934365</v>
      </c>
      <c r="AA94" s="741">
        <v>120004.51135934365</v>
      </c>
      <c r="AB94" s="741">
        <v>360013.53407803096</v>
      </c>
      <c r="AC94" s="741">
        <v>254537.86754538078</v>
      </c>
      <c r="AD94" s="741">
        <v>2029611.2909535102</v>
      </c>
      <c r="AE94" s="741" t="s">
        <v>59</v>
      </c>
      <c r="AF94" s="741" t="s">
        <v>59</v>
      </c>
      <c r="AG94" s="798" t="s">
        <v>1969</v>
      </c>
      <c r="AH94" s="798" t="s">
        <v>2160</v>
      </c>
      <c r="AI94" s="798"/>
    </row>
    <row r="95" spans="1:35" ht="18.75" customHeight="1">
      <c r="A95" s="790">
        <v>90</v>
      </c>
      <c r="B95" s="790" t="s">
        <v>39</v>
      </c>
      <c r="C95" s="790" t="s">
        <v>40</v>
      </c>
      <c r="D95" s="790" t="s">
        <v>170</v>
      </c>
      <c r="E95" s="790" t="s">
        <v>187</v>
      </c>
      <c r="F95" s="791" t="s">
        <v>52</v>
      </c>
      <c r="G95" s="791" t="s">
        <v>53</v>
      </c>
      <c r="H95" s="791" t="s">
        <v>30</v>
      </c>
      <c r="I95" s="792" t="s">
        <v>1968</v>
      </c>
      <c r="J95" s="792" t="s">
        <v>1970</v>
      </c>
      <c r="K95" s="793" t="s">
        <v>174</v>
      </c>
      <c r="L95" s="790">
        <v>2016</v>
      </c>
      <c r="M95" s="794">
        <v>179.66311391256937</v>
      </c>
      <c r="N95" s="795" t="s">
        <v>59</v>
      </c>
      <c r="O95" s="795" t="s">
        <v>59</v>
      </c>
      <c r="P95" s="796">
        <v>3.2145977314806737</v>
      </c>
      <c r="Q95" s="796">
        <v>0</v>
      </c>
      <c r="R95" s="796">
        <v>612.81753846723996</v>
      </c>
      <c r="S95" s="796">
        <v>174.5346430703155</v>
      </c>
      <c r="T95" s="796">
        <v>174.5346430703155</v>
      </c>
      <c r="U95" s="796">
        <v>174.5346430703155</v>
      </c>
      <c r="V95" s="796">
        <v>523.60392921094649</v>
      </c>
      <c r="W95" s="796">
        <v>365.00843901273851</v>
      </c>
      <c r="X95" s="796">
        <v>473.23329797333901</v>
      </c>
      <c r="Y95" s="741">
        <v>174.5346430703155</v>
      </c>
      <c r="Z95" s="741">
        <v>174.5346430703155</v>
      </c>
      <c r="AA95" s="741">
        <v>174.5346430703155</v>
      </c>
      <c r="AB95" s="741">
        <v>523.60392921094649</v>
      </c>
      <c r="AC95" s="741">
        <v>365.00843901273851</v>
      </c>
      <c r="AD95" s="741">
        <v>380.4376865724069</v>
      </c>
      <c r="AE95" s="741" t="s">
        <v>59</v>
      </c>
      <c r="AF95" s="741" t="s">
        <v>59</v>
      </c>
      <c r="AG95" s="798" t="s">
        <v>2161</v>
      </c>
      <c r="AH95" s="798"/>
      <c r="AI95" s="798" t="s">
        <v>2162</v>
      </c>
    </row>
    <row r="96" spans="1:35" ht="18.75" customHeight="1">
      <c r="A96" s="790">
        <v>91</v>
      </c>
      <c r="B96" s="790" t="s">
        <v>39</v>
      </c>
      <c r="C96" s="790" t="s">
        <v>40</v>
      </c>
      <c r="D96" s="790" t="s">
        <v>170</v>
      </c>
      <c r="E96" s="790" t="s">
        <v>187</v>
      </c>
      <c r="F96" s="791" t="s">
        <v>55</v>
      </c>
      <c r="G96" s="791" t="s">
        <v>53</v>
      </c>
      <c r="H96" s="791" t="s">
        <v>30</v>
      </c>
      <c r="I96" s="792" t="s">
        <v>1968</v>
      </c>
      <c r="J96" s="792" t="s">
        <v>189</v>
      </c>
      <c r="K96" s="793" t="s">
        <v>174</v>
      </c>
      <c r="L96" s="790">
        <v>2016</v>
      </c>
      <c r="M96" s="794">
        <v>136.97370720813427</v>
      </c>
      <c r="N96" s="795" t="s">
        <v>59</v>
      </c>
      <c r="O96" s="795" t="s">
        <v>59</v>
      </c>
      <c r="P96" s="796">
        <v>2.4964126509166493</v>
      </c>
      <c r="Q96" s="796">
        <v>0</v>
      </c>
      <c r="R96" s="796">
        <v>466.77326383783571</v>
      </c>
      <c r="S96" s="796">
        <v>160.33782268484541</v>
      </c>
      <c r="T96" s="796">
        <v>160.33782268484541</v>
      </c>
      <c r="U96" s="796">
        <v>160.33782268484541</v>
      </c>
      <c r="V96" s="796">
        <v>481.01346805453625</v>
      </c>
      <c r="W96" s="796">
        <v>336.11153786023272</v>
      </c>
      <c r="X96" s="796">
        <v>317.6270806321217</v>
      </c>
      <c r="Y96" s="741">
        <v>160.33782268484541</v>
      </c>
      <c r="Z96" s="741">
        <v>160.33782268484541</v>
      </c>
      <c r="AA96" s="741">
        <v>160.33782268484541</v>
      </c>
      <c r="AB96" s="741">
        <v>481.01346805453625</v>
      </c>
      <c r="AC96" s="741">
        <v>336.11153786023272</v>
      </c>
      <c r="AD96" s="741">
        <v>276.13149284606186</v>
      </c>
      <c r="AE96" s="741" t="s">
        <v>59</v>
      </c>
      <c r="AF96" s="741" t="s">
        <v>59</v>
      </c>
      <c r="AG96" s="798" t="s">
        <v>2161</v>
      </c>
      <c r="AH96" s="798"/>
      <c r="AI96" s="798" t="s">
        <v>2162</v>
      </c>
    </row>
    <row r="97" spans="1:35" ht="18.75" customHeight="1">
      <c r="A97" s="790">
        <v>92</v>
      </c>
      <c r="B97" s="790" t="s">
        <v>39</v>
      </c>
      <c r="C97" s="790" t="s">
        <v>40</v>
      </c>
      <c r="D97" s="790" t="s">
        <v>170</v>
      </c>
      <c r="E97" s="790" t="s">
        <v>187</v>
      </c>
      <c r="F97" s="791" t="s">
        <v>56</v>
      </c>
      <c r="G97" s="791" t="s">
        <v>53</v>
      </c>
      <c r="H97" s="791" t="s">
        <v>30</v>
      </c>
      <c r="I97" s="792" t="s">
        <v>1968</v>
      </c>
      <c r="J97" s="792" t="s">
        <v>190</v>
      </c>
      <c r="K97" s="793" t="s">
        <v>174</v>
      </c>
      <c r="L97" s="790">
        <v>2016</v>
      </c>
      <c r="M97" s="794">
        <v>964484.10927345138</v>
      </c>
      <c r="N97" s="795" t="s">
        <v>59</v>
      </c>
      <c r="O97" s="795" t="s">
        <v>59</v>
      </c>
      <c r="P97" s="796">
        <v>75731.238205650938</v>
      </c>
      <c r="Q97" s="796">
        <v>0</v>
      </c>
      <c r="R97" s="796">
        <v>1505805.4656984</v>
      </c>
      <c r="S97" s="796">
        <v>355277.37744197831</v>
      </c>
      <c r="T97" s="796">
        <v>355277.37744197831</v>
      </c>
      <c r="U97" s="796">
        <v>355277.37744197831</v>
      </c>
      <c r="V97" s="796">
        <v>1065832.1323259349</v>
      </c>
      <c r="W97" s="796">
        <v>734235.62294937449</v>
      </c>
      <c r="X97" s="796">
        <v>894302.95553985599</v>
      </c>
      <c r="Y97" s="741">
        <v>355277.37744197831</v>
      </c>
      <c r="Z97" s="741">
        <v>355277.37744197831</v>
      </c>
      <c r="AA97" s="741">
        <v>355277.37744197831</v>
      </c>
      <c r="AB97" s="741">
        <v>1065832.1323259349</v>
      </c>
      <c r="AC97" s="741">
        <v>734235.62294937449</v>
      </c>
      <c r="AD97" s="741">
        <v>734784.67935567826</v>
      </c>
      <c r="AE97" s="741" t="s">
        <v>59</v>
      </c>
      <c r="AF97" s="741" t="s">
        <v>59</v>
      </c>
      <c r="AG97" s="798" t="s">
        <v>2161</v>
      </c>
      <c r="AH97" s="798"/>
      <c r="AI97" s="798" t="s">
        <v>2162</v>
      </c>
    </row>
    <row r="98" spans="1:35" ht="18.75" customHeight="1">
      <c r="A98" s="790">
        <v>93</v>
      </c>
      <c r="B98" s="790" t="s">
        <v>39</v>
      </c>
      <c r="C98" s="790" t="s">
        <v>40</v>
      </c>
      <c r="D98" s="790" t="s">
        <v>170</v>
      </c>
      <c r="E98" s="790" t="s">
        <v>187</v>
      </c>
      <c r="F98" s="791" t="s">
        <v>57</v>
      </c>
      <c r="G98" s="791" t="s">
        <v>53</v>
      </c>
      <c r="H98" s="791" t="s">
        <v>30</v>
      </c>
      <c r="I98" s="792" t="s">
        <v>1968</v>
      </c>
      <c r="J98" s="792" t="s">
        <v>191</v>
      </c>
      <c r="K98" s="793" t="s">
        <v>174</v>
      </c>
      <c r="L98" s="790">
        <v>2016</v>
      </c>
      <c r="M98" s="794">
        <v>695274.22810670407</v>
      </c>
      <c r="N98" s="795" t="s">
        <v>59</v>
      </c>
      <c r="O98" s="795" t="s">
        <v>59</v>
      </c>
      <c r="P98" s="796">
        <v>51888.273623867812</v>
      </c>
      <c r="Q98" s="796">
        <v>0</v>
      </c>
      <c r="R98" s="796">
        <v>996265.9581351541</v>
      </c>
      <c r="S98" s="796">
        <v>268986.22670601611</v>
      </c>
      <c r="T98" s="796">
        <v>268986.22670601611</v>
      </c>
      <c r="U98" s="796">
        <v>268986.22670601611</v>
      </c>
      <c r="V98" s="796">
        <v>806958.68011804833</v>
      </c>
      <c r="W98" s="796">
        <v>556244.47470430972</v>
      </c>
      <c r="X98" s="796">
        <v>597915.3801314208</v>
      </c>
      <c r="Y98" s="741">
        <v>268986.22670601611</v>
      </c>
      <c r="Z98" s="741">
        <v>268986.22670601611</v>
      </c>
      <c r="AA98" s="741">
        <v>268986.22670601611</v>
      </c>
      <c r="AB98" s="741">
        <v>806958.68011804833</v>
      </c>
      <c r="AC98" s="741">
        <v>556244.47470430972</v>
      </c>
      <c r="AD98" s="741">
        <v>529642.82233990915</v>
      </c>
      <c r="AE98" s="741" t="s">
        <v>59</v>
      </c>
      <c r="AF98" s="741" t="s">
        <v>59</v>
      </c>
      <c r="AG98" s="798" t="s">
        <v>2161</v>
      </c>
      <c r="AH98" s="798"/>
      <c r="AI98" s="798" t="s">
        <v>2162</v>
      </c>
    </row>
    <row r="99" spans="1:35" ht="18.75" customHeight="1">
      <c r="A99" s="790">
        <v>94</v>
      </c>
      <c r="B99" s="790" t="s">
        <v>39</v>
      </c>
      <c r="C99" s="790" t="s">
        <v>40</v>
      </c>
      <c r="D99" s="790" t="s">
        <v>170</v>
      </c>
      <c r="E99" s="790" t="s">
        <v>187</v>
      </c>
      <c r="F99" s="791" t="s">
        <v>58</v>
      </c>
      <c r="G99" s="791" t="s">
        <v>53</v>
      </c>
      <c r="H99" s="791" t="s">
        <v>30</v>
      </c>
      <c r="I99" s="792" t="s">
        <v>1968</v>
      </c>
      <c r="J99" s="792" t="s">
        <v>192</v>
      </c>
      <c r="K99" s="793" t="s">
        <v>174</v>
      </c>
      <c r="L99" s="790">
        <v>2016</v>
      </c>
      <c r="M99" s="794">
        <v>8792.2766963747308</v>
      </c>
      <c r="N99" s="795" t="s">
        <v>59</v>
      </c>
      <c r="O99" s="795" t="s">
        <v>59</v>
      </c>
      <c r="P99" s="796">
        <v>340.85037339717735</v>
      </c>
      <c r="Q99" s="796">
        <v>0</v>
      </c>
      <c r="R99" s="796">
        <v>47831.746023068205</v>
      </c>
      <c r="S99" s="796">
        <v>4293.9608461887365</v>
      </c>
      <c r="T99" s="796">
        <v>4293.9608461887365</v>
      </c>
      <c r="U99" s="796">
        <v>4293.9608461887365</v>
      </c>
      <c r="V99" s="796">
        <v>12881.882538566209</v>
      </c>
      <c r="W99" s="796">
        <v>9284.2569544142261</v>
      </c>
      <c r="X99" s="796">
        <v>24000.382445871961</v>
      </c>
      <c r="Y99" s="741">
        <v>4293.9608461887365</v>
      </c>
      <c r="Z99" s="741">
        <v>4293.9608461887365</v>
      </c>
      <c r="AA99" s="741">
        <v>4293.9608461887365</v>
      </c>
      <c r="AB99" s="741">
        <v>12881.882538566209</v>
      </c>
      <c r="AC99" s="741">
        <v>9284.2569544142261</v>
      </c>
      <c r="AD99" s="741">
        <v>99922.819398759253</v>
      </c>
      <c r="AE99" s="741" t="s">
        <v>59</v>
      </c>
      <c r="AF99" s="741" t="s">
        <v>59</v>
      </c>
      <c r="AG99" s="798" t="s">
        <v>2161</v>
      </c>
      <c r="AH99" s="798"/>
      <c r="AI99" s="798" t="s">
        <v>2162</v>
      </c>
    </row>
    <row r="100" spans="1:35" ht="18.75" customHeight="1">
      <c r="A100" s="790">
        <v>95</v>
      </c>
      <c r="B100" s="790" t="s">
        <v>39</v>
      </c>
      <c r="C100" s="790" t="s">
        <v>40</v>
      </c>
      <c r="D100" s="790" t="s">
        <v>170</v>
      </c>
      <c r="E100" s="790" t="s">
        <v>187</v>
      </c>
      <c r="F100" s="791" t="s">
        <v>60</v>
      </c>
      <c r="G100" s="791" t="s">
        <v>53</v>
      </c>
      <c r="H100" s="791" t="s">
        <v>30</v>
      </c>
      <c r="I100" s="792" t="s">
        <v>1968</v>
      </c>
      <c r="J100" s="792" t="s">
        <v>193</v>
      </c>
      <c r="K100" s="793" t="s">
        <v>174</v>
      </c>
      <c r="L100" s="790">
        <v>2016</v>
      </c>
      <c r="M100" s="794">
        <v>5543.2893819244573</v>
      </c>
      <c r="N100" s="795" t="s">
        <v>59</v>
      </c>
      <c r="O100" s="795" t="s">
        <v>59</v>
      </c>
      <c r="P100" s="796">
        <v>246.90576695026056</v>
      </c>
      <c r="Q100" s="796">
        <v>0</v>
      </c>
      <c r="R100" s="796">
        <v>29610.004248709818</v>
      </c>
      <c r="S100" s="796">
        <v>3380.1587726482899</v>
      </c>
      <c r="T100" s="796">
        <v>3380.1587726482899</v>
      </c>
      <c r="U100" s="796">
        <v>3380.1587726482899</v>
      </c>
      <c r="V100" s="796">
        <v>10140.476317944869</v>
      </c>
      <c r="W100" s="796">
        <v>7169.5505128000968</v>
      </c>
      <c r="X100" s="796">
        <v>16742.97437430673</v>
      </c>
      <c r="Y100" s="741">
        <v>3380.1587726482899</v>
      </c>
      <c r="Z100" s="741">
        <v>3380.1587726482899</v>
      </c>
      <c r="AA100" s="741">
        <v>3380.1587726482899</v>
      </c>
      <c r="AB100" s="741">
        <v>10140.476317944869</v>
      </c>
      <c r="AC100" s="741">
        <v>7169.5505128000968</v>
      </c>
      <c r="AD100" s="741">
        <v>66405.244734060951</v>
      </c>
      <c r="AE100" s="741" t="s">
        <v>59</v>
      </c>
      <c r="AF100" s="741" t="s">
        <v>59</v>
      </c>
      <c r="AG100" s="798" t="s">
        <v>2161</v>
      </c>
      <c r="AH100" s="798"/>
      <c r="AI100" s="798" t="s">
        <v>2162</v>
      </c>
    </row>
    <row r="101" spans="1:35" ht="18.75" customHeight="1">
      <c r="A101" s="790">
        <v>96</v>
      </c>
      <c r="B101" s="790" t="s">
        <v>39</v>
      </c>
      <c r="C101" s="790" t="s">
        <v>40</v>
      </c>
      <c r="D101" s="790" t="s">
        <v>170</v>
      </c>
      <c r="E101" s="790" t="s">
        <v>187</v>
      </c>
      <c r="F101" s="791" t="s">
        <v>61</v>
      </c>
      <c r="G101" s="791" t="s">
        <v>53</v>
      </c>
      <c r="H101" s="791" t="s">
        <v>30</v>
      </c>
      <c r="I101" s="792" t="s">
        <v>1968</v>
      </c>
      <c r="J101" s="792" t="s">
        <v>194</v>
      </c>
      <c r="K101" s="793" t="s">
        <v>174</v>
      </c>
      <c r="L101" s="790">
        <v>2016</v>
      </c>
      <c r="M101" s="794">
        <v>1816.6152161294369</v>
      </c>
      <c r="N101" s="795" t="s">
        <v>59</v>
      </c>
      <c r="O101" s="795" t="s">
        <v>59</v>
      </c>
      <c r="P101" s="796">
        <v>22.772752313722378</v>
      </c>
      <c r="Q101" s="796">
        <v>0</v>
      </c>
      <c r="R101" s="796">
        <v>2334.8742633611901</v>
      </c>
      <c r="S101" s="796">
        <v>623.39482610131301</v>
      </c>
      <c r="T101" s="796">
        <v>623.39482610131301</v>
      </c>
      <c r="U101" s="796">
        <v>623.39482610131301</v>
      </c>
      <c r="V101" s="796">
        <v>1870.1844783039392</v>
      </c>
      <c r="W101" s="796">
        <v>1303.7203867440007</v>
      </c>
      <c r="X101" s="796">
        <v>1911.6941065122201</v>
      </c>
      <c r="Y101" s="741">
        <v>623.39482610131301</v>
      </c>
      <c r="Z101" s="741">
        <v>623.39482610131301</v>
      </c>
      <c r="AA101" s="741">
        <v>623.39482610131301</v>
      </c>
      <c r="AB101" s="741">
        <v>1870.1844783039392</v>
      </c>
      <c r="AC101" s="741">
        <v>1303.7203867440007</v>
      </c>
      <c r="AD101" s="741">
        <v>2459.6443148865246</v>
      </c>
      <c r="AE101" s="741" t="s">
        <v>59</v>
      </c>
      <c r="AF101" s="741" t="s">
        <v>59</v>
      </c>
      <c r="AG101" s="798" t="s">
        <v>2161</v>
      </c>
      <c r="AH101" s="798"/>
      <c r="AI101" s="798" t="s">
        <v>2162</v>
      </c>
    </row>
    <row r="102" spans="1:35" ht="18.75" customHeight="1">
      <c r="A102" s="790">
        <v>97</v>
      </c>
      <c r="B102" s="790" t="s">
        <v>39</v>
      </c>
      <c r="C102" s="790" t="s">
        <v>40</v>
      </c>
      <c r="D102" s="790" t="s">
        <v>170</v>
      </c>
      <c r="E102" s="790" t="s">
        <v>187</v>
      </c>
      <c r="F102" s="791" t="s">
        <v>62</v>
      </c>
      <c r="G102" s="791" t="s">
        <v>53</v>
      </c>
      <c r="H102" s="791" t="s">
        <v>30</v>
      </c>
      <c r="I102" s="792" t="s">
        <v>1968</v>
      </c>
      <c r="J102" s="792" t="s">
        <v>195</v>
      </c>
      <c r="K102" s="793" t="s">
        <v>174</v>
      </c>
      <c r="L102" s="790">
        <v>2016</v>
      </c>
      <c r="M102" s="794">
        <v>1316.9663351064876</v>
      </c>
      <c r="N102" s="795" t="s">
        <v>59</v>
      </c>
      <c r="O102" s="795" t="s">
        <v>59</v>
      </c>
      <c r="P102" s="796">
        <v>19.052256035260427</v>
      </c>
      <c r="Q102" s="796">
        <v>0</v>
      </c>
      <c r="R102" s="796">
        <v>1697.2428099729545</v>
      </c>
      <c r="S102" s="796">
        <v>460.40769340845327</v>
      </c>
      <c r="T102" s="796">
        <v>460.40769340845327</v>
      </c>
      <c r="U102" s="796">
        <v>460.40769340845327</v>
      </c>
      <c r="V102" s="796">
        <v>1381.2230802253598</v>
      </c>
      <c r="W102" s="796">
        <v>965.13932447720617</v>
      </c>
      <c r="X102" s="796">
        <v>1273.0910692480127</v>
      </c>
      <c r="Y102" s="741">
        <v>460.40769340845327</v>
      </c>
      <c r="Z102" s="741">
        <v>460.40769340845327</v>
      </c>
      <c r="AA102" s="741">
        <v>460.40769340845327</v>
      </c>
      <c r="AB102" s="741">
        <v>1381.2230802253598</v>
      </c>
      <c r="AC102" s="741">
        <v>965.13932447720617</v>
      </c>
      <c r="AD102" s="741">
        <v>1849.8460068207728</v>
      </c>
      <c r="AE102" s="741" t="s">
        <v>59</v>
      </c>
      <c r="AF102" s="741" t="s">
        <v>59</v>
      </c>
      <c r="AG102" s="798" t="s">
        <v>2161</v>
      </c>
      <c r="AH102" s="798"/>
      <c r="AI102" s="798" t="s">
        <v>2162</v>
      </c>
    </row>
    <row r="103" spans="1:35" ht="18.75" customHeight="1">
      <c r="A103" s="790">
        <v>98</v>
      </c>
      <c r="B103" s="790" t="s">
        <v>39</v>
      </c>
      <c r="C103" s="790" t="s">
        <v>40</v>
      </c>
      <c r="D103" s="790" t="s">
        <v>170</v>
      </c>
      <c r="E103" s="790" t="s">
        <v>187</v>
      </c>
      <c r="F103" s="791" t="s">
        <v>63</v>
      </c>
      <c r="G103" s="791" t="s">
        <v>53</v>
      </c>
      <c r="H103" s="791" t="s">
        <v>30</v>
      </c>
      <c r="I103" s="792" t="s">
        <v>1968</v>
      </c>
      <c r="J103" s="792" t="s">
        <v>196</v>
      </c>
      <c r="K103" s="793" t="s">
        <v>174</v>
      </c>
      <c r="L103" s="790">
        <v>2016</v>
      </c>
      <c r="M103" s="794">
        <v>10981626.05236597</v>
      </c>
      <c r="N103" s="795" t="s">
        <v>59</v>
      </c>
      <c r="O103" s="795" t="s">
        <v>59</v>
      </c>
      <c r="P103" s="796">
        <v>931764.26533041103</v>
      </c>
      <c r="Q103" s="796">
        <v>0</v>
      </c>
      <c r="R103" s="796">
        <v>9862738.1381028295</v>
      </c>
      <c r="S103" s="796">
        <v>2972230.6794489478</v>
      </c>
      <c r="T103" s="796">
        <v>2972230.6794489478</v>
      </c>
      <c r="U103" s="796">
        <v>2972230.6794489478</v>
      </c>
      <c r="V103" s="796">
        <v>8916692.0383468438</v>
      </c>
      <c r="W103" s="796">
        <v>6142574.1773576429</v>
      </c>
      <c r="X103" s="796">
        <v>4947734.3823678801</v>
      </c>
      <c r="Y103" s="741">
        <v>2972230.6794489478</v>
      </c>
      <c r="Z103" s="741">
        <v>2972230.6794489478</v>
      </c>
      <c r="AA103" s="741">
        <v>2972230.6794489478</v>
      </c>
      <c r="AB103" s="741">
        <v>8916692.0383468438</v>
      </c>
      <c r="AC103" s="741">
        <v>6142574.1773576429</v>
      </c>
      <c r="AD103" s="741">
        <v>5040107.4109395761</v>
      </c>
      <c r="AE103" s="741" t="s">
        <v>59</v>
      </c>
      <c r="AF103" s="741" t="s">
        <v>59</v>
      </c>
      <c r="AG103" s="798" t="s">
        <v>2161</v>
      </c>
      <c r="AH103" s="798"/>
      <c r="AI103" s="798" t="s">
        <v>2162</v>
      </c>
    </row>
    <row r="104" spans="1:35" ht="18.75" customHeight="1">
      <c r="A104" s="790">
        <v>99</v>
      </c>
      <c r="B104" s="790" t="s">
        <v>39</v>
      </c>
      <c r="C104" s="790" t="s">
        <v>40</v>
      </c>
      <c r="D104" s="790" t="s">
        <v>170</v>
      </c>
      <c r="E104" s="790" t="s">
        <v>187</v>
      </c>
      <c r="F104" s="791" t="s">
        <v>64</v>
      </c>
      <c r="G104" s="791" t="s">
        <v>53</v>
      </c>
      <c r="H104" s="791" t="s">
        <v>30</v>
      </c>
      <c r="I104" s="792" t="s">
        <v>1968</v>
      </c>
      <c r="J104" s="792" t="s">
        <v>197</v>
      </c>
      <c r="K104" s="793" t="s">
        <v>174</v>
      </c>
      <c r="L104" s="790">
        <v>2016</v>
      </c>
      <c r="M104" s="794">
        <v>7486838.00215948</v>
      </c>
      <c r="N104" s="795" t="s">
        <v>59</v>
      </c>
      <c r="O104" s="795" t="s">
        <v>59</v>
      </c>
      <c r="P104" s="796">
        <v>629953.80776272097</v>
      </c>
      <c r="Q104" s="796">
        <v>0</v>
      </c>
      <c r="R104" s="796">
        <v>6193583.0252720006</v>
      </c>
      <c r="S104" s="796">
        <v>1861331.1601241818</v>
      </c>
      <c r="T104" s="796">
        <v>1861331.1601241818</v>
      </c>
      <c r="U104" s="796">
        <v>1861331.1601241818</v>
      </c>
      <c r="V104" s="796">
        <v>5583993.4803725453</v>
      </c>
      <c r="W104" s="796">
        <v>3849101.0714299981</v>
      </c>
      <c r="X104" s="796">
        <v>3292261.1533036013</v>
      </c>
      <c r="Y104" s="741">
        <v>1861331.1601241818</v>
      </c>
      <c r="Z104" s="741">
        <v>1861331.1601241818</v>
      </c>
      <c r="AA104" s="741">
        <v>1861331.1601241818</v>
      </c>
      <c r="AB104" s="741">
        <v>5583993.4803725453</v>
      </c>
      <c r="AC104" s="741">
        <v>3849101.0714299981</v>
      </c>
      <c r="AD104" s="741">
        <v>3790112.9030206748</v>
      </c>
      <c r="AE104" s="741" t="s">
        <v>59</v>
      </c>
      <c r="AF104" s="741" t="s">
        <v>59</v>
      </c>
      <c r="AG104" s="798" t="s">
        <v>2161</v>
      </c>
      <c r="AH104" s="798"/>
      <c r="AI104" s="798" t="s">
        <v>2162</v>
      </c>
    </row>
    <row r="105" spans="1:35" ht="18.75" customHeight="1">
      <c r="A105" s="790">
        <v>100</v>
      </c>
      <c r="B105" s="790" t="s">
        <v>39</v>
      </c>
      <c r="C105" s="790" t="s">
        <v>40</v>
      </c>
      <c r="D105" s="790" t="s">
        <v>170</v>
      </c>
      <c r="E105" s="790" t="s">
        <v>187</v>
      </c>
      <c r="F105" s="791" t="s">
        <v>65</v>
      </c>
      <c r="G105" s="791" t="s">
        <v>53</v>
      </c>
      <c r="H105" s="791" t="s">
        <v>30</v>
      </c>
      <c r="I105" s="792" t="s">
        <v>1968</v>
      </c>
      <c r="J105" s="792" t="s">
        <v>198</v>
      </c>
      <c r="K105" s="793" t="s">
        <v>174</v>
      </c>
      <c r="L105" s="790">
        <v>2016</v>
      </c>
      <c r="M105" s="794">
        <v>89746.586656676416</v>
      </c>
      <c r="N105" s="795" t="s">
        <v>59</v>
      </c>
      <c r="O105" s="795" t="s">
        <v>59</v>
      </c>
      <c r="P105" s="796">
        <v>-288.13398167120465</v>
      </c>
      <c r="Q105" s="796">
        <v>0</v>
      </c>
      <c r="R105" s="796">
        <v>491198.30008748802</v>
      </c>
      <c r="S105" s="796">
        <v>16648.784203600502</v>
      </c>
      <c r="T105" s="796">
        <v>16648.784203600502</v>
      </c>
      <c r="U105" s="796">
        <v>16648.784203600502</v>
      </c>
      <c r="V105" s="796">
        <v>49946.352610801507</v>
      </c>
      <c r="W105" s="796">
        <v>35997.438277066591</v>
      </c>
      <c r="X105" s="796">
        <v>174837.23265558452</v>
      </c>
      <c r="Y105" s="741">
        <v>16648.784203600502</v>
      </c>
      <c r="Z105" s="741">
        <v>16648.784203600502</v>
      </c>
      <c r="AA105" s="741">
        <v>16648.784203600502</v>
      </c>
      <c r="AB105" s="741">
        <v>49946.352610801507</v>
      </c>
      <c r="AC105" s="741">
        <v>35997.438277066591</v>
      </c>
      <c r="AD105" s="741">
        <v>519048.23540548346</v>
      </c>
      <c r="AE105" s="741" t="s">
        <v>59</v>
      </c>
      <c r="AF105" s="741" t="s">
        <v>59</v>
      </c>
      <c r="AG105" s="798" t="s">
        <v>2161</v>
      </c>
      <c r="AH105" s="798"/>
      <c r="AI105" s="798" t="s">
        <v>2162</v>
      </c>
    </row>
    <row r="106" spans="1:35" ht="18.75" customHeight="1">
      <c r="A106" s="790">
        <v>101</v>
      </c>
      <c r="B106" s="790" t="s">
        <v>39</v>
      </c>
      <c r="C106" s="790" t="s">
        <v>40</v>
      </c>
      <c r="D106" s="790" t="s">
        <v>170</v>
      </c>
      <c r="E106" s="790" t="s">
        <v>187</v>
      </c>
      <c r="F106" s="791" t="s">
        <v>66</v>
      </c>
      <c r="G106" s="791" t="s">
        <v>53</v>
      </c>
      <c r="H106" s="791" t="s">
        <v>30</v>
      </c>
      <c r="I106" s="792" t="s">
        <v>1968</v>
      </c>
      <c r="J106" s="792" t="s">
        <v>199</v>
      </c>
      <c r="K106" s="793" t="s">
        <v>174</v>
      </c>
      <c r="L106" s="790">
        <v>2016</v>
      </c>
      <c r="M106" s="794">
        <v>63474.740110751896</v>
      </c>
      <c r="N106" s="795" t="s">
        <v>59</v>
      </c>
      <c r="O106" s="795" t="s">
        <v>59</v>
      </c>
      <c r="P106" s="796">
        <v>-432.3494416749736</v>
      </c>
      <c r="Q106" s="796">
        <v>0</v>
      </c>
      <c r="R106" s="796">
        <v>300691.72016428836</v>
      </c>
      <c r="S106" s="796">
        <v>10238.98588130885</v>
      </c>
      <c r="T106" s="796">
        <v>10238.98588130885</v>
      </c>
      <c r="U106" s="796">
        <v>10238.98588130885</v>
      </c>
      <c r="V106" s="796">
        <v>30716.957643926551</v>
      </c>
      <c r="W106" s="796">
        <v>21717.597134757172</v>
      </c>
      <c r="X106" s="796">
        <v>117291.16209752079</v>
      </c>
      <c r="Y106" s="741">
        <v>10238.98588130885</v>
      </c>
      <c r="Z106" s="741">
        <v>10238.98588130885</v>
      </c>
      <c r="AA106" s="741">
        <v>10238.98588130885</v>
      </c>
      <c r="AB106" s="741">
        <v>30716.957643926551</v>
      </c>
      <c r="AC106" s="741">
        <v>21717.597134757172</v>
      </c>
      <c r="AD106" s="741">
        <v>345284.15011361399</v>
      </c>
      <c r="AE106" s="741" t="s">
        <v>59</v>
      </c>
      <c r="AF106" s="741" t="s">
        <v>59</v>
      </c>
      <c r="AG106" s="798" t="s">
        <v>2161</v>
      </c>
      <c r="AH106" s="798"/>
      <c r="AI106" s="798" t="s">
        <v>2162</v>
      </c>
    </row>
    <row r="107" spans="1:35" ht="18.75" customHeight="1">
      <c r="A107" s="790">
        <v>102</v>
      </c>
      <c r="B107" s="790" t="s">
        <v>39</v>
      </c>
      <c r="C107" s="790" t="s">
        <v>40</v>
      </c>
      <c r="D107" s="790" t="s">
        <v>170</v>
      </c>
      <c r="E107" s="790" t="s">
        <v>200</v>
      </c>
      <c r="F107" s="791" t="s">
        <v>52</v>
      </c>
      <c r="G107" s="791" t="s">
        <v>53</v>
      </c>
      <c r="H107" s="791" t="s">
        <v>30</v>
      </c>
      <c r="I107" s="792" t="s">
        <v>1968</v>
      </c>
      <c r="J107" s="792" t="s">
        <v>201</v>
      </c>
      <c r="K107" s="793" t="s">
        <v>174</v>
      </c>
      <c r="L107" s="790">
        <v>2016</v>
      </c>
      <c r="M107" s="794">
        <v>2.2948559936257622</v>
      </c>
      <c r="N107" s="795" t="s">
        <v>59</v>
      </c>
      <c r="O107" s="795" t="s">
        <v>59</v>
      </c>
      <c r="P107" s="796">
        <v>759.07662427382411</v>
      </c>
      <c r="Q107" s="796">
        <v>532.70939885066502</v>
      </c>
      <c r="R107" s="796">
        <v>295.83382005334192</v>
      </c>
      <c r="S107" s="796">
        <v>2220.1419717380322</v>
      </c>
      <c r="T107" s="796">
        <v>2220.1419717380322</v>
      </c>
      <c r="U107" s="796">
        <v>2220.1419717380322</v>
      </c>
      <c r="V107" s="796">
        <v>6660.4259152140967</v>
      </c>
      <c r="W107" s="796">
        <v>4643.035567238564</v>
      </c>
      <c r="X107" s="796">
        <v>44.203631837464549</v>
      </c>
      <c r="Y107" s="741">
        <v>2220.1419717380322</v>
      </c>
      <c r="Z107" s="741">
        <v>2220.1419717380322</v>
      </c>
      <c r="AA107" s="741">
        <v>2220.1419717380322</v>
      </c>
      <c r="AB107" s="741">
        <v>6660.4259152140967</v>
      </c>
      <c r="AC107" s="741">
        <v>4643.035567238564</v>
      </c>
      <c r="AD107" s="741">
        <v>3.8511714363621001</v>
      </c>
      <c r="AE107" s="741" t="s">
        <v>59</v>
      </c>
      <c r="AF107" s="741" t="s">
        <v>59</v>
      </c>
      <c r="AG107" s="798" t="s">
        <v>2161</v>
      </c>
      <c r="AH107" s="798"/>
      <c r="AI107" s="798" t="s">
        <v>2162</v>
      </c>
    </row>
    <row r="108" spans="1:35" ht="18.75" customHeight="1">
      <c r="A108" s="790">
        <v>103</v>
      </c>
      <c r="B108" s="790" t="s">
        <v>39</v>
      </c>
      <c r="C108" s="790" t="s">
        <v>40</v>
      </c>
      <c r="D108" s="790" t="s">
        <v>170</v>
      </c>
      <c r="E108" s="790" t="s">
        <v>200</v>
      </c>
      <c r="F108" s="791" t="s">
        <v>55</v>
      </c>
      <c r="G108" s="791" t="s">
        <v>53</v>
      </c>
      <c r="H108" s="791" t="s">
        <v>30</v>
      </c>
      <c r="I108" s="792" t="s">
        <v>1968</v>
      </c>
      <c r="J108" s="792" t="s">
        <v>202</v>
      </c>
      <c r="K108" s="793" t="s">
        <v>174</v>
      </c>
      <c r="L108" s="790">
        <v>2016</v>
      </c>
      <c r="M108" s="794">
        <v>1.8141154684596772</v>
      </c>
      <c r="N108" s="795" t="s">
        <v>59</v>
      </c>
      <c r="O108" s="795" t="s">
        <v>59</v>
      </c>
      <c r="P108" s="796">
        <v>549.99555323302025</v>
      </c>
      <c r="Q108" s="796">
        <v>404.66758912006918</v>
      </c>
      <c r="R108" s="796">
        <v>239.66784916986686</v>
      </c>
      <c r="S108" s="796">
        <v>2039.5534292656355</v>
      </c>
      <c r="T108" s="796">
        <v>2039.5534292656355</v>
      </c>
      <c r="U108" s="796">
        <v>2039.5534292656355</v>
      </c>
      <c r="V108" s="796">
        <v>6118.6602877969062</v>
      </c>
      <c r="W108" s="796">
        <v>4275.4568334510441</v>
      </c>
      <c r="X108" s="796">
        <v>26.522179629427182</v>
      </c>
      <c r="Y108" s="741">
        <v>2039.5534292656355</v>
      </c>
      <c r="Z108" s="741">
        <v>2039.5534292656355</v>
      </c>
      <c r="AA108" s="741">
        <v>2039.5534292656355</v>
      </c>
      <c r="AB108" s="741">
        <v>6118.6602877969062</v>
      </c>
      <c r="AC108" s="741">
        <v>4275.4568334510441</v>
      </c>
      <c r="AD108" s="741">
        <v>2.3336229086375644</v>
      </c>
      <c r="AE108" s="741" t="s">
        <v>59</v>
      </c>
      <c r="AF108" s="741" t="s">
        <v>59</v>
      </c>
      <c r="AG108" s="798" t="s">
        <v>2161</v>
      </c>
      <c r="AH108" s="798"/>
      <c r="AI108" s="798" t="s">
        <v>2162</v>
      </c>
    </row>
    <row r="109" spans="1:35" ht="18.75" customHeight="1">
      <c r="A109" s="790">
        <v>104</v>
      </c>
      <c r="B109" s="790" t="s">
        <v>39</v>
      </c>
      <c r="C109" s="790" t="s">
        <v>40</v>
      </c>
      <c r="D109" s="790" t="s">
        <v>170</v>
      </c>
      <c r="E109" s="790" t="s">
        <v>200</v>
      </c>
      <c r="F109" s="791" t="s">
        <v>56</v>
      </c>
      <c r="G109" s="791" t="s">
        <v>53</v>
      </c>
      <c r="H109" s="791" t="s">
        <v>30</v>
      </c>
      <c r="I109" s="792" t="s">
        <v>1968</v>
      </c>
      <c r="J109" s="792" t="s">
        <v>203</v>
      </c>
      <c r="K109" s="793" t="s">
        <v>174</v>
      </c>
      <c r="L109" s="790">
        <v>2016</v>
      </c>
      <c r="M109" s="794">
        <v>9437.3598381299926</v>
      </c>
      <c r="N109" s="795" t="s">
        <v>59</v>
      </c>
      <c r="O109" s="795" t="s">
        <v>59</v>
      </c>
      <c r="P109" s="796">
        <v>7483086.972370836</v>
      </c>
      <c r="Q109" s="796">
        <v>1810305.6616795</v>
      </c>
      <c r="R109" s="796">
        <v>945388.48241063219</v>
      </c>
      <c r="S109" s="796">
        <v>4519253.0456556836</v>
      </c>
      <c r="T109" s="796">
        <v>4519253.0456556836</v>
      </c>
      <c r="U109" s="796">
        <v>4519253.0456556836</v>
      </c>
      <c r="V109" s="796">
        <v>13557759.136967052</v>
      </c>
      <c r="W109" s="796">
        <v>9339735.0519025531</v>
      </c>
      <c r="X109" s="796">
        <v>142106.93686552515</v>
      </c>
      <c r="Y109" s="741">
        <v>4519253.0456556836</v>
      </c>
      <c r="Z109" s="741">
        <v>4519253.0456556836</v>
      </c>
      <c r="AA109" s="741">
        <v>4519253.0456556836</v>
      </c>
      <c r="AB109" s="741">
        <v>13557759.136967052</v>
      </c>
      <c r="AC109" s="741">
        <v>9339735.0519025531</v>
      </c>
      <c r="AD109" s="741">
        <v>101612.7068885472</v>
      </c>
      <c r="AE109" s="741" t="s">
        <v>59</v>
      </c>
      <c r="AF109" s="741" t="s">
        <v>59</v>
      </c>
      <c r="AG109" s="798" t="s">
        <v>2161</v>
      </c>
      <c r="AH109" s="798"/>
      <c r="AI109" s="798" t="s">
        <v>2162</v>
      </c>
    </row>
    <row r="110" spans="1:35" ht="18.75" customHeight="1">
      <c r="A110" s="790">
        <v>105</v>
      </c>
      <c r="B110" s="790" t="s">
        <v>39</v>
      </c>
      <c r="C110" s="790" t="s">
        <v>40</v>
      </c>
      <c r="D110" s="790" t="s">
        <v>170</v>
      </c>
      <c r="E110" s="790" t="s">
        <v>200</v>
      </c>
      <c r="F110" s="791" t="s">
        <v>57</v>
      </c>
      <c r="G110" s="791" t="s">
        <v>53</v>
      </c>
      <c r="H110" s="791" t="s">
        <v>30</v>
      </c>
      <c r="I110" s="792" t="s">
        <v>1968</v>
      </c>
      <c r="J110" s="792" t="s">
        <v>204</v>
      </c>
      <c r="K110" s="793" t="s">
        <v>174</v>
      </c>
      <c r="L110" s="790">
        <v>2016</v>
      </c>
      <c r="M110" s="794">
        <v>7067.957955825831</v>
      </c>
      <c r="N110" s="795" t="s">
        <v>59</v>
      </c>
      <c r="O110" s="795" t="s">
        <v>59</v>
      </c>
      <c r="P110" s="796">
        <v>5348025.2220682688</v>
      </c>
      <c r="Q110" s="796">
        <v>1229103.758879758</v>
      </c>
      <c r="R110" s="796">
        <v>683328.81799301051</v>
      </c>
      <c r="S110" s="796">
        <v>3421599.2952692867</v>
      </c>
      <c r="T110" s="796">
        <v>3421599.2952692867</v>
      </c>
      <c r="U110" s="796">
        <v>3421599.2952692867</v>
      </c>
      <c r="V110" s="796">
        <v>10264797.885807861</v>
      </c>
      <c r="W110" s="796">
        <v>7075625.1201137546</v>
      </c>
      <c r="X110" s="796">
        <v>85264.163813361665</v>
      </c>
      <c r="Y110" s="741">
        <v>3421599.2952692867</v>
      </c>
      <c r="Z110" s="741">
        <v>3421599.2952692867</v>
      </c>
      <c r="AA110" s="741">
        <v>3421599.2952692867</v>
      </c>
      <c r="AB110" s="741">
        <v>10264797.885807861</v>
      </c>
      <c r="AC110" s="741">
        <v>7075625.1201137546</v>
      </c>
      <c r="AD110" s="741">
        <v>62569.561244542812</v>
      </c>
      <c r="AE110" s="741" t="s">
        <v>59</v>
      </c>
      <c r="AF110" s="741" t="s">
        <v>59</v>
      </c>
      <c r="AG110" s="798" t="s">
        <v>2161</v>
      </c>
      <c r="AH110" s="798"/>
      <c r="AI110" s="798" t="s">
        <v>2162</v>
      </c>
    </row>
    <row r="111" spans="1:35" ht="18.75" customHeight="1">
      <c r="A111" s="790">
        <v>106</v>
      </c>
      <c r="B111" s="790" t="s">
        <v>39</v>
      </c>
      <c r="C111" s="790" t="s">
        <v>40</v>
      </c>
      <c r="D111" s="790" t="s">
        <v>170</v>
      </c>
      <c r="E111" s="790" t="s">
        <v>200</v>
      </c>
      <c r="F111" s="791" t="s">
        <v>58</v>
      </c>
      <c r="G111" s="791" t="s">
        <v>53</v>
      </c>
      <c r="H111" s="791" t="s">
        <v>30</v>
      </c>
      <c r="I111" s="792" t="s">
        <v>1968</v>
      </c>
      <c r="J111" s="792" t="s">
        <v>205</v>
      </c>
      <c r="K111" s="793" t="s">
        <v>174</v>
      </c>
      <c r="L111" s="790">
        <v>2016</v>
      </c>
      <c r="M111" s="794">
        <v>347.53545859703235</v>
      </c>
      <c r="N111" s="795" t="s">
        <v>59</v>
      </c>
      <c r="O111" s="795" t="s">
        <v>59</v>
      </c>
      <c r="P111" s="796">
        <v>62430.278941530822</v>
      </c>
      <c r="Q111" s="796">
        <v>183358.90166458068</v>
      </c>
      <c r="R111" s="796">
        <v>15979.783781101989</v>
      </c>
      <c r="S111" s="796">
        <v>54620.690379403299</v>
      </c>
      <c r="T111" s="796">
        <v>54620.690379403299</v>
      </c>
      <c r="U111" s="796">
        <v>54620.690379403299</v>
      </c>
      <c r="V111" s="796">
        <v>163862.0711382099</v>
      </c>
      <c r="W111" s="796">
        <v>118099.00990596776</v>
      </c>
      <c r="X111" s="796">
        <v>5203.5126562540627</v>
      </c>
      <c r="Y111" s="741">
        <v>54620.690379403299</v>
      </c>
      <c r="Z111" s="741">
        <v>54620.690379403299</v>
      </c>
      <c r="AA111" s="741">
        <v>54620.690379403299</v>
      </c>
      <c r="AB111" s="741">
        <v>163862.0711382099</v>
      </c>
      <c r="AC111" s="741">
        <v>118099.00990596776</v>
      </c>
      <c r="AD111" s="741">
        <v>1103036.3876590251</v>
      </c>
      <c r="AE111" s="741" t="s">
        <v>59</v>
      </c>
      <c r="AF111" s="741" t="s">
        <v>59</v>
      </c>
      <c r="AG111" s="798" t="s">
        <v>2161</v>
      </c>
      <c r="AH111" s="798"/>
      <c r="AI111" s="798" t="s">
        <v>2162</v>
      </c>
    </row>
    <row r="112" spans="1:35" ht="18.75" customHeight="1">
      <c r="A112" s="790">
        <v>107</v>
      </c>
      <c r="B112" s="790" t="s">
        <v>39</v>
      </c>
      <c r="C112" s="790" t="s">
        <v>40</v>
      </c>
      <c r="D112" s="790" t="s">
        <v>170</v>
      </c>
      <c r="E112" s="790" t="s">
        <v>200</v>
      </c>
      <c r="F112" s="791" t="s">
        <v>60</v>
      </c>
      <c r="G112" s="791" t="s">
        <v>53</v>
      </c>
      <c r="H112" s="791" t="s">
        <v>30</v>
      </c>
      <c r="I112" s="792" t="s">
        <v>1968</v>
      </c>
      <c r="J112" s="792" t="s">
        <v>206</v>
      </c>
      <c r="K112" s="793" t="s">
        <v>174</v>
      </c>
      <c r="L112" s="790">
        <v>2016</v>
      </c>
      <c r="M112" s="794">
        <v>205.89504009842426</v>
      </c>
      <c r="N112" s="795" t="s">
        <v>59</v>
      </c>
      <c r="O112" s="795" t="s">
        <v>59</v>
      </c>
      <c r="P112" s="796">
        <v>41800.438527461592</v>
      </c>
      <c r="Q112" s="796">
        <v>114802.08959769846</v>
      </c>
      <c r="R112" s="796">
        <v>10023.095131716365</v>
      </c>
      <c r="S112" s="796">
        <v>42996.806996486303</v>
      </c>
      <c r="T112" s="796">
        <v>42996.806996486303</v>
      </c>
      <c r="U112" s="796">
        <v>42996.806996486303</v>
      </c>
      <c r="V112" s="796">
        <v>128990.42098945891</v>
      </c>
      <c r="W112" s="796">
        <v>91199.201098149366</v>
      </c>
      <c r="X112" s="796">
        <v>3525.9652979913144</v>
      </c>
      <c r="Y112" s="741">
        <v>42996.806996486303</v>
      </c>
      <c r="Z112" s="741">
        <v>42996.806996486303</v>
      </c>
      <c r="AA112" s="741">
        <v>42996.806996486303</v>
      </c>
      <c r="AB112" s="741">
        <v>128990.42098945891</v>
      </c>
      <c r="AC112" s="741">
        <v>91199.201098149366</v>
      </c>
      <c r="AD112" s="741">
        <v>695116.59612550982</v>
      </c>
      <c r="AE112" s="741" t="s">
        <v>59</v>
      </c>
      <c r="AF112" s="741" t="s">
        <v>59</v>
      </c>
      <c r="AG112" s="798" t="s">
        <v>2161</v>
      </c>
      <c r="AH112" s="798"/>
      <c r="AI112" s="798" t="s">
        <v>2162</v>
      </c>
    </row>
    <row r="113" spans="1:35" ht="18.75" customHeight="1">
      <c r="A113" s="790">
        <v>108</v>
      </c>
      <c r="B113" s="790" t="s">
        <v>39</v>
      </c>
      <c r="C113" s="790" t="s">
        <v>40</v>
      </c>
      <c r="D113" s="790" t="s">
        <v>170</v>
      </c>
      <c r="E113" s="790" t="s">
        <v>200</v>
      </c>
      <c r="F113" s="791" t="s">
        <v>61</v>
      </c>
      <c r="G113" s="791" t="s">
        <v>53</v>
      </c>
      <c r="H113" s="791" t="s">
        <v>30</v>
      </c>
      <c r="I113" s="792" t="s">
        <v>1968</v>
      </c>
      <c r="J113" s="792" t="s">
        <v>207</v>
      </c>
      <c r="K113" s="793" t="s">
        <v>174</v>
      </c>
      <c r="L113" s="790">
        <v>2016</v>
      </c>
      <c r="M113" s="794">
        <v>21.021047825213778</v>
      </c>
      <c r="N113" s="795" t="s">
        <v>59</v>
      </c>
      <c r="O113" s="795" t="s">
        <v>59</v>
      </c>
      <c r="P113" s="796">
        <v>5467.4462053439074</v>
      </c>
      <c r="Q113" s="796">
        <v>3226.0769265078825</v>
      </c>
      <c r="R113" s="796">
        <v>927.19700802013165</v>
      </c>
      <c r="S113" s="796">
        <v>7929.8011789800885</v>
      </c>
      <c r="T113" s="796">
        <v>7929.8011789800885</v>
      </c>
      <c r="U113" s="796">
        <v>7929.8011789800885</v>
      </c>
      <c r="V113" s="796">
        <v>23789.403536940266</v>
      </c>
      <c r="W113" s="796">
        <v>16583.781300396615</v>
      </c>
      <c r="X113" s="796">
        <v>175.62397211619006</v>
      </c>
      <c r="Y113" s="741">
        <v>7929.8011789800885</v>
      </c>
      <c r="Z113" s="741">
        <v>7929.8011789800885</v>
      </c>
      <c r="AA113" s="741">
        <v>7929.8011789800885</v>
      </c>
      <c r="AB113" s="741">
        <v>23789.403536940266</v>
      </c>
      <c r="AC113" s="741">
        <v>16583.781300396615</v>
      </c>
      <c r="AD113" s="741">
        <v>14.635914309086299</v>
      </c>
      <c r="AE113" s="741" t="s">
        <v>59</v>
      </c>
      <c r="AF113" s="741" t="s">
        <v>59</v>
      </c>
      <c r="AG113" s="798" t="s">
        <v>2161</v>
      </c>
      <c r="AH113" s="798"/>
      <c r="AI113" s="798" t="s">
        <v>2162</v>
      </c>
    </row>
    <row r="114" spans="1:35" ht="18.75" customHeight="1">
      <c r="A114" s="790">
        <v>109</v>
      </c>
      <c r="B114" s="790" t="s">
        <v>39</v>
      </c>
      <c r="C114" s="790" t="s">
        <v>40</v>
      </c>
      <c r="D114" s="790" t="s">
        <v>170</v>
      </c>
      <c r="E114" s="790" t="s">
        <v>200</v>
      </c>
      <c r="F114" s="791" t="s">
        <v>62</v>
      </c>
      <c r="G114" s="791" t="s">
        <v>53</v>
      </c>
      <c r="H114" s="791" t="s">
        <v>30</v>
      </c>
      <c r="I114" s="792" t="s">
        <v>1968</v>
      </c>
      <c r="J114" s="792" t="s">
        <v>208</v>
      </c>
      <c r="K114" s="793" t="s">
        <v>174</v>
      </c>
      <c r="L114" s="790">
        <v>2016</v>
      </c>
      <c r="M114" s="794">
        <v>15.484829734260011</v>
      </c>
      <c r="N114" s="795" t="s">
        <v>59</v>
      </c>
      <c r="O114" s="795" t="s">
        <v>59</v>
      </c>
      <c r="P114" s="796">
        <v>4077.0401928630044</v>
      </c>
      <c r="Q114" s="796">
        <v>2224.0404643668626</v>
      </c>
      <c r="R114" s="796">
        <v>744.71766701418085</v>
      </c>
      <c r="S114" s="796">
        <v>5856.5475957423359</v>
      </c>
      <c r="T114" s="796">
        <v>5856.5475957423359</v>
      </c>
      <c r="U114" s="796">
        <v>5856.5475957423359</v>
      </c>
      <c r="V114" s="796">
        <v>17569.642787227007</v>
      </c>
      <c r="W114" s="796">
        <v>12276.91124898041</v>
      </c>
      <c r="X114" s="796">
        <v>105.37438536331554</v>
      </c>
      <c r="Y114" s="741">
        <v>5856.5475957423359</v>
      </c>
      <c r="Z114" s="741">
        <v>5856.5475957423359</v>
      </c>
      <c r="AA114" s="741">
        <v>5856.5475957423359</v>
      </c>
      <c r="AB114" s="741">
        <v>17569.642787227007</v>
      </c>
      <c r="AC114" s="741">
        <v>12276.91124898041</v>
      </c>
      <c r="AD114" s="741">
        <v>8.8961487644792818</v>
      </c>
      <c r="AE114" s="741" t="s">
        <v>59</v>
      </c>
      <c r="AF114" s="741" t="s">
        <v>59</v>
      </c>
      <c r="AG114" s="798" t="s">
        <v>2161</v>
      </c>
      <c r="AH114" s="798"/>
      <c r="AI114" s="798" t="s">
        <v>2162</v>
      </c>
    </row>
    <row r="115" spans="1:35" ht="18.75" customHeight="1">
      <c r="A115" s="790">
        <v>110</v>
      </c>
      <c r="B115" s="790" t="s">
        <v>39</v>
      </c>
      <c r="C115" s="790" t="s">
        <v>40</v>
      </c>
      <c r="D115" s="790" t="s">
        <v>170</v>
      </c>
      <c r="E115" s="790" t="s">
        <v>200</v>
      </c>
      <c r="F115" s="791" t="s">
        <v>63</v>
      </c>
      <c r="G115" s="791" t="s">
        <v>53</v>
      </c>
      <c r="H115" s="791" t="s">
        <v>30</v>
      </c>
      <c r="I115" s="792" t="s">
        <v>1968</v>
      </c>
      <c r="J115" s="792" t="s">
        <v>209</v>
      </c>
      <c r="K115" s="793" t="s">
        <v>174</v>
      </c>
      <c r="L115" s="790">
        <v>2016</v>
      </c>
      <c r="M115" s="794">
        <v>88531.347012777289</v>
      </c>
      <c r="N115" s="795" t="s">
        <v>59</v>
      </c>
      <c r="O115" s="795" t="s">
        <v>59</v>
      </c>
      <c r="P115" s="796">
        <v>90435276.594303176</v>
      </c>
      <c r="Q115" s="796">
        <v>15192873.811917851</v>
      </c>
      <c r="R115" s="796">
        <v>5200166.6123276148</v>
      </c>
      <c r="S115" s="796">
        <v>3419490.3110347735</v>
      </c>
      <c r="T115" s="796">
        <v>3419490.3110347735</v>
      </c>
      <c r="U115" s="796">
        <v>3419490.3110347735</v>
      </c>
      <c r="V115" s="796">
        <v>10258470.933104321</v>
      </c>
      <c r="W115" s="796">
        <v>7066905.3480670908</v>
      </c>
      <c r="X115" s="796">
        <v>872214.08680340752</v>
      </c>
      <c r="Y115" s="741">
        <v>3419490.3110347735</v>
      </c>
      <c r="Z115" s="741">
        <v>3419490.3110347735</v>
      </c>
      <c r="AA115" s="741">
        <v>3419490.3110347735</v>
      </c>
      <c r="AB115" s="741">
        <v>10258470.933104321</v>
      </c>
      <c r="AC115" s="741">
        <v>7066905.3480670908</v>
      </c>
      <c r="AD115" s="741">
        <v>508730.49386977201</v>
      </c>
      <c r="AE115" s="741" t="s">
        <v>59</v>
      </c>
      <c r="AF115" s="741" t="s">
        <v>59</v>
      </c>
      <c r="AG115" s="798" t="s">
        <v>2161</v>
      </c>
      <c r="AH115" s="798"/>
      <c r="AI115" s="798" t="s">
        <v>2162</v>
      </c>
    </row>
    <row r="116" spans="1:35" ht="18.75" customHeight="1">
      <c r="A116" s="790">
        <v>111</v>
      </c>
      <c r="B116" s="790" t="s">
        <v>39</v>
      </c>
      <c r="C116" s="790" t="s">
        <v>40</v>
      </c>
      <c r="D116" s="790" t="s">
        <v>170</v>
      </c>
      <c r="E116" s="790" t="s">
        <v>200</v>
      </c>
      <c r="F116" s="791" t="s">
        <v>64</v>
      </c>
      <c r="G116" s="791" t="s">
        <v>53</v>
      </c>
      <c r="H116" s="791" t="s">
        <v>30</v>
      </c>
      <c r="I116" s="792" t="s">
        <v>1968</v>
      </c>
      <c r="J116" s="792" t="s">
        <v>210</v>
      </c>
      <c r="K116" s="793" t="s">
        <v>174</v>
      </c>
      <c r="L116" s="790">
        <v>2016</v>
      </c>
      <c r="M116" s="794">
        <v>57968.140250054239</v>
      </c>
      <c r="N116" s="795" t="s">
        <v>59</v>
      </c>
      <c r="O116" s="795" t="s">
        <v>59</v>
      </c>
      <c r="P116" s="796">
        <v>63306957.689823508</v>
      </c>
      <c r="Q116" s="796">
        <v>9857099.3366330154</v>
      </c>
      <c r="R116" s="796">
        <v>3609567.1005901182</v>
      </c>
      <c r="S116" s="796">
        <v>23676786.219631448</v>
      </c>
      <c r="T116" s="796">
        <v>23676786.219631448</v>
      </c>
      <c r="U116" s="796">
        <v>23676786.219631448</v>
      </c>
      <c r="V116" s="796">
        <v>71030358.658894345</v>
      </c>
      <c r="W116" s="796">
        <v>48961917.770678833</v>
      </c>
      <c r="X116" s="796">
        <v>523328.46247964632</v>
      </c>
      <c r="Y116" s="741">
        <v>23676786.219631448</v>
      </c>
      <c r="Z116" s="741">
        <v>23676786.219631448</v>
      </c>
      <c r="AA116" s="741">
        <v>23676786.219631448</v>
      </c>
      <c r="AB116" s="741">
        <v>71030358.658894345</v>
      </c>
      <c r="AC116" s="741">
        <v>48961917.770678833</v>
      </c>
      <c r="AD116" s="741">
        <v>313639.69526830676</v>
      </c>
      <c r="AE116" s="741" t="s">
        <v>59</v>
      </c>
      <c r="AF116" s="741" t="s">
        <v>59</v>
      </c>
      <c r="AG116" s="798" t="s">
        <v>2161</v>
      </c>
      <c r="AH116" s="798"/>
      <c r="AI116" s="798" t="s">
        <v>2162</v>
      </c>
    </row>
    <row r="117" spans="1:35" ht="18.75" customHeight="1">
      <c r="A117" s="790">
        <v>112</v>
      </c>
      <c r="B117" s="790" t="s">
        <v>39</v>
      </c>
      <c r="C117" s="790" t="s">
        <v>40</v>
      </c>
      <c r="D117" s="790" t="s">
        <v>170</v>
      </c>
      <c r="E117" s="790" t="s">
        <v>200</v>
      </c>
      <c r="F117" s="791" t="s">
        <v>65</v>
      </c>
      <c r="G117" s="791" t="s">
        <v>53</v>
      </c>
      <c r="H117" s="791" t="s">
        <v>30</v>
      </c>
      <c r="I117" s="792" t="s">
        <v>1968</v>
      </c>
      <c r="J117" s="792" t="s">
        <v>211</v>
      </c>
      <c r="K117" s="793" t="s">
        <v>174</v>
      </c>
      <c r="L117" s="790">
        <v>2016</v>
      </c>
      <c r="M117" s="794">
        <v>3071.8387393744697</v>
      </c>
      <c r="N117" s="795" t="s">
        <v>59</v>
      </c>
      <c r="O117" s="795" t="s">
        <v>59</v>
      </c>
      <c r="P117" s="796">
        <v>893955.50610527652</v>
      </c>
      <c r="Q117" s="796">
        <v>2695915.4186337399</v>
      </c>
      <c r="R117" s="796">
        <v>124550.1004654429</v>
      </c>
      <c r="S117" s="796">
        <v>211778.38358389013</v>
      </c>
      <c r="T117" s="796">
        <v>211778.38358389013</v>
      </c>
      <c r="U117" s="796">
        <v>211778.38358389013</v>
      </c>
      <c r="V117" s="796">
        <v>635335.15075167036</v>
      </c>
      <c r="W117" s="796">
        <v>457900.06034370651</v>
      </c>
      <c r="X117" s="796">
        <v>26231.327729491735</v>
      </c>
      <c r="Y117" s="741">
        <v>211778.38358389013</v>
      </c>
      <c r="Z117" s="741">
        <v>211778.38358389013</v>
      </c>
      <c r="AA117" s="741">
        <v>211778.38358389013</v>
      </c>
      <c r="AB117" s="741">
        <v>635335.15075167036</v>
      </c>
      <c r="AC117" s="741">
        <v>457900.06034370651</v>
      </c>
      <c r="AD117" s="741">
        <v>6041462.1890219823</v>
      </c>
      <c r="AE117" s="741" t="s">
        <v>59</v>
      </c>
      <c r="AF117" s="741" t="s">
        <v>59</v>
      </c>
      <c r="AG117" s="798" t="s">
        <v>2161</v>
      </c>
      <c r="AH117" s="798"/>
      <c r="AI117" s="798" t="s">
        <v>2162</v>
      </c>
    </row>
    <row r="118" spans="1:35" ht="18.75" customHeight="1">
      <c r="A118" s="790">
        <v>113</v>
      </c>
      <c r="B118" s="790" t="s">
        <v>39</v>
      </c>
      <c r="C118" s="790" t="s">
        <v>40</v>
      </c>
      <c r="D118" s="790" t="s">
        <v>170</v>
      </c>
      <c r="E118" s="790" t="s">
        <v>200</v>
      </c>
      <c r="F118" s="791" t="s">
        <v>66</v>
      </c>
      <c r="G118" s="791" t="s">
        <v>53</v>
      </c>
      <c r="H118" s="791" t="s">
        <v>30</v>
      </c>
      <c r="I118" s="792" t="s">
        <v>1968</v>
      </c>
      <c r="J118" s="792" t="s">
        <v>212</v>
      </c>
      <c r="K118" s="793" t="s">
        <v>174</v>
      </c>
      <c r="L118" s="790">
        <v>2016</v>
      </c>
      <c r="M118" s="794">
        <v>1843.4718773657135</v>
      </c>
      <c r="N118" s="795" t="s">
        <v>59</v>
      </c>
      <c r="O118" s="795" t="s">
        <v>59</v>
      </c>
      <c r="P118" s="796">
        <v>584625.52379133052</v>
      </c>
      <c r="Q118" s="796">
        <v>1668568.3275053771</v>
      </c>
      <c r="R118" s="796">
        <v>74877.554785553308</v>
      </c>
      <c r="S118" s="796">
        <v>130243.4972406525</v>
      </c>
      <c r="T118" s="796">
        <v>130243.4972406525</v>
      </c>
      <c r="U118" s="796">
        <v>130243.4972406525</v>
      </c>
      <c r="V118" s="796">
        <v>390730.49172195751</v>
      </c>
      <c r="W118" s="796">
        <v>276255.46468013799</v>
      </c>
      <c r="X118" s="796">
        <v>17232.474361115539</v>
      </c>
      <c r="Y118" s="741">
        <v>130243.4972406525</v>
      </c>
      <c r="Z118" s="741">
        <v>130243.4972406525</v>
      </c>
      <c r="AA118" s="741">
        <v>130243.4972406525</v>
      </c>
      <c r="AB118" s="741">
        <v>390730.49172195751</v>
      </c>
      <c r="AC118" s="741">
        <v>276255.46468013799</v>
      </c>
      <c r="AD118" s="741">
        <v>3736840.4938877062</v>
      </c>
      <c r="AE118" s="741" t="s">
        <v>59</v>
      </c>
      <c r="AF118" s="741" t="s">
        <v>59</v>
      </c>
      <c r="AG118" s="798" t="s">
        <v>2161</v>
      </c>
      <c r="AH118" s="798"/>
      <c r="AI118" s="798" t="s">
        <v>2162</v>
      </c>
    </row>
    <row r="119" spans="1:35" ht="18.75" customHeight="1">
      <c r="A119" s="790">
        <v>114</v>
      </c>
      <c r="B119" s="790" t="s">
        <v>39</v>
      </c>
      <c r="C119" s="790" t="s">
        <v>40</v>
      </c>
      <c r="D119" s="790" t="s">
        <v>213</v>
      </c>
      <c r="E119" s="790" t="s">
        <v>42</v>
      </c>
      <c r="F119" s="791" t="s">
        <v>43</v>
      </c>
      <c r="G119" s="791" t="s">
        <v>44</v>
      </c>
      <c r="H119" s="791" t="s">
        <v>30</v>
      </c>
      <c r="I119" s="792" t="s">
        <v>1899</v>
      </c>
      <c r="J119" s="792" t="s">
        <v>46</v>
      </c>
      <c r="K119" s="793" t="s">
        <v>174</v>
      </c>
      <c r="L119" s="790">
        <v>2016</v>
      </c>
      <c r="M119" s="794">
        <v>2517.0776141727811</v>
      </c>
      <c r="N119" s="795" t="s">
        <v>59</v>
      </c>
      <c r="O119" s="795" t="s">
        <v>59</v>
      </c>
      <c r="P119" s="796">
        <v>5096.8419351586581</v>
      </c>
      <c r="Q119" s="796">
        <v>2092.4401557868309</v>
      </c>
      <c r="R119" s="796">
        <v>2649.622900475184</v>
      </c>
      <c r="S119" s="796">
        <v>1756.6706579150623</v>
      </c>
      <c r="T119" s="796">
        <v>1756.6706579150623</v>
      </c>
      <c r="U119" s="796">
        <v>1756.6706579150623</v>
      </c>
      <c r="V119" s="796">
        <v>5270.0119737451869</v>
      </c>
      <c r="W119" s="796">
        <v>3630.4314789696873</v>
      </c>
      <c r="X119" s="796">
        <v>13879.125282212352</v>
      </c>
      <c r="Y119" s="741">
        <v>1756.6706579150623</v>
      </c>
      <c r="Z119" s="741">
        <v>1756.6706579150623</v>
      </c>
      <c r="AA119" s="741">
        <v>1756.6706579150623</v>
      </c>
      <c r="AB119" s="741">
        <v>5270.0119737451869</v>
      </c>
      <c r="AC119" s="741">
        <v>3630.4314789696873</v>
      </c>
      <c r="AD119" s="741">
        <v>3238.4277409938304</v>
      </c>
      <c r="AE119" s="741" t="s">
        <v>59</v>
      </c>
      <c r="AF119" s="741" t="s">
        <v>59</v>
      </c>
      <c r="AG119" s="798" t="s">
        <v>1936</v>
      </c>
      <c r="AH119" s="798" t="s">
        <v>1937</v>
      </c>
      <c r="AI119" s="798"/>
    </row>
    <row r="120" spans="1:35" ht="18.75" customHeight="1">
      <c r="A120" s="790">
        <v>115</v>
      </c>
      <c r="B120" s="790" t="s">
        <v>39</v>
      </c>
      <c r="C120" s="790" t="s">
        <v>216</v>
      </c>
      <c r="D120" s="790" t="s">
        <v>217</v>
      </c>
      <c r="E120" s="790" t="s">
        <v>218</v>
      </c>
      <c r="F120" s="791" t="s">
        <v>108</v>
      </c>
      <c r="G120" s="791" t="s">
        <v>219</v>
      </c>
      <c r="H120" s="791" t="s">
        <v>30</v>
      </c>
      <c r="I120" s="792" t="s">
        <v>1971</v>
      </c>
      <c r="J120" s="792" t="s">
        <v>221</v>
      </c>
      <c r="K120" s="793" t="s">
        <v>174</v>
      </c>
      <c r="L120" s="790">
        <v>2016</v>
      </c>
      <c r="M120" s="799">
        <v>1.4341758820431807</v>
      </c>
      <c r="N120" s="795">
        <v>10894</v>
      </c>
      <c r="O120" s="795">
        <v>7596</v>
      </c>
      <c r="P120" s="800">
        <v>3.3838585700631554</v>
      </c>
      <c r="Q120" s="800">
        <v>2.3069873997709047</v>
      </c>
      <c r="R120" s="800">
        <v>0.26884430299462286</v>
      </c>
      <c r="S120" s="796">
        <v>5.9191732809693987</v>
      </c>
      <c r="T120" s="796">
        <v>5.9191732809693987</v>
      </c>
      <c r="U120" s="796">
        <v>5.9191732809693987</v>
      </c>
      <c r="V120" s="796">
        <v>17.757519842908195</v>
      </c>
      <c r="W120" s="796">
        <v>12.232886632382417</v>
      </c>
      <c r="X120" s="800">
        <v>0.26225631959406365</v>
      </c>
      <c r="Y120" s="741">
        <v>5.9191732809693987</v>
      </c>
      <c r="Z120" s="741">
        <v>5.9191732809693987</v>
      </c>
      <c r="AA120" s="741">
        <v>5.9191732809693987</v>
      </c>
      <c r="AB120" s="741">
        <v>17.757519842908195</v>
      </c>
      <c r="AC120" s="741">
        <v>12.232886632382417</v>
      </c>
      <c r="AD120" s="741">
        <v>0.40996382645139579</v>
      </c>
      <c r="AE120" s="741">
        <v>5353.7176096287776</v>
      </c>
      <c r="AF120" s="741">
        <v>13059</v>
      </c>
      <c r="AG120" s="798" t="s">
        <v>1972</v>
      </c>
      <c r="AH120" s="798" t="s">
        <v>2163</v>
      </c>
      <c r="AI120" s="798" t="s">
        <v>2164</v>
      </c>
    </row>
    <row r="121" spans="1:35" ht="18.75" customHeight="1">
      <c r="A121" s="790">
        <v>116</v>
      </c>
      <c r="B121" s="790" t="s">
        <v>39</v>
      </c>
      <c r="C121" s="790" t="s">
        <v>216</v>
      </c>
      <c r="D121" s="790" t="s">
        <v>217</v>
      </c>
      <c r="E121" s="790" t="s">
        <v>218</v>
      </c>
      <c r="F121" s="791" t="s">
        <v>112</v>
      </c>
      <c r="G121" s="791" t="s">
        <v>219</v>
      </c>
      <c r="H121" s="791" t="s">
        <v>30</v>
      </c>
      <c r="I121" s="792" t="s">
        <v>1971</v>
      </c>
      <c r="J121" s="792" t="s">
        <v>222</v>
      </c>
      <c r="K121" s="793" t="s">
        <v>174</v>
      </c>
      <c r="L121" s="790">
        <v>2016</v>
      </c>
      <c r="M121" s="794">
        <v>5359.3141126908895</v>
      </c>
      <c r="N121" s="795">
        <v>40709350</v>
      </c>
      <c r="O121" s="795">
        <v>7596</v>
      </c>
      <c r="P121" s="796">
        <v>32280.702379432401</v>
      </c>
      <c r="Q121" s="796">
        <v>11554.678835533767</v>
      </c>
      <c r="R121" s="796">
        <v>1365.2271913067175</v>
      </c>
      <c r="S121" s="796">
        <v>22756.948852021575</v>
      </c>
      <c r="T121" s="796">
        <v>22756.948852021575</v>
      </c>
      <c r="U121" s="796">
        <v>22756.948852021575</v>
      </c>
      <c r="V121" s="796">
        <v>68270.846556064731</v>
      </c>
      <c r="W121" s="796">
        <v>47030.752808120793</v>
      </c>
      <c r="X121" s="796">
        <v>1185.0003295766467</v>
      </c>
      <c r="Y121" s="741">
        <v>22756.948852021575</v>
      </c>
      <c r="Z121" s="741">
        <v>22756.948852021575</v>
      </c>
      <c r="AA121" s="741">
        <v>22756.948852021575</v>
      </c>
      <c r="AB121" s="741">
        <v>68270.846556064731</v>
      </c>
      <c r="AC121" s="741">
        <v>47030.752808120793</v>
      </c>
      <c r="AD121" s="741">
        <v>1675.6774870100851</v>
      </c>
      <c r="AE121" s="741">
        <v>21882672.302864701</v>
      </c>
      <c r="AF121" s="741">
        <v>13059</v>
      </c>
      <c r="AG121" s="798" t="s">
        <v>1972</v>
      </c>
      <c r="AH121" s="798" t="s">
        <v>2163</v>
      </c>
      <c r="AI121" s="798" t="s">
        <v>2164</v>
      </c>
    </row>
    <row r="122" spans="1:35" ht="18.75" customHeight="1">
      <c r="A122" s="790">
        <v>117</v>
      </c>
      <c r="B122" s="790" t="s">
        <v>39</v>
      </c>
      <c r="C122" s="790" t="s">
        <v>216</v>
      </c>
      <c r="D122" s="790" t="s">
        <v>217</v>
      </c>
      <c r="E122" s="790" t="s">
        <v>218</v>
      </c>
      <c r="F122" s="791" t="s">
        <v>114</v>
      </c>
      <c r="G122" s="791" t="s">
        <v>219</v>
      </c>
      <c r="H122" s="791" t="s">
        <v>30</v>
      </c>
      <c r="I122" s="792" t="s">
        <v>1971</v>
      </c>
      <c r="J122" s="792" t="s">
        <v>223</v>
      </c>
      <c r="K122" s="793" t="s">
        <v>174</v>
      </c>
      <c r="L122" s="790">
        <v>2016</v>
      </c>
      <c r="M122" s="794">
        <v>57.479199578725648</v>
      </c>
      <c r="N122" s="795">
        <v>436612</v>
      </c>
      <c r="O122" s="795">
        <v>7596</v>
      </c>
      <c r="P122" s="796">
        <v>374.50159386892693</v>
      </c>
      <c r="Q122" s="796">
        <v>1012.8361450994053</v>
      </c>
      <c r="R122" s="796">
        <v>38.795446822207033</v>
      </c>
      <c r="S122" s="796">
        <v>227.57675605417438</v>
      </c>
      <c r="T122" s="796">
        <v>227.57675605417438</v>
      </c>
      <c r="U122" s="796">
        <v>227.57675605417438</v>
      </c>
      <c r="V122" s="796">
        <v>682.73026816252309</v>
      </c>
      <c r="W122" s="796">
        <v>470.32254756362431</v>
      </c>
      <c r="X122" s="796">
        <v>30.415937146294521</v>
      </c>
      <c r="Y122" s="741">
        <v>227.57675605417438</v>
      </c>
      <c r="Z122" s="741">
        <v>227.57675605417438</v>
      </c>
      <c r="AA122" s="741">
        <v>227.57675605417438</v>
      </c>
      <c r="AB122" s="741">
        <v>682.73026816252309</v>
      </c>
      <c r="AC122" s="741">
        <v>470.32254756362431</v>
      </c>
      <c r="AD122" s="741">
        <v>468.00949038631063</v>
      </c>
      <c r="AE122" s="741">
        <v>6111735.9349548304</v>
      </c>
      <c r="AF122" s="741">
        <v>13059</v>
      </c>
      <c r="AG122" s="798" t="s">
        <v>1972</v>
      </c>
      <c r="AH122" s="798" t="s">
        <v>2163</v>
      </c>
      <c r="AI122" s="798" t="s">
        <v>2164</v>
      </c>
    </row>
    <row r="123" spans="1:35" ht="18.75" customHeight="1">
      <c r="A123" s="790">
        <v>118</v>
      </c>
      <c r="B123" s="790" t="s">
        <v>39</v>
      </c>
      <c r="C123" s="790" t="s">
        <v>216</v>
      </c>
      <c r="D123" s="790" t="s">
        <v>217</v>
      </c>
      <c r="E123" s="790" t="s">
        <v>226</v>
      </c>
      <c r="F123" s="791" t="s">
        <v>108</v>
      </c>
      <c r="G123" s="791" t="s">
        <v>227</v>
      </c>
      <c r="H123" s="791" t="s">
        <v>30</v>
      </c>
      <c r="I123" s="792" t="s">
        <v>1973</v>
      </c>
      <c r="J123" s="792" t="s">
        <v>229</v>
      </c>
      <c r="K123" s="793" t="s">
        <v>174</v>
      </c>
      <c r="L123" s="790">
        <v>2016</v>
      </c>
      <c r="M123" s="794">
        <v>11.26777251184834</v>
      </c>
      <c r="N123" s="795">
        <v>9510</v>
      </c>
      <c r="O123" s="795">
        <v>844</v>
      </c>
      <c r="P123" s="796">
        <v>17.906423626106665</v>
      </c>
      <c r="Q123" s="796">
        <v>12.24668734474648</v>
      </c>
      <c r="R123" s="796">
        <v>2.438675637506734</v>
      </c>
      <c r="S123" s="796">
        <v>10.789542905182435</v>
      </c>
      <c r="T123" s="796">
        <v>10.789542905182435</v>
      </c>
      <c r="U123" s="796">
        <v>10.789542905182435</v>
      </c>
      <c r="V123" s="796">
        <v>32.368628715547302</v>
      </c>
      <c r="W123" s="796">
        <v>22.298258373119776</v>
      </c>
      <c r="X123" s="796">
        <v>2.3603068763465731</v>
      </c>
      <c r="Y123" s="741">
        <v>10.789542905182435</v>
      </c>
      <c r="Z123" s="741">
        <v>10.789542905182435</v>
      </c>
      <c r="AA123" s="741">
        <v>10.789542905182435</v>
      </c>
      <c r="AB123" s="741">
        <v>32.368628715547302</v>
      </c>
      <c r="AC123" s="741">
        <v>22.298258373119776</v>
      </c>
      <c r="AD123" s="741">
        <v>3.6896744380625619</v>
      </c>
      <c r="AE123" s="741">
        <v>5353.7176096287776</v>
      </c>
      <c r="AF123" s="741">
        <v>1451</v>
      </c>
      <c r="AG123" s="798" t="s">
        <v>1974</v>
      </c>
      <c r="AH123" s="798" t="s">
        <v>2163</v>
      </c>
      <c r="AI123" s="798"/>
    </row>
    <row r="124" spans="1:35" ht="18.75" customHeight="1">
      <c r="A124" s="790">
        <v>119</v>
      </c>
      <c r="B124" s="790" t="s">
        <v>39</v>
      </c>
      <c r="C124" s="790" t="s">
        <v>216</v>
      </c>
      <c r="D124" s="790" t="s">
        <v>217</v>
      </c>
      <c r="E124" s="790" t="s">
        <v>226</v>
      </c>
      <c r="F124" s="791" t="s">
        <v>112</v>
      </c>
      <c r="G124" s="791" t="s">
        <v>227</v>
      </c>
      <c r="H124" s="791" t="s">
        <v>30</v>
      </c>
      <c r="I124" s="792" t="s">
        <v>1973</v>
      </c>
      <c r="J124" s="792" t="s">
        <v>230</v>
      </c>
      <c r="K124" s="793" t="s">
        <v>174</v>
      </c>
      <c r="L124" s="790">
        <v>2016</v>
      </c>
      <c r="M124" s="794">
        <v>42129.538929510527</v>
      </c>
      <c r="N124" s="795">
        <v>35557330.856506884</v>
      </c>
      <c r="O124" s="795">
        <v>844</v>
      </c>
      <c r="P124" s="796">
        <v>264147.81464039435</v>
      </c>
      <c r="Q124" s="796">
        <v>60820.487255878936</v>
      </c>
      <c r="R124" s="796">
        <v>11858.389836685174</v>
      </c>
      <c r="S124" s="796">
        <v>41669.508633721016</v>
      </c>
      <c r="T124" s="796">
        <v>41669.508633721016</v>
      </c>
      <c r="U124" s="796">
        <v>41669.508633721016</v>
      </c>
      <c r="V124" s="796">
        <v>125008.52590116306</v>
      </c>
      <c r="W124" s="796">
        <v>86116.48129684561</v>
      </c>
      <c r="X124" s="796">
        <v>10665.002966189819</v>
      </c>
      <c r="Y124" s="741">
        <v>41669.508633721016</v>
      </c>
      <c r="Z124" s="741">
        <v>41669.508633721016</v>
      </c>
      <c r="AA124" s="741">
        <v>41669.508633721016</v>
      </c>
      <c r="AB124" s="741">
        <v>125008.52590116306</v>
      </c>
      <c r="AC124" s="741">
        <v>86116.48129684561</v>
      </c>
      <c r="AD124" s="741">
        <v>15081.097383090766</v>
      </c>
      <c r="AE124" s="741">
        <v>21882672.302864701</v>
      </c>
      <c r="AF124" s="741">
        <v>1451</v>
      </c>
      <c r="AG124" s="798" t="s">
        <v>1974</v>
      </c>
      <c r="AH124" s="798" t="s">
        <v>2163</v>
      </c>
      <c r="AI124" s="798"/>
    </row>
    <row r="125" spans="1:35" ht="18.75" customHeight="1">
      <c r="A125" s="790">
        <v>120</v>
      </c>
      <c r="B125" s="790" t="s">
        <v>39</v>
      </c>
      <c r="C125" s="790" t="s">
        <v>216</v>
      </c>
      <c r="D125" s="790" t="s">
        <v>217</v>
      </c>
      <c r="E125" s="790" t="s">
        <v>226</v>
      </c>
      <c r="F125" s="791" t="s">
        <v>114</v>
      </c>
      <c r="G125" s="791" t="s">
        <v>227</v>
      </c>
      <c r="H125" s="791" t="s">
        <v>30</v>
      </c>
      <c r="I125" s="792" t="s">
        <v>1973</v>
      </c>
      <c r="J125" s="792" t="s">
        <v>231</v>
      </c>
      <c r="K125" s="793" t="s">
        <v>174</v>
      </c>
      <c r="L125" s="790">
        <v>2016</v>
      </c>
      <c r="M125" s="794">
        <v>304.37886208823659</v>
      </c>
      <c r="N125" s="795">
        <v>256895.75960247169</v>
      </c>
      <c r="O125" s="795">
        <v>844</v>
      </c>
      <c r="P125" s="796">
        <v>2683.0776137754438</v>
      </c>
      <c r="Q125" s="796">
        <v>9099.5842183728782</v>
      </c>
      <c r="R125" s="796">
        <v>310.47414957462883</v>
      </c>
      <c r="S125" s="796">
        <v>274.11790952173322</v>
      </c>
      <c r="T125" s="796">
        <v>274.11790952173322</v>
      </c>
      <c r="U125" s="796">
        <v>274.11790952173322</v>
      </c>
      <c r="V125" s="796">
        <v>822.35372856519962</v>
      </c>
      <c r="W125" s="796">
        <v>566.50703601903206</v>
      </c>
      <c r="X125" s="796">
        <v>273.74343431665068</v>
      </c>
      <c r="Y125" s="741">
        <v>274.11790952173322</v>
      </c>
      <c r="Z125" s="741">
        <v>274.11790952173322</v>
      </c>
      <c r="AA125" s="741">
        <v>274.11790952173322</v>
      </c>
      <c r="AB125" s="741">
        <v>822.35372856519962</v>
      </c>
      <c r="AC125" s="741">
        <v>566.50703601903206</v>
      </c>
      <c r="AD125" s="741">
        <v>4212.085413476796</v>
      </c>
      <c r="AE125" s="741">
        <v>6111735.9349548304</v>
      </c>
      <c r="AF125" s="741">
        <v>1451</v>
      </c>
      <c r="AG125" s="798" t="s">
        <v>1975</v>
      </c>
      <c r="AH125" s="798" t="s">
        <v>2163</v>
      </c>
      <c r="AI125" s="798"/>
    </row>
    <row r="126" spans="1:35" ht="18.75" customHeight="1">
      <c r="A126" s="790">
        <v>121</v>
      </c>
      <c r="B126" s="790" t="s">
        <v>39</v>
      </c>
      <c r="C126" s="790" t="s">
        <v>216</v>
      </c>
      <c r="D126" s="790" t="s">
        <v>217</v>
      </c>
      <c r="E126" s="790" t="s">
        <v>234</v>
      </c>
      <c r="F126" s="791" t="s">
        <v>108</v>
      </c>
      <c r="G126" s="791" t="s">
        <v>1976</v>
      </c>
      <c r="H126" s="791" t="s">
        <v>30</v>
      </c>
      <c r="I126" s="792" t="s">
        <v>1977</v>
      </c>
      <c r="J126" s="792" t="s">
        <v>237</v>
      </c>
      <c r="K126" s="793" t="s">
        <v>174</v>
      </c>
      <c r="L126" s="790">
        <v>2016</v>
      </c>
      <c r="M126" s="799">
        <v>1.3624876072368007E-2</v>
      </c>
      <c r="N126" s="795">
        <v>9510</v>
      </c>
      <c r="O126" s="795">
        <v>697988</v>
      </c>
      <c r="P126" s="800">
        <v>2.1652265569657395E-2</v>
      </c>
      <c r="Q126" s="800">
        <v>1.4808569945279902E-2</v>
      </c>
      <c r="R126" s="800">
        <v>2.948821810769932E-3</v>
      </c>
      <c r="S126" s="796">
        <v>6.9596880192404446E-4</v>
      </c>
      <c r="T126" s="796">
        <v>6.9596880192404446E-4</v>
      </c>
      <c r="U126" s="796">
        <v>6.9596880192404446E-4</v>
      </c>
      <c r="V126" s="796">
        <v>2.0879064057721334E-3</v>
      </c>
      <c r="W126" s="796">
        <v>1.4383271192590491E-3</v>
      </c>
      <c r="X126" s="800">
        <v>2.8540591007818294E-3</v>
      </c>
      <c r="Y126" s="741">
        <v>6.9596880192404446E-4</v>
      </c>
      <c r="Z126" s="741">
        <v>6.9596880192404446E-4</v>
      </c>
      <c r="AA126" s="741">
        <v>6.9596880192404446E-4</v>
      </c>
      <c r="AB126" s="741">
        <v>2.0879064057721334E-3</v>
      </c>
      <c r="AC126" s="741">
        <v>1.4383271192590491E-3</v>
      </c>
      <c r="AD126" s="741">
        <v>4.4615168537636783E-3</v>
      </c>
      <c r="AE126" s="741">
        <v>5353.7176096287776</v>
      </c>
      <c r="AF126" s="741">
        <v>1199977</v>
      </c>
      <c r="AG126" s="798" t="s">
        <v>1978</v>
      </c>
      <c r="AH126" s="798" t="s">
        <v>1979</v>
      </c>
      <c r="AI126" s="798" t="s">
        <v>2165</v>
      </c>
    </row>
    <row r="127" spans="1:35" ht="18.75" customHeight="1">
      <c r="A127" s="790">
        <v>122</v>
      </c>
      <c r="B127" s="790" t="s">
        <v>39</v>
      </c>
      <c r="C127" s="790" t="s">
        <v>216</v>
      </c>
      <c r="D127" s="790" t="s">
        <v>217</v>
      </c>
      <c r="E127" s="790" t="s">
        <v>234</v>
      </c>
      <c r="F127" s="791" t="s">
        <v>112</v>
      </c>
      <c r="G127" s="791" t="s">
        <v>1976</v>
      </c>
      <c r="H127" s="791" t="s">
        <v>30</v>
      </c>
      <c r="I127" s="792" t="s">
        <v>1977</v>
      </c>
      <c r="J127" s="792" t="s">
        <v>238</v>
      </c>
      <c r="K127" s="793" t="s">
        <v>174</v>
      </c>
      <c r="L127" s="790">
        <v>2016</v>
      </c>
      <c r="M127" s="794">
        <v>50.942610555635461</v>
      </c>
      <c r="N127" s="795">
        <v>35557330.856506884</v>
      </c>
      <c r="O127" s="795">
        <v>697988</v>
      </c>
      <c r="P127" s="796">
        <v>319.40485446238733</v>
      </c>
      <c r="Q127" s="796">
        <v>73.543515424279249</v>
      </c>
      <c r="R127" s="796">
        <v>14.339044542545555</v>
      </c>
      <c r="S127" s="796">
        <v>2.687850472946804</v>
      </c>
      <c r="T127" s="796">
        <v>2.687850472946804</v>
      </c>
      <c r="U127" s="796">
        <v>2.687850472946804</v>
      </c>
      <c r="V127" s="796">
        <v>8.0635514188404116</v>
      </c>
      <c r="W127" s="796">
        <v>5.5548585181761796</v>
      </c>
      <c r="X127" s="796">
        <v>12.896013260205343</v>
      </c>
      <c r="Y127" s="741">
        <v>2.687850472946804</v>
      </c>
      <c r="Z127" s="741">
        <v>2.687850472946804</v>
      </c>
      <c r="AA127" s="741">
        <v>2.687850472946804</v>
      </c>
      <c r="AB127" s="741">
        <v>8.0635514188404116</v>
      </c>
      <c r="AC127" s="741">
        <v>5.5548585181761796</v>
      </c>
      <c r="AD127" s="741">
        <v>18.235909773991253</v>
      </c>
      <c r="AE127" s="741">
        <v>21882672.302864701</v>
      </c>
      <c r="AF127" s="741">
        <v>1199977</v>
      </c>
      <c r="AG127" s="798" t="s">
        <v>1978</v>
      </c>
      <c r="AH127" s="798" t="s">
        <v>1979</v>
      </c>
      <c r="AI127" s="798" t="s">
        <v>2165</v>
      </c>
    </row>
    <row r="128" spans="1:35" ht="18.75" customHeight="1">
      <c r="A128" s="790">
        <v>123</v>
      </c>
      <c r="B128" s="790" t="s">
        <v>39</v>
      </c>
      <c r="C128" s="790" t="s">
        <v>216</v>
      </c>
      <c r="D128" s="790" t="s">
        <v>217</v>
      </c>
      <c r="E128" s="790" t="s">
        <v>234</v>
      </c>
      <c r="F128" s="791" t="s">
        <v>114</v>
      </c>
      <c r="G128" s="791" t="s">
        <v>1976</v>
      </c>
      <c r="H128" s="791" t="s">
        <v>30</v>
      </c>
      <c r="I128" s="792" t="s">
        <v>1977</v>
      </c>
      <c r="J128" s="792" t="s">
        <v>239</v>
      </c>
      <c r="K128" s="793" t="s">
        <v>174</v>
      </c>
      <c r="L128" s="790">
        <v>2016</v>
      </c>
      <c r="M128" s="799">
        <v>0.36805217281672464</v>
      </c>
      <c r="N128" s="795">
        <v>256896</v>
      </c>
      <c r="O128" s="795">
        <v>697988</v>
      </c>
      <c r="P128" s="800">
        <v>3.2443501980356029</v>
      </c>
      <c r="Q128" s="800">
        <v>11.003124810608076</v>
      </c>
      <c r="R128" s="800">
        <v>0.37542218811926098</v>
      </c>
      <c r="S128" s="796">
        <v>1.7681704846285007E-2</v>
      </c>
      <c r="T128" s="796">
        <v>1.7681704846285007E-2</v>
      </c>
      <c r="U128" s="796">
        <v>1.7681704846285007E-2</v>
      </c>
      <c r="V128" s="796">
        <v>5.304511453885502E-2</v>
      </c>
      <c r="W128" s="796">
        <v>3.654197648635614E-2</v>
      </c>
      <c r="X128" s="800">
        <v>0.33100778031033939</v>
      </c>
      <c r="Y128" s="741">
        <v>1.7681704846285007E-2</v>
      </c>
      <c r="Z128" s="741">
        <v>1.7681704846285007E-2</v>
      </c>
      <c r="AA128" s="741">
        <v>1.7681704846285007E-2</v>
      </c>
      <c r="AB128" s="741">
        <v>5.304511453885502E-2</v>
      </c>
      <c r="AC128" s="741">
        <v>3.654197648635614E-2</v>
      </c>
      <c r="AD128" s="741">
        <v>5.0932108990045899</v>
      </c>
      <c r="AE128" s="741">
        <v>6111735.9349548304</v>
      </c>
      <c r="AF128" s="741">
        <v>1199977</v>
      </c>
      <c r="AG128" s="798" t="s">
        <v>1978</v>
      </c>
      <c r="AH128" s="798" t="s">
        <v>1979</v>
      </c>
      <c r="AI128" s="798" t="s">
        <v>2165</v>
      </c>
    </row>
    <row r="129" spans="1:35" ht="18.75" customHeight="1">
      <c r="A129" s="790">
        <v>124</v>
      </c>
      <c r="B129" s="790" t="s">
        <v>39</v>
      </c>
      <c r="C129" s="790" t="s">
        <v>216</v>
      </c>
      <c r="D129" s="790" t="s">
        <v>241</v>
      </c>
      <c r="E129" s="790" t="s">
        <v>242</v>
      </c>
      <c r="F129" s="791" t="s">
        <v>142</v>
      </c>
      <c r="G129" s="791" t="s">
        <v>1951</v>
      </c>
      <c r="H129" s="791" t="s">
        <v>30</v>
      </c>
      <c r="I129" s="792" t="s">
        <v>1980</v>
      </c>
      <c r="J129" s="792" t="s">
        <v>244</v>
      </c>
      <c r="K129" s="793" t="s">
        <v>174</v>
      </c>
      <c r="L129" s="790">
        <v>2016</v>
      </c>
      <c r="M129" s="804">
        <v>1.784727291138386E-3</v>
      </c>
      <c r="N129" s="795">
        <v>846</v>
      </c>
      <c r="O129" s="795">
        <v>474022</v>
      </c>
      <c r="P129" s="802">
        <v>5.7633289986996103E-4</v>
      </c>
      <c r="Q129" s="802">
        <v>3.4948027582373115E-4</v>
      </c>
      <c r="R129" s="802">
        <v>5.1885327214244914E-3</v>
      </c>
      <c r="S129" s="796">
        <v>3.7685926059003345E-2</v>
      </c>
      <c r="T129" s="796">
        <v>3.7685926059003345E-2</v>
      </c>
      <c r="U129" s="796">
        <v>3.7685926059003345E-2</v>
      </c>
      <c r="V129" s="796">
        <v>0.11305777817701004</v>
      </c>
      <c r="W129" s="796">
        <v>7.7883792082639236E-2</v>
      </c>
      <c r="X129" s="802">
        <v>4.2100299754134251E-3</v>
      </c>
      <c r="Y129" s="741">
        <v>3.7685926059003345E-2</v>
      </c>
      <c r="Z129" s="741">
        <v>3.7685926059003345E-2</v>
      </c>
      <c r="AA129" s="741">
        <v>3.7685926059003345E-2</v>
      </c>
      <c r="AB129" s="741">
        <v>0.11305777817701004</v>
      </c>
      <c r="AC129" s="741">
        <v>7.7883792082639236E-2</v>
      </c>
      <c r="AD129" s="741">
        <v>2.8891433122604409E-3</v>
      </c>
      <c r="AE129" s="741">
        <v>1451</v>
      </c>
      <c r="AF129" s="741">
        <v>502225</v>
      </c>
      <c r="AG129" s="798" t="s">
        <v>1981</v>
      </c>
      <c r="AH129" s="798" t="s">
        <v>2166</v>
      </c>
      <c r="AI129" s="798" t="s">
        <v>2167</v>
      </c>
    </row>
    <row r="130" spans="1:35" ht="18.75" customHeight="1">
      <c r="A130" s="790">
        <v>125</v>
      </c>
      <c r="B130" s="790" t="s">
        <v>39</v>
      </c>
      <c r="C130" s="790" t="s">
        <v>216</v>
      </c>
      <c r="D130" s="790" t="s">
        <v>241</v>
      </c>
      <c r="E130" s="790" t="s">
        <v>247</v>
      </c>
      <c r="F130" s="791" t="s">
        <v>142</v>
      </c>
      <c r="G130" s="791" t="s">
        <v>1951</v>
      </c>
      <c r="H130" s="791" t="s">
        <v>30</v>
      </c>
      <c r="I130" s="792" t="s">
        <v>1980</v>
      </c>
      <c r="J130" s="792" t="s">
        <v>249</v>
      </c>
      <c r="K130" s="793" t="s">
        <v>174</v>
      </c>
      <c r="L130" s="790">
        <v>2016</v>
      </c>
      <c r="M130" s="804">
        <v>1.5543325580859833E-3</v>
      </c>
      <c r="N130" s="795">
        <v>675</v>
      </c>
      <c r="O130" s="795">
        <v>434270</v>
      </c>
      <c r="P130" s="802">
        <v>1.6561512406387753E-4</v>
      </c>
      <c r="Q130" s="802">
        <v>8.2360588010079149E-5</v>
      </c>
      <c r="R130" s="802">
        <v>4.6253895407677584E-3</v>
      </c>
      <c r="S130" s="796">
        <v>3.7685926059003345E-2</v>
      </c>
      <c r="T130" s="796">
        <v>3.7685926059003345E-2</v>
      </c>
      <c r="U130" s="796">
        <v>3.7685926059003345E-2</v>
      </c>
      <c r="V130" s="796">
        <v>0.11305777817701004</v>
      </c>
      <c r="W130" s="796">
        <v>7.7883792082639236E-2</v>
      </c>
      <c r="X130" s="802">
        <v>3.9306821041036402E-3</v>
      </c>
      <c r="Y130" s="741">
        <v>3.7685926059003345E-2</v>
      </c>
      <c r="Z130" s="741">
        <v>3.7685926059003345E-2</v>
      </c>
      <c r="AA130" s="741">
        <v>3.7685926059003345E-2</v>
      </c>
      <c r="AB130" s="741">
        <v>0.11305777817701004</v>
      </c>
      <c r="AC130" s="741">
        <v>7.7883792082639236E-2</v>
      </c>
      <c r="AD130" s="741">
        <v>1.9772014535317834E-3</v>
      </c>
      <c r="AE130" s="741">
        <v>993</v>
      </c>
      <c r="AF130" s="741">
        <v>502225</v>
      </c>
      <c r="AG130" s="798" t="s">
        <v>1982</v>
      </c>
      <c r="AH130" s="798" t="s">
        <v>1983</v>
      </c>
      <c r="AI130" s="798" t="s">
        <v>2168</v>
      </c>
    </row>
    <row r="131" spans="1:35" ht="18.75" customHeight="1">
      <c r="A131" s="790">
        <v>126</v>
      </c>
      <c r="B131" s="790" t="s">
        <v>39</v>
      </c>
      <c r="C131" s="790" t="s">
        <v>216</v>
      </c>
      <c r="D131" s="790" t="s">
        <v>241</v>
      </c>
      <c r="E131" s="790" t="s">
        <v>252</v>
      </c>
      <c r="F131" s="791" t="s">
        <v>142</v>
      </c>
      <c r="G131" s="791" t="s">
        <v>760</v>
      </c>
      <c r="H131" s="791" t="s">
        <v>30</v>
      </c>
      <c r="I131" s="792" t="s">
        <v>1984</v>
      </c>
      <c r="J131" s="792" t="s">
        <v>255</v>
      </c>
      <c r="K131" s="793" t="s">
        <v>174</v>
      </c>
      <c r="L131" s="790">
        <v>2016</v>
      </c>
      <c r="M131" s="804">
        <v>1.4239845408019038E-3</v>
      </c>
      <c r="N131" s="795">
        <v>558225</v>
      </c>
      <c r="O131" s="795">
        <v>392016194</v>
      </c>
      <c r="P131" s="802">
        <v>1.6561512406387753E-4</v>
      </c>
      <c r="Q131" s="802">
        <v>8.2360588010079149E-5</v>
      </c>
      <c r="R131" s="802">
        <v>4.6253895407677584E-3</v>
      </c>
      <c r="S131" s="796">
        <v>3.7685926059003345E-2</v>
      </c>
      <c r="T131" s="796">
        <v>3.7685926059003345E-2</v>
      </c>
      <c r="U131" s="796">
        <v>3.7685926059003345E-2</v>
      </c>
      <c r="V131" s="796">
        <v>0.11305777817701004</v>
      </c>
      <c r="W131" s="796">
        <v>7.7883792082639236E-2</v>
      </c>
      <c r="X131" s="802">
        <v>3.9306821041036402E-3</v>
      </c>
      <c r="Y131" s="741">
        <v>3.7685926059003345E-2</v>
      </c>
      <c r="Z131" s="741">
        <v>3.7685926059003345E-2</v>
      </c>
      <c r="AA131" s="741">
        <v>3.7685926059003345E-2</v>
      </c>
      <c r="AB131" s="741">
        <v>0.11305777817701004</v>
      </c>
      <c r="AC131" s="741">
        <v>7.7883792082639236E-2</v>
      </c>
      <c r="AD131" s="741">
        <v>1.9772014535317834E-3</v>
      </c>
      <c r="AE131" s="741">
        <v>821211</v>
      </c>
      <c r="AF131" s="741">
        <v>415340075</v>
      </c>
      <c r="AG131" s="798" t="s">
        <v>1985</v>
      </c>
      <c r="AH131" s="798"/>
      <c r="AI131" s="798" t="s">
        <v>2169</v>
      </c>
    </row>
    <row r="132" spans="1:35" ht="18.75" customHeight="1">
      <c r="A132" s="790">
        <v>127</v>
      </c>
      <c r="B132" s="790" t="s">
        <v>39</v>
      </c>
      <c r="C132" s="790" t="s">
        <v>216</v>
      </c>
      <c r="D132" s="790" t="s">
        <v>241</v>
      </c>
      <c r="E132" s="790" t="s">
        <v>257</v>
      </c>
      <c r="F132" s="791" t="s">
        <v>142</v>
      </c>
      <c r="G132" s="791" t="s">
        <v>149</v>
      </c>
      <c r="H132" s="791" t="s">
        <v>30</v>
      </c>
      <c r="I132" s="792" t="s">
        <v>151</v>
      </c>
      <c r="J132" s="792" t="s">
        <v>151</v>
      </c>
      <c r="K132" s="793" t="s">
        <v>174</v>
      </c>
      <c r="L132" s="790">
        <v>2016</v>
      </c>
      <c r="M132" s="804">
        <v>2.4184587227923395E-3</v>
      </c>
      <c r="N132" s="795">
        <v>74</v>
      </c>
      <c r="O132" s="795">
        <v>30598</v>
      </c>
      <c r="P132" s="802">
        <v>3.2623234267445275E-4</v>
      </c>
      <c r="Q132" s="802">
        <v>2.6106252447461169E-4</v>
      </c>
      <c r="R132" s="802">
        <v>2.9874009611637873E-3</v>
      </c>
      <c r="S132" s="796">
        <v>2.563167023549051E-3</v>
      </c>
      <c r="T132" s="796">
        <v>2.563167023549051E-3</v>
      </c>
      <c r="U132" s="796">
        <v>2.563167023549051E-3</v>
      </c>
      <c r="V132" s="796">
        <v>7.6895010706471527E-3</v>
      </c>
      <c r="W132" s="796">
        <v>5.297180895133642E-3</v>
      </c>
      <c r="X132" s="802">
        <v>3.2559502490801943E-5</v>
      </c>
      <c r="Y132" s="741">
        <v>2.563167023549051E-3</v>
      </c>
      <c r="Z132" s="741">
        <v>2.563167023549051E-3</v>
      </c>
      <c r="AA132" s="741">
        <v>2.563167023549051E-3</v>
      </c>
      <c r="AB132" s="741">
        <v>7.6895010706471527E-3</v>
      </c>
      <c r="AC132" s="741">
        <v>5.297180895133642E-3</v>
      </c>
      <c r="AD132" s="741">
        <v>0</v>
      </c>
      <c r="AE132" s="741">
        <v>0</v>
      </c>
      <c r="AF132" s="741">
        <v>33083</v>
      </c>
      <c r="AG132" s="798" t="s">
        <v>1986</v>
      </c>
      <c r="AH132" s="798" t="s">
        <v>1955</v>
      </c>
      <c r="AI132" s="798"/>
    </row>
    <row r="133" spans="1:35" ht="18.75" customHeight="1">
      <c r="A133" s="790">
        <v>128</v>
      </c>
      <c r="B133" s="790" t="s">
        <v>39</v>
      </c>
      <c r="C133" s="790" t="s">
        <v>216</v>
      </c>
      <c r="D133" s="790" t="s">
        <v>241</v>
      </c>
      <c r="E133" s="790" t="s">
        <v>153</v>
      </c>
      <c r="F133" s="791" t="s">
        <v>142</v>
      </c>
      <c r="G133" s="791" t="s">
        <v>154</v>
      </c>
      <c r="H133" s="791" t="s">
        <v>30</v>
      </c>
      <c r="I133" s="792" t="s">
        <v>156</v>
      </c>
      <c r="J133" s="792" t="s">
        <v>263</v>
      </c>
      <c r="K133" s="793" t="s">
        <v>174</v>
      </c>
      <c r="L133" s="790">
        <v>2016</v>
      </c>
      <c r="M133" s="804">
        <v>1.7736248999632297E-3</v>
      </c>
      <c r="N133" s="795">
        <v>82</v>
      </c>
      <c r="O133" s="795">
        <v>46233</v>
      </c>
      <c r="P133" s="802">
        <v>1.5955749388362939E-4</v>
      </c>
      <c r="Q133" s="802">
        <v>1.0761366693570084E-4</v>
      </c>
      <c r="R133" s="802">
        <v>2.2228448678434671E-3</v>
      </c>
      <c r="S133" s="796">
        <v>2.563167023549051E-3</v>
      </c>
      <c r="T133" s="796">
        <v>2.563167023549051E-3</v>
      </c>
      <c r="U133" s="796">
        <v>2.563167023549051E-3</v>
      </c>
      <c r="V133" s="796">
        <v>7.6895010706471527E-3</v>
      </c>
      <c r="W133" s="796">
        <v>5.297180895133642E-3</v>
      </c>
      <c r="X133" s="802">
        <v>5.8146036005814602E-3</v>
      </c>
      <c r="Y133" s="741">
        <v>2.563167023549051E-3</v>
      </c>
      <c r="Z133" s="741">
        <v>2.563167023549051E-3</v>
      </c>
      <c r="AA133" s="741">
        <v>2.563167023549051E-3</v>
      </c>
      <c r="AB133" s="741">
        <v>7.6895010706471527E-3</v>
      </c>
      <c r="AC133" s="741">
        <v>5.297180895133642E-3</v>
      </c>
      <c r="AD133" s="741">
        <v>1.106681074635764E-2</v>
      </c>
      <c r="AE133" s="741">
        <v>594</v>
      </c>
      <c r="AF133" s="741">
        <v>53674</v>
      </c>
      <c r="AG133" s="798" t="s">
        <v>1987</v>
      </c>
      <c r="AH133" s="798" t="s">
        <v>1957</v>
      </c>
      <c r="AI133" s="798" t="s">
        <v>2170</v>
      </c>
    </row>
    <row r="134" spans="1:35" ht="18.75" customHeight="1">
      <c r="A134" s="790">
        <v>129</v>
      </c>
      <c r="B134" s="790" t="s">
        <v>39</v>
      </c>
      <c r="C134" s="790" t="s">
        <v>216</v>
      </c>
      <c r="D134" s="790" t="s">
        <v>264</v>
      </c>
      <c r="E134" s="790" t="s">
        <v>265</v>
      </c>
      <c r="F134" s="791" t="s">
        <v>142</v>
      </c>
      <c r="G134" s="791" t="s">
        <v>1988</v>
      </c>
      <c r="H134" s="791" t="s">
        <v>30</v>
      </c>
      <c r="I134" s="792" t="s">
        <v>268</v>
      </c>
      <c r="J134" s="792" t="s">
        <v>268</v>
      </c>
      <c r="K134" s="793" t="s">
        <v>174</v>
      </c>
      <c r="L134" s="790">
        <v>2016</v>
      </c>
      <c r="M134" s="804">
        <v>2.3909472531483848E-2</v>
      </c>
      <c r="N134" s="795">
        <v>262</v>
      </c>
      <c r="O134" s="795">
        <v>10958</v>
      </c>
      <c r="P134" s="802">
        <v>2.3909472531483848E-2</v>
      </c>
      <c r="Q134" s="802">
        <v>4.7545172476729333E-2</v>
      </c>
      <c r="R134" s="802">
        <v>8.2588063515240007E-2</v>
      </c>
      <c r="S134" s="796">
        <v>1.0628323603292654E-2</v>
      </c>
      <c r="T134" s="796">
        <v>1.0628323603292654E-2</v>
      </c>
      <c r="U134" s="796">
        <v>1.0628323603292654E-2</v>
      </c>
      <c r="V134" s="796">
        <v>3.1884970809877962E-2</v>
      </c>
      <c r="W134" s="796">
        <v>2.1965073762811062E-2</v>
      </c>
      <c r="X134" s="802">
        <v>1.1589706150757438E-2</v>
      </c>
      <c r="Y134" s="741">
        <v>1.0628323603292654E-2</v>
      </c>
      <c r="Z134" s="741">
        <v>1.0628323603292654E-2</v>
      </c>
      <c r="AA134" s="741">
        <v>1.0628323603292654E-2</v>
      </c>
      <c r="AB134" s="741">
        <v>3.1884970809877962E-2</v>
      </c>
      <c r="AC134" s="741">
        <v>2.1965073762811062E-2</v>
      </c>
      <c r="AD134" s="741">
        <v>6.6527950619742149E-2</v>
      </c>
      <c r="AE134" s="741">
        <v>729.01328289113451</v>
      </c>
      <c r="AF134" s="741">
        <v>10958</v>
      </c>
      <c r="AG134" s="803" t="s">
        <v>2171</v>
      </c>
      <c r="AH134" s="798" t="s">
        <v>1989</v>
      </c>
      <c r="AI134" s="798" t="s">
        <v>2172</v>
      </c>
    </row>
    <row r="135" spans="1:35" ht="18.75" customHeight="1">
      <c r="A135" s="790">
        <v>130</v>
      </c>
      <c r="B135" s="790" t="s">
        <v>39</v>
      </c>
      <c r="C135" s="790" t="s">
        <v>216</v>
      </c>
      <c r="D135" s="790" t="s">
        <v>264</v>
      </c>
      <c r="E135" s="790" t="s">
        <v>270</v>
      </c>
      <c r="F135" s="791" t="s">
        <v>142</v>
      </c>
      <c r="G135" s="791" t="s">
        <v>1990</v>
      </c>
      <c r="H135" s="791" t="s">
        <v>30</v>
      </c>
      <c r="I135" s="792" t="s">
        <v>273</v>
      </c>
      <c r="J135" s="792" t="s">
        <v>273</v>
      </c>
      <c r="K135" s="793" t="s">
        <v>174</v>
      </c>
      <c r="L135" s="790">
        <v>2016</v>
      </c>
      <c r="M135" s="804">
        <v>3.1512605042016806E-2</v>
      </c>
      <c r="N135" s="795">
        <v>45</v>
      </c>
      <c r="O135" s="795">
        <v>1428</v>
      </c>
      <c r="P135" s="802">
        <v>6.9961977186311794E-2</v>
      </c>
      <c r="Q135" s="802">
        <v>8.2892255277727075E-2</v>
      </c>
      <c r="R135" s="802">
        <v>9.2415464143912537E-2</v>
      </c>
      <c r="S135" s="796">
        <v>1.8235122434762659E-2</v>
      </c>
      <c r="T135" s="796">
        <v>1.8235122434762659E-2</v>
      </c>
      <c r="U135" s="796">
        <v>1.8235122434762659E-2</v>
      </c>
      <c r="V135" s="796">
        <v>5.4705367304287975E-2</v>
      </c>
      <c r="W135" s="796">
        <v>3.7685699485981661E-2</v>
      </c>
      <c r="X135" s="802">
        <v>1.2875536480686695E-2</v>
      </c>
      <c r="Y135" s="741">
        <v>1.8235122434762659E-2</v>
      </c>
      <c r="Z135" s="741">
        <v>1.8235122434762659E-2</v>
      </c>
      <c r="AA135" s="741">
        <v>1.8235122434762659E-2</v>
      </c>
      <c r="AB135" s="741">
        <v>5.4705367304287975E-2</v>
      </c>
      <c r="AC135" s="741">
        <v>3.7685699485981661E-2</v>
      </c>
      <c r="AD135" s="741">
        <v>1.2808383679580681E-2</v>
      </c>
      <c r="AE135" s="741">
        <v>15</v>
      </c>
      <c r="AF135" s="741">
        <v>1171.1079536064512</v>
      </c>
      <c r="AG135" s="803" t="s">
        <v>2173</v>
      </c>
      <c r="AH135" s="798" t="s">
        <v>1989</v>
      </c>
      <c r="AI135" s="798" t="s">
        <v>2174</v>
      </c>
    </row>
    <row r="136" spans="1:35" ht="18.75" customHeight="1">
      <c r="A136" s="790">
        <v>131</v>
      </c>
      <c r="B136" s="790" t="s">
        <v>39</v>
      </c>
      <c r="C136" s="790" t="s">
        <v>216</v>
      </c>
      <c r="D136" s="790" t="s">
        <v>275</v>
      </c>
      <c r="E136" s="790" t="s">
        <v>91</v>
      </c>
      <c r="F136" s="791" t="s">
        <v>92</v>
      </c>
      <c r="G136" s="791" t="s">
        <v>93</v>
      </c>
      <c r="H136" s="791" t="s">
        <v>30</v>
      </c>
      <c r="I136" s="792" t="s">
        <v>1924</v>
      </c>
      <c r="J136" s="792" t="s">
        <v>92</v>
      </c>
      <c r="K136" s="793" t="s">
        <v>174</v>
      </c>
      <c r="L136" s="790">
        <v>2016</v>
      </c>
      <c r="M136" s="794">
        <v>562.91022488755902</v>
      </c>
      <c r="N136" s="795">
        <v>6132094.9760652361</v>
      </c>
      <c r="O136" s="795">
        <v>10893.557631308116</v>
      </c>
      <c r="P136" s="796">
        <v>1143.591522911428</v>
      </c>
      <c r="Q136" s="796">
        <v>1065.2143373617291</v>
      </c>
      <c r="R136" s="796">
        <v>792.43577081304625</v>
      </c>
      <c r="S136" s="796">
        <v>587.08961251266157</v>
      </c>
      <c r="T136" s="796">
        <v>587.08961251266157</v>
      </c>
      <c r="U136" s="796">
        <v>587.08961251266157</v>
      </c>
      <c r="V136" s="796">
        <v>1761.2688375379848</v>
      </c>
      <c r="W136" s="796">
        <v>1168.3083289001966</v>
      </c>
      <c r="X136" s="796">
        <v>568.14453336652525</v>
      </c>
      <c r="Y136" s="741">
        <v>587.08961251266157</v>
      </c>
      <c r="Z136" s="741">
        <v>587.08961251266157</v>
      </c>
      <c r="AA136" s="741">
        <v>587.08961251266157</v>
      </c>
      <c r="AB136" s="741">
        <v>1761.2688375379848</v>
      </c>
      <c r="AC136" s="741">
        <v>1168.3083289001966</v>
      </c>
      <c r="AD136" s="741">
        <v>314.51790204819781</v>
      </c>
      <c r="AE136" s="741">
        <v>1683840.0307389351</v>
      </c>
      <c r="AF136" s="741">
        <v>5353.7176096287758</v>
      </c>
      <c r="AG136" s="798" t="s">
        <v>1958</v>
      </c>
      <c r="AH136" s="798" t="s">
        <v>1959</v>
      </c>
      <c r="AI136" s="798"/>
    </row>
    <row r="137" spans="1:35" ht="18.75" customHeight="1">
      <c r="A137" s="790">
        <v>132</v>
      </c>
      <c r="B137" s="790" t="s">
        <v>39</v>
      </c>
      <c r="C137" s="790" t="s">
        <v>216</v>
      </c>
      <c r="D137" s="790" t="s">
        <v>275</v>
      </c>
      <c r="E137" s="790" t="s">
        <v>91</v>
      </c>
      <c r="F137" s="791" t="s">
        <v>95</v>
      </c>
      <c r="G137" s="791" t="s">
        <v>93</v>
      </c>
      <c r="H137" s="791" t="s">
        <v>30</v>
      </c>
      <c r="I137" s="792" t="s">
        <v>1924</v>
      </c>
      <c r="J137" s="792" t="s">
        <v>95</v>
      </c>
      <c r="K137" s="793" t="s">
        <v>174</v>
      </c>
      <c r="L137" s="790">
        <v>2016</v>
      </c>
      <c r="M137" s="799">
        <v>0.15063111798501147</v>
      </c>
      <c r="N137" s="795">
        <v>6132094.9760652361</v>
      </c>
      <c r="O137" s="795">
        <v>40709350.485438272</v>
      </c>
      <c r="P137" s="800">
        <v>0.11987818387498918</v>
      </c>
      <c r="Q137" s="800">
        <v>0.21265814916531481</v>
      </c>
      <c r="R137" s="800">
        <v>0.15604863705382885</v>
      </c>
      <c r="S137" s="796">
        <v>0.1527043528777331</v>
      </c>
      <c r="T137" s="796">
        <v>0.1527043528777331</v>
      </c>
      <c r="U137" s="796">
        <v>0.1527043528777331</v>
      </c>
      <c r="V137" s="796">
        <v>0.45811305863319929</v>
      </c>
      <c r="W137" s="796">
        <v>0.30388166222668889</v>
      </c>
      <c r="X137" s="800">
        <v>0.12574665615470207</v>
      </c>
      <c r="Y137" s="741">
        <v>0.1527043528777331</v>
      </c>
      <c r="Z137" s="741">
        <v>0.1527043528777331</v>
      </c>
      <c r="AA137" s="741">
        <v>0.1527043528777331</v>
      </c>
      <c r="AB137" s="741">
        <v>0.45811305863319929</v>
      </c>
      <c r="AC137" s="741">
        <v>0.30388166222668889</v>
      </c>
      <c r="AD137" s="741">
        <v>7.6948555799489851E-2</v>
      </c>
      <c r="AE137" s="741">
        <v>1683840.0307389351</v>
      </c>
      <c r="AF137" s="741">
        <v>21882672.302864697</v>
      </c>
      <c r="AG137" s="798" t="s">
        <v>1961</v>
      </c>
      <c r="AH137" s="798" t="s">
        <v>1959</v>
      </c>
      <c r="AI137" s="798"/>
    </row>
    <row r="138" spans="1:35" ht="18.75" customHeight="1">
      <c r="A138" s="790">
        <v>133</v>
      </c>
      <c r="B138" s="790" t="s">
        <v>39</v>
      </c>
      <c r="C138" s="790" t="s">
        <v>216</v>
      </c>
      <c r="D138" s="790" t="s">
        <v>275</v>
      </c>
      <c r="E138" s="790" t="s">
        <v>91</v>
      </c>
      <c r="F138" s="791" t="s">
        <v>96</v>
      </c>
      <c r="G138" s="791" t="s">
        <v>93</v>
      </c>
      <c r="H138" s="791" t="s">
        <v>30</v>
      </c>
      <c r="I138" s="792" t="s">
        <v>1924</v>
      </c>
      <c r="J138" s="792" t="s">
        <v>96</v>
      </c>
      <c r="K138" s="793" t="s">
        <v>174</v>
      </c>
      <c r="L138" s="790">
        <v>2016</v>
      </c>
      <c r="M138" s="799">
        <v>0.95696816915946536</v>
      </c>
      <c r="N138" s="795">
        <v>417823.59033476323</v>
      </c>
      <c r="O138" s="795">
        <v>436611.79525098577</v>
      </c>
      <c r="P138" s="800">
        <v>0.96858686993274801</v>
      </c>
      <c r="Q138" s="800">
        <v>-5.9101710527065938</v>
      </c>
      <c r="R138" s="800">
        <v>1.5369808598382564</v>
      </c>
      <c r="S138" s="796">
        <v>0.98469522173561042</v>
      </c>
      <c r="T138" s="796">
        <v>0.98469522173561042</v>
      </c>
      <c r="U138" s="796">
        <v>0.98469522173561042</v>
      </c>
      <c r="V138" s="796">
        <v>2.954085665206831</v>
      </c>
      <c r="W138" s="796">
        <v>1.9595434912538647</v>
      </c>
      <c r="X138" s="800">
        <v>1.0939585071675992</v>
      </c>
      <c r="Y138" s="741">
        <v>0.98469522173561042</v>
      </c>
      <c r="Z138" s="741">
        <v>0.98469522173561042</v>
      </c>
      <c r="AA138" s="741">
        <v>0.98469522173561042</v>
      </c>
      <c r="AB138" s="741">
        <v>2.954085665206831</v>
      </c>
      <c r="AC138" s="741">
        <v>1.9595434912538647</v>
      </c>
      <c r="AD138" s="741">
        <v>0.76782934028676175</v>
      </c>
      <c r="AE138" s="741">
        <v>4692770.1709432621</v>
      </c>
      <c r="AF138" s="741">
        <v>6111735.9349548295</v>
      </c>
      <c r="AG138" s="798" t="s">
        <v>1960</v>
      </c>
      <c r="AH138" s="798" t="s">
        <v>1959</v>
      </c>
      <c r="AI138" s="798"/>
    </row>
    <row r="139" spans="1:35" ht="18.75" customHeight="1">
      <c r="A139" s="790">
        <v>134</v>
      </c>
      <c r="B139" s="790" t="s">
        <v>39</v>
      </c>
      <c r="C139" s="790" t="s">
        <v>216</v>
      </c>
      <c r="D139" s="790" t="s">
        <v>275</v>
      </c>
      <c r="E139" s="790" t="s">
        <v>91</v>
      </c>
      <c r="F139" s="791" t="s">
        <v>97</v>
      </c>
      <c r="G139" s="791" t="s">
        <v>93</v>
      </c>
      <c r="H139" s="791" t="s">
        <v>30</v>
      </c>
      <c r="I139" s="792" t="s">
        <v>1924</v>
      </c>
      <c r="J139" s="792" t="s">
        <v>97</v>
      </c>
      <c r="K139" s="793" t="s">
        <v>174</v>
      </c>
      <c r="L139" s="790">
        <v>2016</v>
      </c>
      <c r="M139" s="794">
        <v>694.25857685114306</v>
      </c>
      <c r="N139" s="795">
        <v>7562945.8179578818</v>
      </c>
      <c r="O139" s="795">
        <v>10893.557631308116</v>
      </c>
      <c r="P139" s="796">
        <v>1404.4703619909544</v>
      </c>
      <c r="Q139" s="796">
        <v>1217.9598725917929</v>
      </c>
      <c r="R139" s="796">
        <v>825.28937287500628</v>
      </c>
      <c r="S139" s="796">
        <v>716.45269077123089</v>
      </c>
      <c r="T139" s="796">
        <v>716.45269077123089</v>
      </c>
      <c r="U139" s="796">
        <v>716.45269077123089</v>
      </c>
      <c r="V139" s="796">
        <v>2149.3580723136929</v>
      </c>
      <c r="W139" s="796">
        <v>1425.7408546347494</v>
      </c>
      <c r="X139" s="796">
        <v>584.35540495313512</v>
      </c>
      <c r="Y139" s="741">
        <v>716.45269077123089</v>
      </c>
      <c r="Z139" s="741">
        <v>716.45269077123089</v>
      </c>
      <c r="AA139" s="741">
        <v>716.45269077123089</v>
      </c>
      <c r="AB139" s="741">
        <v>2149.3580723136929</v>
      </c>
      <c r="AC139" s="741">
        <v>1425.7408546347494</v>
      </c>
      <c r="AD139" s="741">
        <v>325.70631405801606</v>
      </c>
      <c r="AE139" s="741">
        <v>1743739.6291396811</v>
      </c>
      <c r="AF139" s="741">
        <v>5353.7176096287758</v>
      </c>
      <c r="AG139" s="798" t="s">
        <v>1991</v>
      </c>
      <c r="AH139" s="798" t="s">
        <v>1959</v>
      </c>
      <c r="AI139" s="798"/>
    </row>
    <row r="140" spans="1:35" ht="18.75" customHeight="1">
      <c r="A140" s="790">
        <v>135</v>
      </c>
      <c r="B140" s="790" t="s">
        <v>39</v>
      </c>
      <c r="C140" s="790" t="s">
        <v>216</v>
      </c>
      <c r="D140" s="790" t="s">
        <v>275</v>
      </c>
      <c r="E140" s="790" t="s">
        <v>91</v>
      </c>
      <c r="F140" s="791" t="s">
        <v>98</v>
      </c>
      <c r="G140" s="791" t="s">
        <v>93</v>
      </c>
      <c r="H140" s="791" t="s">
        <v>30</v>
      </c>
      <c r="I140" s="792" t="s">
        <v>1924</v>
      </c>
      <c r="J140" s="792" t="s">
        <v>98</v>
      </c>
      <c r="K140" s="793" t="s">
        <v>174</v>
      </c>
      <c r="L140" s="790">
        <v>2016</v>
      </c>
      <c r="M140" s="799">
        <v>0.18577908337454674</v>
      </c>
      <c r="N140" s="795">
        <v>7562945.8179578818</v>
      </c>
      <c r="O140" s="795">
        <v>40709350.485438272</v>
      </c>
      <c r="P140" s="800">
        <v>0.14722508249544294</v>
      </c>
      <c r="Q140" s="800">
        <v>0.24315208984559331</v>
      </c>
      <c r="R140" s="800">
        <v>0.16251825896251382</v>
      </c>
      <c r="S140" s="796">
        <v>0.18635220617086276</v>
      </c>
      <c r="T140" s="796">
        <v>0.18635220617086276</v>
      </c>
      <c r="U140" s="796">
        <v>0.18635220617086276</v>
      </c>
      <c r="V140" s="796">
        <v>0.55905661851258825</v>
      </c>
      <c r="W140" s="796">
        <v>0.37084089028001688</v>
      </c>
      <c r="X140" s="800">
        <v>0.12932561621536287</v>
      </c>
      <c r="Y140" s="741">
        <v>0.18635220617086276</v>
      </c>
      <c r="Z140" s="741">
        <v>0.18635220617086276</v>
      </c>
      <c r="AA140" s="741">
        <v>0.18635220617086276</v>
      </c>
      <c r="AB140" s="741">
        <v>0.55905661851258825</v>
      </c>
      <c r="AC140" s="741">
        <v>0.37084089028001688</v>
      </c>
      <c r="AD140" s="741">
        <v>7.9685863088641382E-2</v>
      </c>
      <c r="AE140" s="741">
        <v>1743739.6291396811</v>
      </c>
      <c r="AF140" s="741">
        <v>21882672.302864697</v>
      </c>
      <c r="AG140" s="798" t="s">
        <v>1992</v>
      </c>
      <c r="AH140" s="798" t="s">
        <v>1959</v>
      </c>
      <c r="AI140" s="798"/>
    </row>
    <row r="141" spans="1:35" ht="18.75" customHeight="1">
      <c r="A141" s="790">
        <v>136</v>
      </c>
      <c r="B141" s="790" t="s">
        <v>39</v>
      </c>
      <c r="C141" s="790" t="s">
        <v>216</v>
      </c>
      <c r="D141" s="790" t="s">
        <v>275</v>
      </c>
      <c r="E141" s="790" t="s">
        <v>91</v>
      </c>
      <c r="F141" s="791" t="s">
        <v>99</v>
      </c>
      <c r="G141" s="791" t="s">
        <v>93</v>
      </c>
      <c r="H141" s="791" t="s">
        <v>30</v>
      </c>
      <c r="I141" s="792" t="s">
        <v>1924</v>
      </c>
      <c r="J141" s="792" t="s">
        <v>99</v>
      </c>
      <c r="K141" s="793" t="s">
        <v>174</v>
      </c>
      <c r="L141" s="790">
        <v>2016</v>
      </c>
      <c r="M141" s="799">
        <v>1.1802652178599251</v>
      </c>
      <c r="N141" s="795">
        <v>515317.71564211778</v>
      </c>
      <c r="O141" s="795">
        <v>436611.79525098577</v>
      </c>
      <c r="P141" s="800">
        <v>1.1895432281369684</v>
      </c>
      <c r="Q141" s="800">
        <v>1.626305568224182</v>
      </c>
      <c r="R141" s="800">
        <v>1.6007025637363108</v>
      </c>
      <c r="S141" s="796">
        <v>1.2016692616697195</v>
      </c>
      <c r="T141" s="796">
        <v>1.2016692616697195</v>
      </c>
      <c r="U141" s="796">
        <v>1.2016692616697195</v>
      </c>
      <c r="V141" s="796">
        <v>3.6050077850091586</v>
      </c>
      <c r="W141" s="796">
        <v>2.3913218307227417</v>
      </c>
      <c r="X141" s="800">
        <v>1.1250943951895929</v>
      </c>
      <c r="Y141" s="741">
        <v>1.2016692616697195</v>
      </c>
      <c r="Z141" s="741">
        <v>1.2016692616697195</v>
      </c>
      <c r="AA141" s="741">
        <v>1.2016692616697195</v>
      </c>
      <c r="AB141" s="741">
        <v>3.6050077850091586</v>
      </c>
      <c r="AC141" s="741">
        <v>2.3913218307227417</v>
      </c>
      <c r="AD141" s="741">
        <v>0.79514349619461455</v>
      </c>
      <c r="AE141" s="741">
        <v>4859707.0791382445</v>
      </c>
      <c r="AF141" s="741">
        <v>6111735.9349548295</v>
      </c>
      <c r="AG141" s="798" t="s">
        <v>1964</v>
      </c>
      <c r="AH141" s="798" t="s">
        <v>1959</v>
      </c>
      <c r="AI141" s="798"/>
    </row>
    <row r="142" spans="1:35" ht="18.75" customHeight="1">
      <c r="A142" s="790">
        <v>137</v>
      </c>
      <c r="B142" s="790" t="s">
        <v>39</v>
      </c>
      <c r="C142" s="790" t="s">
        <v>216</v>
      </c>
      <c r="D142" s="790" t="s">
        <v>277</v>
      </c>
      <c r="E142" s="790" t="s">
        <v>278</v>
      </c>
      <c r="F142" s="791" t="s">
        <v>752</v>
      </c>
      <c r="G142" s="791" t="s">
        <v>280</v>
      </c>
      <c r="H142" s="791" t="s">
        <v>164</v>
      </c>
      <c r="I142" s="792" t="s">
        <v>1993</v>
      </c>
      <c r="J142" s="792" t="s">
        <v>1994</v>
      </c>
      <c r="K142" s="793" t="s">
        <v>174</v>
      </c>
      <c r="L142" s="790" t="s">
        <v>59</v>
      </c>
      <c r="M142" s="790" t="s">
        <v>59</v>
      </c>
      <c r="N142" s="790" t="s">
        <v>59</v>
      </c>
      <c r="O142" s="790" t="s">
        <v>59</v>
      </c>
      <c r="P142" s="790" t="s">
        <v>59</v>
      </c>
      <c r="Q142" s="796">
        <v>11337.076056072163</v>
      </c>
      <c r="R142" s="796">
        <v>19111.341880527707</v>
      </c>
      <c r="S142" s="796" t="s">
        <v>1881</v>
      </c>
      <c r="T142" s="796" t="s">
        <v>1881</v>
      </c>
      <c r="U142" s="796" t="s">
        <v>1881</v>
      </c>
      <c r="V142" s="796" t="s">
        <v>1881</v>
      </c>
      <c r="W142" s="796" t="s">
        <v>1881</v>
      </c>
      <c r="X142" s="796">
        <v>20105.600659819589</v>
      </c>
      <c r="Y142" s="741" t="s">
        <v>1881</v>
      </c>
      <c r="Z142" s="741" t="s">
        <v>1881</v>
      </c>
      <c r="AA142" s="741" t="s">
        <v>1881</v>
      </c>
      <c r="AB142" s="741"/>
      <c r="AC142" s="741"/>
      <c r="AD142" s="741">
        <v>23727.45633042348</v>
      </c>
      <c r="AE142" s="741">
        <v>10948892358.935932</v>
      </c>
      <c r="AF142" s="741">
        <v>461444</v>
      </c>
      <c r="AG142" s="798" t="s">
        <v>2175</v>
      </c>
      <c r="AH142" s="798"/>
      <c r="AI142" s="798" t="s">
        <v>2176</v>
      </c>
    </row>
    <row r="143" spans="1:35" ht="18.75" customHeight="1">
      <c r="A143" s="790">
        <v>138</v>
      </c>
      <c r="B143" s="790" t="s">
        <v>39</v>
      </c>
      <c r="C143" s="790" t="s">
        <v>216</v>
      </c>
      <c r="D143" s="790" t="s">
        <v>277</v>
      </c>
      <c r="E143" s="790" t="s">
        <v>284</v>
      </c>
      <c r="F143" s="791" t="s">
        <v>752</v>
      </c>
      <c r="G143" s="791" t="s">
        <v>286</v>
      </c>
      <c r="H143" s="791" t="s">
        <v>164</v>
      </c>
      <c r="I143" s="792" t="s">
        <v>1995</v>
      </c>
      <c r="J143" s="792" t="s">
        <v>1996</v>
      </c>
      <c r="K143" s="793" t="s">
        <v>174</v>
      </c>
      <c r="L143" s="790" t="s">
        <v>59</v>
      </c>
      <c r="M143" s="790" t="s">
        <v>59</v>
      </c>
      <c r="N143" s="790" t="s">
        <v>59</v>
      </c>
      <c r="O143" s="790" t="s">
        <v>59</v>
      </c>
      <c r="P143" s="790" t="s">
        <v>59</v>
      </c>
      <c r="Q143" s="796">
        <v>13.708677214113861</v>
      </c>
      <c r="R143" s="796">
        <v>23.109240484314036</v>
      </c>
      <c r="S143" s="796" t="s">
        <v>1881</v>
      </c>
      <c r="T143" s="796" t="s">
        <v>1881</v>
      </c>
      <c r="U143" s="796" t="s">
        <v>1881</v>
      </c>
      <c r="V143" s="796" t="s">
        <v>1881</v>
      </c>
      <c r="W143" s="796" t="s">
        <v>1881</v>
      </c>
      <c r="X143" s="796">
        <v>24.311488101353799</v>
      </c>
      <c r="Y143" s="741" t="s">
        <v>1881</v>
      </c>
      <c r="Z143" s="741" t="s">
        <v>1881</v>
      </c>
      <c r="AA143" s="741" t="s">
        <v>1881</v>
      </c>
      <c r="AB143" s="741"/>
      <c r="AC143" s="741"/>
      <c r="AD143" s="741">
        <v>2.1653090281459644</v>
      </c>
      <c r="AE143" s="741">
        <v>10948892358.935932</v>
      </c>
      <c r="AF143" s="741">
        <v>5056503352</v>
      </c>
      <c r="AG143" s="798" t="s">
        <v>2177</v>
      </c>
      <c r="AH143" s="798"/>
      <c r="AI143" s="798" t="s">
        <v>2178</v>
      </c>
    </row>
    <row r="144" spans="1:35" ht="18.75" customHeight="1">
      <c r="A144" s="790">
        <v>139</v>
      </c>
      <c r="B144" s="790" t="s">
        <v>39</v>
      </c>
      <c r="C144" s="790" t="s">
        <v>290</v>
      </c>
      <c r="D144" s="790" t="s">
        <v>291</v>
      </c>
      <c r="E144" s="790" t="s">
        <v>51</v>
      </c>
      <c r="F144" s="791" t="s">
        <v>791</v>
      </c>
      <c r="G144" s="791" t="s">
        <v>53</v>
      </c>
      <c r="H144" s="791" t="s">
        <v>30</v>
      </c>
      <c r="I144" s="792" t="s">
        <v>1902</v>
      </c>
      <c r="J144" s="792" t="s">
        <v>52</v>
      </c>
      <c r="K144" s="793" t="s">
        <v>293</v>
      </c>
      <c r="L144" s="790">
        <v>2016</v>
      </c>
      <c r="M144" s="794">
        <v>20942.4105399621</v>
      </c>
      <c r="N144" s="790" t="s">
        <v>59</v>
      </c>
      <c r="O144" s="790" t="s">
        <v>59</v>
      </c>
      <c r="P144" s="796">
        <v>18761.921947046667</v>
      </c>
      <c r="Q144" s="796">
        <v>17977.164602045003</v>
      </c>
      <c r="R144" s="796">
        <v>6510.3059570831938</v>
      </c>
      <c r="S144" s="796">
        <v>20052.897097934729</v>
      </c>
      <c r="T144" s="796">
        <v>20052.897097934729</v>
      </c>
      <c r="U144" s="796">
        <v>20052.897097934729</v>
      </c>
      <c r="V144" s="796">
        <v>60158.691293804186</v>
      </c>
      <c r="W144" s="796">
        <v>41937.099355406484</v>
      </c>
      <c r="X144" s="796">
        <v>45438.025563202362</v>
      </c>
      <c r="Y144" s="741">
        <v>20052.897097934729</v>
      </c>
      <c r="Z144" s="741">
        <v>20052.897097934729</v>
      </c>
      <c r="AA144" s="741">
        <v>20052.897097934729</v>
      </c>
      <c r="AB144" s="741">
        <v>60158.691293804186</v>
      </c>
      <c r="AC144" s="741">
        <v>41937.099355406484</v>
      </c>
      <c r="AD144" s="741">
        <v>7818.8756722617145</v>
      </c>
      <c r="AE144" s="741" t="s">
        <v>59</v>
      </c>
      <c r="AF144" s="741" t="s">
        <v>59</v>
      </c>
      <c r="AG144" s="798" t="s">
        <v>1997</v>
      </c>
      <c r="AH144" s="798" t="s">
        <v>49</v>
      </c>
      <c r="AI144" s="798" t="s">
        <v>2179</v>
      </c>
    </row>
    <row r="145" spans="1:35" ht="18.75" customHeight="1">
      <c r="A145" s="790">
        <v>140</v>
      </c>
      <c r="B145" s="790" t="s">
        <v>39</v>
      </c>
      <c r="C145" s="790" t="s">
        <v>290</v>
      </c>
      <c r="D145" s="790" t="s">
        <v>291</v>
      </c>
      <c r="E145" s="790" t="s">
        <v>51</v>
      </c>
      <c r="F145" s="791" t="s">
        <v>791</v>
      </c>
      <c r="G145" s="791" t="s">
        <v>53</v>
      </c>
      <c r="H145" s="791" t="s">
        <v>30</v>
      </c>
      <c r="I145" s="792" t="s">
        <v>1902</v>
      </c>
      <c r="J145" s="792" t="s">
        <v>55</v>
      </c>
      <c r="K145" s="793" t="s">
        <v>293</v>
      </c>
      <c r="L145" s="790">
        <v>2016</v>
      </c>
      <c r="M145" s="794">
        <v>13928.8118527406</v>
      </c>
      <c r="N145" s="790" t="s">
        <v>59</v>
      </c>
      <c r="O145" s="790" t="s">
        <v>59</v>
      </c>
      <c r="P145" s="796">
        <v>14976.994338750063</v>
      </c>
      <c r="Q145" s="796">
        <v>15325.22723764494</v>
      </c>
      <c r="R145" s="796">
        <v>4797.0181701636484</v>
      </c>
      <c r="S145" s="796">
        <v>12754.842387079609</v>
      </c>
      <c r="T145" s="796">
        <v>12754.842387079609</v>
      </c>
      <c r="U145" s="796">
        <v>12754.842387079609</v>
      </c>
      <c r="V145" s="796">
        <v>38264.527161238824</v>
      </c>
      <c r="W145" s="796">
        <v>26737.606998148458</v>
      </c>
      <c r="X145" s="796">
        <v>44723.25293662685</v>
      </c>
      <c r="Y145" s="741">
        <v>12754.842387079609</v>
      </c>
      <c r="Z145" s="741">
        <v>12754.842387079609</v>
      </c>
      <c r="AA145" s="741">
        <v>12754.842387079609</v>
      </c>
      <c r="AB145" s="741">
        <v>38264.527161238824</v>
      </c>
      <c r="AC145" s="741">
        <v>26737.606998148458</v>
      </c>
      <c r="AD145" s="741">
        <v>5481.604272008688</v>
      </c>
      <c r="AE145" s="741" t="s">
        <v>59</v>
      </c>
      <c r="AF145" s="741" t="s">
        <v>59</v>
      </c>
      <c r="AG145" s="798" t="s">
        <v>1997</v>
      </c>
      <c r="AH145" s="798" t="s">
        <v>49</v>
      </c>
      <c r="AI145" s="798" t="s">
        <v>2179</v>
      </c>
    </row>
    <row r="146" spans="1:35" ht="18.75" customHeight="1">
      <c r="A146" s="790">
        <v>141</v>
      </c>
      <c r="B146" s="790" t="s">
        <v>39</v>
      </c>
      <c r="C146" s="790" t="s">
        <v>290</v>
      </c>
      <c r="D146" s="790" t="s">
        <v>291</v>
      </c>
      <c r="E146" s="790" t="s">
        <v>51</v>
      </c>
      <c r="F146" s="791" t="s">
        <v>792</v>
      </c>
      <c r="G146" s="791" t="s">
        <v>53</v>
      </c>
      <c r="H146" s="791" t="s">
        <v>30</v>
      </c>
      <c r="I146" s="792" t="s">
        <v>1902</v>
      </c>
      <c r="J146" s="792" t="s">
        <v>56</v>
      </c>
      <c r="K146" s="793" t="s">
        <v>293</v>
      </c>
      <c r="L146" s="790">
        <v>2016</v>
      </c>
      <c r="M146" s="794">
        <v>104208248.482759</v>
      </c>
      <c r="N146" s="790" t="s">
        <v>59</v>
      </c>
      <c r="O146" s="790" t="s">
        <v>59</v>
      </c>
      <c r="P146" s="796">
        <v>88627172.775303721</v>
      </c>
      <c r="Q146" s="796">
        <v>71809803.551935911</v>
      </c>
      <c r="R146" s="796">
        <v>28749606.09597994</v>
      </c>
      <c r="S146" s="796">
        <v>94291378.792599902</v>
      </c>
      <c r="T146" s="796">
        <v>94291378.792599902</v>
      </c>
      <c r="U146" s="796">
        <v>94291378.792599902</v>
      </c>
      <c r="V146" s="796">
        <v>282874136.37779969</v>
      </c>
      <c r="W146" s="796">
        <v>194867710.81518292</v>
      </c>
      <c r="X146" s="796">
        <v>218445474.01682308</v>
      </c>
      <c r="Y146" s="741">
        <v>94291378.792599902</v>
      </c>
      <c r="Z146" s="741">
        <v>94291378.792599902</v>
      </c>
      <c r="AA146" s="741">
        <v>94291378.792599902</v>
      </c>
      <c r="AB146" s="741">
        <v>282874136.37779969</v>
      </c>
      <c r="AC146" s="741">
        <v>194867710.81518292</v>
      </c>
      <c r="AD146" s="741">
        <v>34512884.262785725</v>
      </c>
      <c r="AE146" s="741" t="s">
        <v>59</v>
      </c>
      <c r="AF146" s="741" t="s">
        <v>59</v>
      </c>
      <c r="AG146" s="798" t="s">
        <v>1997</v>
      </c>
      <c r="AH146" s="798" t="s">
        <v>49</v>
      </c>
      <c r="AI146" s="798" t="s">
        <v>2179</v>
      </c>
    </row>
    <row r="147" spans="1:35" ht="18.75" customHeight="1">
      <c r="A147" s="790">
        <v>142</v>
      </c>
      <c r="B147" s="790" t="s">
        <v>39</v>
      </c>
      <c r="C147" s="790" t="s">
        <v>290</v>
      </c>
      <c r="D147" s="790" t="s">
        <v>291</v>
      </c>
      <c r="E147" s="790" t="s">
        <v>51</v>
      </c>
      <c r="F147" s="791" t="s">
        <v>792</v>
      </c>
      <c r="G147" s="791" t="s">
        <v>53</v>
      </c>
      <c r="H147" s="791" t="s">
        <v>30</v>
      </c>
      <c r="I147" s="792" t="s">
        <v>1902</v>
      </c>
      <c r="J147" s="792" t="s">
        <v>57</v>
      </c>
      <c r="K147" s="793" t="s">
        <v>293</v>
      </c>
      <c r="L147" s="790">
        <v>2016</v>
      </c>
      <c r="M147" s="794">
        <v>68461323.543331504</v>
      </c>
      <c r="N147" s="790" t="s">
        <v>59</v>
      </c>
      <c r="O147" s="790" t="s">
        <v>59</v>
      </c>
      <c r="P147" s="796">
        <v>68056876.459394991</v>
      </c>
      <c r="Q147" s="796">
        <v>60445200.336516038</v>
      </c>
      <c r="R147" s="796">
        <v>22083697.691690225</v>
      </c>
      <c r="S147" s="796">
        <v>58318476.793748207</v>
      </c>
      <c r="T147" s="796">
        <v>58318476.793748207</v>
      </c>
      <c r="U147" s="796">
        <v>58318476.793748207</v>
      </c>
      <c r="V147" s="796">
        <v>174955430.38124463</v>
      </c>
      <c r="W147" s="796">
        <v>120598481.51685461</v>
      </c>
      <c r="X147" s="796">
        <v>214485632.11924869</v>
      </c>
      <c r="Y147" s="741">
        <v>58318476.793748207</v>
      </c>
      <c r="Z147" s="741">
        <v>58318476.793748207</v>
      </c>
      <c r="AA147" s="741">
        <v>58318476.793748207</v>
      </c>
      <c r="AB147" s="741">
        <v>174955430.38124463</v>
      </c>
      <c r="AC147" s="741">
        <v>120598481.51685461</v>
      </c>
      <c r="AD147" s="741">
        <v>25244333.751977783</v>
      </c>
      <c r="AE147" s="741" t="s">
        <v>59</v>
      </c>
      <c r="AF147" s="741" t="s">
        <v>59</v>
      </c>
      <c r="AG147" s="798" t="s">
        <v>1997</v>
      </c>
      <c r="AH147" s="798" t="s">
        <v>49</v>
      </c>
      <c r="AI147" s="798" t="s">
        <v>2179</v>
      </c>
    </row>
    <row r="148" spans="1:35" ht="18.75" customHeight="1">
      <c r="A148" s="790">
        <v>143</v>
      </c>
      <c r="B148" s="790" t="s">
        <v>39</v>
      </c>
      <c r="C148" s="790" t="s">
        <v>290</v>
      </c>
      <c r="D148" s="790" t="s">
        <v>291</v>
      </c>
      <c r="E148" s="790" t="s">
        <v>51</v>
      </c>
      <c r="F148" s="791" t="s">
        <v>793</v>
      </c>
      <c r="G148" s="791" t="s">
        <v>53</v>
      </c>
      <c r="H148" s="791" t="s">
        <v>30</v>
      </c>
      <c r="I148" s="792" t="s">
        <v>1902</v>
      </c>
      <c r="J148" s="792" t="s">
        <v>58</v>
      </c>
      <c r="K148" s="793" t="s">
        <v>293</v>
      </c>
      <c r="L148" s="790">
        <v>2016</v>
      </c>
      <c r="M148" s="794">
        <v>651631.97110123001</v>
      </c>
      <c r="N148" s="790" t="s">
        <v>59</v>
      </c>
      <c r="O148" s="790" t="s">
        <v>59</v>
      </c>
      <c r="P148" s="796">
        <v>430579.00311940245</v>
      </c>
      <c r="Q148" s="796">
        <v>197407.13417670046</v>
      </c>
      <c r="R148" s="796">
        <v>616067.34714183549</v>
      </c>
      <c r="S148" s="796">
        <v>1067270.5304584501</v>
      </c>
      <c r="T148" s="796">
        <v>1067270.5304584501</v>
      </c>
      <c r="U148" s="796">
        <v>1067270.5304584501</v>
      </c>
      <c r="V148" s="796">
        <v>3201811.59137535</v>
      </c>
      <c r="W148" s="796">
        <v>2307616.2544530788</v>
      </c>
      <c r="X148" s="796">
        <v>864068.43125482777</v>
      </c>
      <c r="Y148" s="741">
        <v>1067270.5304584501</v>
      </c>
      <c r="Z148" s="741">
        <v>1067270.5304584501</v>
      </c>
      <c r="AA148" s="741">
        <v>1067270.5304584501</v>
      </c>
      <c r="AB148" s="741">
        <v>3201811.59137535</v>
      </c>
      <c r="AC148" s="741">
        <v>2307616.2544530788</v>
      </c>
      <c r="AD148" s="741">
        <v>1087222.0832761263</v>
      </c>
      <c r="AE148" s="741" t="s">
        <v>59</v>
      </c>
      <c r="AF148" s="741" t="s">
        <v>59</v>
      </c>
      <c r="AG148" s="798" t="s">
        <v>1997</v>
      </c>
      <c r="AH148" s="798" t="s">
        <v>49</v>
      </c>
      <c r="AI148" s="798" t="s">
        <v>2179</v>
      </c>
    </row>
    <row r="149" spans="1:35" ht="18.75" customHeight="1">
      <c r="A149" s="790">
        <v>144</v>
      </c>
      <c r="B149" s="790" t="s">
        <v>39</v>
      </c>
      <c r="C149" s="790" t="s">
        <v>290</v>
      </c>
      <c r="D149" s="790" t="s">
        <v>291</v>
      </c>
      <c r="E149" s="790" t="s">
        <v>51</v>
      </c>
      <c r="F149" s="791" t="s">
        <v>793</v>
      </c>
      <c r="G149" s="791" t="s">
        <v>53</v>
      </c>
      <c r="H149" s="791" t="s">
        <v>30</v>
      </c>
      <c r="I149" s="792" t="s">
        <v>1902</v>
      </c>
      <c r="J149" s="792" t="s">
        <v>60</v>
      </c>
      <c r="K149" s="793" t="s">
        <v>293</v>
      </c>
      <c r="L149" s="790">
        <v>2016</v>
      </c>
      <c r="M149" s="794">
        <v>398717.23456308001</v>
      </c>
      <c r="N149" s="790" t="s">
        <v>59</v>
      </c>
      <c r="O149" s="790" t="s">
        <v>59</v>
      </c>
      <c r="P149" s="796">
        <v>197874.57642467719</v>
      </c>
      <c r="Q149" s="796">
        <v>38041.337353056893</v>
      </c>
      <c r="R149" s="796">
        <v>474473.34083773254</v>
      </c>
      <c r="S149" s="796">
        <v>582666.69684346463</v>
      </c>
      <c r="T149" s="796">
        <v>582666.69684346463</v>
      </c>
      <c r="U149" s="796">
        <v>582666.69684346463</v>
      </c>
      <c r="V149" s="796">
        <v>1748000.0905303939</v>
      </c>
      <c r="W149" s="796">
        <v>1235876.3585157397</v>
      </c>
      <c r="X149" s="796">
        <v>837746.72519605723</v>
      </c>
      <c r="Y149" s="741">
        <v>582666.69684346463</v>
      </c>
      <c r="Z149" s="741">
        <v>582666.69684346463</v>
      </c>
      <c r="AA149" s="741">
        <v>582666.69684346463</v>
      </c>
      <c r="AB149" s="741">
        <v>1748000.0905303939</v>
      </c>
      <c r="AC149" s="741">
        <v>1235876.3585157397</v>
      </c>
      <c r="AD149" s="741">
        <v>879420.95989366865</v>
      </c>
      <c r="AE149" s="741" t="s">
        <v>59</v>
      </c>
      <c r="AF149" s="741" t="s">
        <v>59</v>
      </c>
      <c r="AG149" s="798" t="s">
        <v>1997</v>
      </c>
      <c r="AH149" s="798" t="s">
        <v>49</v>
      </c>
      <c r="AI149" s="798" t="s">
        <v>2179</v>
      </c>
    </row>
    <row r="150" spans="1:35" ht="18.75" customHeight="1">
      <c r="A150" s="790">
        <v>145</v>
      </c>
      <c r="B150" s="790" t="s">
        <v>39</v>
      </c>
      <c r="C150" s="790" t="s">
        <v>290</v>
      </c>
      <c r="D150" s="790" t="s">
        <v>291</v>
      </c>
      <c r="E150" s="790" t="s">
        <v>51</v>
      </c>
      <c r="F150" s="791" t="s">
        <v>791</v>
      </c>
      <c r="G150" s="791" t="s">
        <v>53</v>
      </c>
      <c r="H150" s="791" t="s">
        <v>30</v>
      </c>
      <c r="I150" s="792" t="s">
        <v>1902</v>
      </c>
      <c r="J150" s="792" t="s">
        <v>61</v>
      </c>
      <c r="K150" s="793" t="s">
        <v>293</v>
      </c>
      <c r="L150" s="790">
        <v>2016</v>
      </c>
      <c r="M150" s="794">
        <v>224342.18687198</v>
      </c>
      <c r="N150" s="790" t="s">
        <v>59</v>
      </c>
      <c r="O150" s="790" t="s">
        <v>59</v>
      </c>
      <c r="P150" s="796">
        <v>149417.58976452262</v>
      </c>
      <c r="Q150" s="796">
        <v>130331.78629003785</v>
      </c>
      <c r="R150" s="796">
        <v>40559.444891439853</v>
      </c>
      <c r="S150" s="796">
        <v>219568.99472999151</v>
      </c>
      <c r="T150" s="796">
        <v>219568.99472999151</v>
      </c>
      <c r="U150" s="796">
        <v>219568.99472999151</v>
      </c>
      <c r="V150" s="796">
        <v>658706.98418997449</v>
      </c>
      <c r="W150" s="796">
        <v>459189.84685293824</v>
      </c>
      <c r="X150" s="796">
        <v>615972.39399536699</v>
      </c>
      <c r="Y150" s="741">
        <v>219568.99472999151</v>
      </c>
      <c r="Z150" s="741">
        <v>219568.99472999151</v>
      </c>
      <c r="AA150" s="741">
        <v>219568.99472999151</v>
      </c>
      <c r="AB150" s="741">
        <v>658706.98418997449</v>
      </c>
      <c r="AC150" s="741">
        <v>459189.84685293824</v>
      </c>
      <c r="AD150" s="741">
        <v>94902.195308431197</v>
      </c>
      <c r="AE150" s="741" t="s">
        <v>59</v>
      </c>
      <c r="AF150" s="741" t="s">
        <v>59</v>
      </c>
      <c r="AG150" s="798" t="s">
        <v>1997</v>
      </c>
      <c r="AH150" s="798" t="s">
        <v>49</v>
      </c>
      <c r="AI150" s="798" t="s">
        <v>2179</v>
      </c>
    </row>
    <row r="151" spans="1:35" ht="18.75" customHeight="1">
      <c r="A151" s="790">
        <v>146</v>
      </c>
      <c r="B151" s="790" t="s">
        <v>39</v>
      </c>
      <c r="C151" s="790" t="s">
        <v>290</v>
      </c>
      <c r="D151" s="790" t="s">
        <v>291</v>
      </c>
      <c r="E151" s="790" t="s">
        <v>51</v>
      </c>
      <c r="F151" s="791" t="s">
        <v>791</v>
      </c>
      <c r="G151" s="791" t="s">
        <v>53</v>
      </c>
      <c r="H151" s="791" t="s">
        <v>30</v>
      </c>
      <c r="I151" s="792" t="s">
        <v>1902</v>
      </c>
      <c r="J151" s="792" t="s">
        <v>62</v>
      </c>
      <c r="K151" s="793" t="s">
        <v>293</v>
      </c>
      <c r="L151" s="790">
        <v>2016</v>
      </c>
      <c r="M151" s="794">
        <v>148324.13226125401</v>
      </c>
      <c r="N151" s="790" t="s">
        <v>59</v>
      </c>
      <c r="O151" s="790" t="s">
        <v>59</v>
      </c>
      <c r="P151" s="796">
        <v>120354.98574719284</v>
      </c>
      <c r="Q151" s="796">
        <v>113966.1670359182</v>
      </c>
      <c r="R151" s="796">
        <v>29725.930234849329</v>
      </c>
      <c r="S151" s="796">
        <v>138643.0601826249</v>
      </c>
      <c r="T151" s="796">
        <v>138643.0601826249</v>
      </c>
      <c r="U151" s="796">
        <v>138643.0601826249</v>
      </c>
      <c r="V151" s="796">
        <v>415929.18054787471</v>
      </c>
      <c r="W151" s="796">
        <v>290633.43502690142</v>
      </c>
      <c r="X151" s="796">
        <v>610341.06724811811</v>
      </c>
      <c r="Y151" s="741">
        <v>138643.0601826249</v>
      </c>
      <c r="Z151" s="741">
        <v>138643.0601826249</v>
      </c>
      <c r="AA151" s="741">
        <v>138643.0601826249</v>
      </c>
      <c r="AB151" s="741">
        <v>415929.18054787471</v>
      </c>
      <c r="AC151" s="741">
        <v>290633.43502690142</v>
      </c>
      <c r="AD151" s="741">
        <v>66092.405864267959</v>
      </c>
      <c r="AE151" s="741" t="s">
        <v>59</v>
      </c>
      <c r="AF151" s="741" t="s">
        <v>59</v>
      </c>
      <c r="AG151" s="798" t="s">
        <v>1997</v>
      </c>
      <c r="AH151" s="798" t="s">
        <v>49</v>
      </c>
      <c r="AI151" s="798" t="s">
        <v>2179</v>
      </c>
    </row>
    <row r="152" spans="1:35" ht="18.75" customHeight="1">
      <c r="A152" s="790">
        <v>147</v>
      </c>
      <c r="B152" s="790" t="s">
        <v>39</v>
      </c>
      <c r="C152" s="790" t="s">
        <v>290</v>
      </c>
      <c r="D152" s="790" t="s">
        <v>291</v>
      </c>
      <c r="E152" s="790" t="s">
        <v>51</v>
      </c>
      <c r="F152" s="791" t="s">
        <v>792</v>
      </c>
      <c r="G152" s="791" t="s">
        <v>53</v>
      </c>
      <c r="H152" s="791" t="s">
        <v>30</v>
      </c>
      <c r="I152" s="792" t="s">
        <v>1902</v>
      </c>
      <c r="J152" s="792" t="s">
        <v>63</v>
      </c>
      <c r="K152" s="793" t="s">
        <v>293</v>
      </c>
      <c r="L152" s="790">
        <v>2016</v>
      </c>
      <c r="M152" s="794">
        <v>1116254876.27507</v>
      </c>
      <c r="N152" s="790" t="s">
        <v>59</v>
      </c>
      <c r="O152" s="790" t="s">
        <v>59</v>
      </c>
      <c r="P152" s="796">
        <v>714402971.23290229</v>
      </c>
      <c r="Q152" s="796">
        <v>550622819.52010953</v>
      </c>
      <c r="R152" s="796">
        <v>183084252.36191565</v>
      </c>
      <c r="S152" s="796">
        <v>1031060456.3078518</v>
      </c>
      <c r="T152" s="796">
        <v>1031060456.3078518</v>
      </c>
      <c r="U152" s="796">
        <v>1031060456.3078518</v>
      </c>
      <c r="V152" s="796">
        <v>3093181368.9235554</v>
      </c>
      <c r="W152" s="796">
        <v>2130845824.990073</v>
      </c>
      <c r="X152" s="796">
        <v>2986538274.5260029</v>
      </c>
      <c r="Y152" s="741">
        <v>1031060456.3078518</v>
      </c>
      <c r="Z152" s="741">
        <v>1031060456.3078518</v>
      </c>
      <c r="AA152" s="741">
        <v>1031060456.3078518</v>
      </c>
      <c r="AB152" s="741">
        <v>3093181368.9235554</v>
      </c>
      <c r="AC152" s="741">
        <v>2130845824.990073</v>
      </c>
      <c r="AD152" s="741">
        <v>300119439.34740478</v>
      </c>
      <c r="AE152" s="741" t="s">
        <v>59</v>
      </c>
      <c r="AF152" s="741" t="s">
        <v>59</v>
      </c>
      <c r="AG152" s="798" t="s">
        <v>1997</v>
      </c>
      <c r="AH152" s="798" t="s">
        <v>49</v>
      </c>
      <c r="AI152" s="798" t="s">
        <v>2179</v>
      </c>
    </row>
    <row r="153" spans="1:35" ht="18.75" customHeight="1">
      <c r="A153" s="790">
        <v>148</v>
      </c>
      <c r="B153" s="790" t="s">
        <v>39</v>
      </c>
      <c r="C153" s="790" t="s">
        <v>290</v>
      </c>
      <c r="D153" s="790" t="s">
        <v>291</v>
      </c>
      <c r="E153" s="790" t="s">
        <v>51</v>
      </c>
      <c r="F153" s="791" t="s">
        <v>792</v>
      </c>
      <c r="G153" s="791" t="s">
        <v>53</v>
      </c>
      <c r="H153" s="791" t="s">
        <v>30</v>
      </c>
      <c r="I153" s="792" t="s">
        <v>1902</v>
      </c>
      <c r="J153" s="792" t="s">
        <v>64</v>
      </c>
      <c r="K153" s="793" t="s">
        <v>293</v>
      </c>
      <c r="L153" s="790">
        <v>2016</v>
      </c>
      <c r="M153" s="794">
        <v>731257355.60763001</v>
      </c>
      <c r="N153" s="790" t="s">
        <v>59</v>
      </c>
      <c r="O153" s="790" t="s">
        <v>59</v>
      </c>
      <c r="P153" s="796">
        <v>555559482.41726136</v>
      </c>
      <c r="Q153" s="796">
        <v>471792053.97521979</v>
      </c>
      <c r="R153" s="796">
        <v>135568225.40911594</v>
      </c>
      <c r="S153" s="796">
        <v>635527368.02568662</v>
      </c>
      <c r="T153" s="796">
        <v>635527368.02568662</v>
      </c>
      <c r="U153" s="796">
        <v>635527368.02568662</v>
      </c>
      <c r="V153" s="796">
        <v>1906582104.0770597</v>
      </c>
      <c r="W153" s="796">
        <v>1314225606.7037282</v>
      </c>
      <c r="X153" s="796">
        <v>2958404550.9717913</v>
      </c>
      <c r="Y153" s="741">
        <v>635527368.02568662</v>
      </c>
      <c r="Z153" s="741">
        <v>635527368.02568662</v>
      </c>
      <c r="AA153" s="741">
        <v>635527368.02568662</v>
      </c>
      <c r="AB153" s="741">
        <v>1906582104.0770597</v>
      </c>
      <c r="AC153" s="741">
        <v>1314225606.7037282</v>
      </c>
      <c r="AD153" s="741">
        <v>214835353.18901137</v>
      </c>
      <c r="AE153" s="741" t="s">
        <v>59</v>
      </c>
      <c r="AF153" s="741" t="s">
        <v>59</v>
      </c>
      <c r="AG153" s="798" t="s">
        <v>1997</v>
      </c>
      <c r="AH153" s="798" t="s">
        <v>49</v>
      </c>
      <c r="AI153" s="798" t="s">
        <v>2179</v>
      </c>
    </row>
    <row r="154" spans="1:35" ht="18.75" customHeight="1">
      <c r="A154" s="790">
        <v>149</v>
      </c>
      <c r="B154" s="790" t="s">
        <v>39</v>
      </c>
      <c r="C154" s="790" t="s">
        <v>290</v>
      </c>
      <c r="D154" s="790" t="s">
        <v>291</v>
      </c>
      <c r="E154" s="790" t="s">
        <v>51</v>
      </c>
      <c r="F154" s="791" t="s">
        <v>793</v>
      </c>
      <c r="G154" s="791" t="s">
        <v>53</v>
      </c>
      <c r="H154" s="791" t="s">
        <v>30</v>
      </c>
      <c r="I154" s="792" t="s">
        <v>1902</v>
      </c>
      <c r="J154" s="792" t="s">
        <v>65</v>
      </c>
      <c r="K154" s="793" t="s">
        <v>293</v>
      </c>
      <c r="L154" s="790">
        <v>2016</v>
      </c>
      <c r="M154" s="794">
        <v>5043399.1145049604</v>
      </c>
      <c r="N154" s="790" t="s">
        <v>59</v>
      </c>
      <c r="O154" s="790" t="s">
        <v>59</v>
      </c>
      <c r="P154" s="796">
        <v>6182563.9187383074</v>
      </c>
      <c r="Q154" s="796">
        <v>4996277.7143258769</v>
      </c>
      <c r="R154" s="796">
        <v>5614471.9602228571</v>
      </c>
      <c r="S154" s="796">
        <v>12146941.391164841</v>
      </c>
      <c r="T154" s="796">
        <v>12146941.391164841</v>
      </c>
      <c r="U154" s="796">
        <v>12146941.391164841</v>
      </c>
      <c r="V154" s="796">
        <v>36440824.173494525</v>
      </c>
      <c r="W154" s="796">
        <v>26263705.964129154</v>
      </c>
      <c r="X154" s="796">
        <v>12536115.539130589</v>
      </c>
      <c r="Y154" s="741">
        <v>12146941.391164841</v>
      </c>
      <c r="Z154" s="741">
        <v>12146941.391164841</v>
      </c>
      <c r="AA154" s="741">
        <v>12146941.391164841</v>
      </c>
      <c r="AB154" s="741">
        <v>36440824.173494525</v>
      </c>
      <c r="AC154" s="741">
        <v>26263705.964129154</v>
      </c>
      <c r="AD154" s="741">
        <v>14767628.327879146</v>
      </c>
      <c r="AE154" s="741" t="s">
        <v>59</v>
      </c>
      <c r="AF154" s="741" t="s">
        <v>59</v>
      </c>
      <c r="AG154" s="798" t="s">
        <v>1997</v>
      </c>
      <c r="AH154" s="798" t="s">
        <v>49</v>
      </c>
      <c r="AI154" s="798" t="s">
        <v>2179</v>
      </c>
    </row>
    <row r="155" spans="1:35" ht="18.75" customHeight="1">
      <c r="A155" s="790">
        <v>150</v>
      </c>
      <c r="B155" s="790" t="s">
        <v>39</v>
      </c>
      <c r="C155" s="790" t="s">
        <v>290</v>
      </c>
      <c r="D155" s="790" t="s">
        <v>291</v>
      </c>
      <c r="E155" s="790" t="s">
        <v>51</v>
      </c>
      <c r="F155" s="791" t="s">
        <v>793</v>
      </c>
      <c r="G155" s="791" t="s">
        <v>53</v>
      </c>
      <c r="H155" s="791" t="s">
        <v>30</v>
      </c>
      <c r="I155" s="792" t="s">
        <v>1902</v>
      </c>
      <c r="J155" s="792" t="s">
        <v>66</v>
      </c>
      <c r="K155" s="793" t="s">
        <v>293</v>
      </c>
      <c r="L155" s="790">
        <v>2016</v>
      </c>
      <c r="M155" s="794">
        <v>3035633.0210892698</v>
      </c>
      <c r="N155" s="790" t="s">
        <v>59</v>
      </c>
      <c r="O155" s="790" t="s">
        <v>59</v>
      </c>
      <c r="P155" s="796">
        <v>3074276.4533362603</v>
      </c>
      <c r="Q155" s="796">
        <v>2254121.2592335637</v>
      </c>
      <c r="R155" s="796">
        <v>3790809.3088417328</v>
      </c>
      <c r="S155" s="796">
        <v>6637439.1637243759</v>
      </c>
      <c r="T155" s="796">
        <v>6637439.1637243759</v>
      </c>
      <c r="U155" s="796">
        <v>6637439.1637243759</v>
      </c>
      <c r="V155" s="796">
        <v>19912317.491173126</v>
      </c>
      <c r="W155" s="796">
        <v>14078467.480589878</v>
      </c>
      <c r="X155" s="796">
        <v>12209712.680286963</v>
      </c>
      <c r="Y155" s="741">
        <v>6637439.1637243759</v>
      </c>
      <c r="Z155" s="741">
        <v>6637439.1637243759</v>
      </c>
      <c r="AA155" s="741">
        <v>6637439.1637243759</v>
      </c>
      <c r="AB155" s="741">
        <v>19912317.491173126</v>
      </c>
      <c r="AC155" s="741">
        <v>14078467.480589878</v>
      </c>
      <c r="AD155" s="741">
        <v>10026709.644855358</v>
      </c>
      <c r="AE155" s="741" t="s">
        <v>59</v>
      </c>
      <c r="AF155" s="741" t="s">
        <v>59</v>
      </c>
      <c r="AG155" s="798" t="s">
        <v>1997</v>
      </c>
      <c r="AH155" s="798" t="s">
        <v>49</v>
      </c>
      <c r="AI155" s="798" t="s">
        <v>2179</v>
      </c>
    </row>
    <row r="156" spans="1:35" ht="18.75" customHeight="1">
      <c r="A156" s="790">
        <v>151</v>
      </c>
      <c r="B156" s="790" t="s">
        <v>39</v>
      </c>
      <c r="C156" s="790" t="s">
        <v>290</v>
      </c>
      <c r="D156" s="790" t="s">
        <v>291</v>
      </c>
      <c r="E156" s="790" t="s">
        <v>296</v>
      </c>
      <c r="F156" s="791" t="s">
        <v>142</v>
      </c>
      <c r="G156" s="791" t="s">
        <v>298</v>
      </c>
      <c r="H156" s="791" t="s">
        <v>30</v>
      </c>
      <c r="I156" s="792" t="s">
        <v>1998</v>
      </c>
      <c r="J156" s="792" t="s">
        <v>297</v>
      </c>
      <c r="K156" s="793" t="s">
        <v>293</v>
      </c>
      <c r="L156" s="790">
        <v>2016</v>
      </c>
      <c r="M156" s="804">
        <v>1.5334391610619742E-2</v>
      </c>
      <c r="N156" s="795">
        <v>20942.4105399621</v>
      </c>
      <c r="O156" s="795">
        <v>1365715.1240000001</v>
      </c>
      <c r="P156" s="802">
        <v>1.2124181897873013E-2</v>
      </c>
      <c r="Q156" s="802">
        <v>1.3093636258644636E-2</v>
      </c>
      <c r="R156" s="802">
        <v>4.4015053740937993E-3</v>
      </c>
      <c r="S156" s="796">
        <v>1.4509873965698979E-2</v>
      </c>
      <c r="T156" s="796">
        <v>1.4509873965698979E-2</v>
      </c>
      <c r="U156" s="796">
        <v>1.4509873965698979E-2</v>
      </c>
      <c r="V156" s="796">
        <v>4.3529621897096936E-2</v>
      </c>
      <c r="W156" s="796">
        <v>2.9986897637077358E-2</v>
      </c>
      <c r="X156" s="802">
        <v>4.1220283694966046E-2</v>
      </c>
      <c r="Y156" s="741">
        <v>1.4509873965698979E-2</v>
      </c>
      <c r="Z156" s="741">
        <v>1.4509873965698979E-2</v>
      </c>
      <c r="AA156" s="741">
        <v>1.4509873965698979E-2</v>
      </c>
      <c r="AB156" s="741">
        <v>4.3529621897096936E-2</v>
      </c>
      <c r="AC156" s="741">
        <v>2.9986897637077358E-2</v>
      </c>
      <c r="AD156" s="741">
        <v>2.2100711460495599E-2</v>
      </c>
      <c r="AE156" s="741">
        <v>7818.8756722617145</v>
      </c>
      <c r="AF156" s="741">
        <v>353783.89</v>
      </c>
      <c r="AG156" s="798" t="s">
        <v>2180</v>
      </c>
      <c r="AH156" s="798" t="s">
        <v>49</v>
      </c>
      <c r="AI156" s="798"/>
    </row>
    <row r="157" spans="1:35" ht="18.75" customHeight="1">
      <c r="A157" s="790">
        <v>152</v>
      </c>
      <c r="B157" s="790" t="s">
        <v>39</v>
      </c>
      <c r="C157" s="790" t="s">
        <v>290</v>
      </c>
      <c r="D157" s="790" t="s">
        <v>291</v>
      </c>
      <c r="E157" s="790" t="s">
        <v>296</v>
      </c>
      <c r="F157" s="791" t="s">
        <v>142</v>
      </c>
      <c r="G157" s="791" t="s">
        <v>298</v>
      </c>
      <c r="H157" s="791" t="s">
        <v>30</v>
      </c>
      <c r="I157" s="792" t="s">
        <v>1998</v>
      </c>
      <c r="J157" s="792" t="s">
        <v>300</v>
      </c>
      <c r="K157" s="793" t="s">
        <v>293</v>
      </c>
      <c r="L157" s="790">
        <v>2016</v>
      </c>
      <c r="M157" s="804">
        <v>1.0198914552505607E-2</v>
      </c>
      <c r="N157" s="795">
        <v>13928.8118527406</v>
      </c>
      <c r="O157" s="795">
        <v>1365715.1240000001</v>
      </c>
      <c r="P157" s="802">
        <v>9.6783156948909172E-3</v>
      </c>
      <c r="Q157" s="802">
        <v>1.116210233776074E-2</v>
      </c>
      <c r="R157" s="802">
        <v>3.2431811031290812E-3</v>
      </c>
      <c r="S157" s="796">
        <v>9.2073666006794209E-3</v>
      </c>
      <c r="T157" s="796">
        <v>9.2073666006794209E-3</v>
      </c>
      <c r="U157" s="796">
        <v>9.2073666006794209E-3</v>
      </c>
      <c r="V157" s="796">
        <v>2.7622099802038263E-2</v>
      </c>
      <c r="W157" s="796">
        <v>1.9028446450624858E-2</v>
      </c>
      <c r="X157" s="802">
        <v>4.057185916331784E-2</v>
      </c>
      <c r="Y157" s="741">
        <v>9.2073666006794209E-3</v>
      </c>
      <c r="Z157" s="741">
        <v>9.2073666006794209E-3</v>
      </c>
      <c r="AA157" s="741">
        <v>9.2073666006794209E-3</v>
      </c>
      <c r="AB157" s="741">
        <v>2.7622099802038301E-2</v>
      </c>
      <c r="AC157" s="741">
        <v>1.9028446450624858E-2</v>
      </c>
      <c r="AD157" s="741">
        <v>1.5494216743472089E-2</v>
      </c>
      <c r="AE157" s="741">
        <v>5481.604272008688</v>
      </c>
      <c r="AF157" s="741">
        <v>353783.89</v>
      </c>
      <c r="AG157" s="798" t="s">
        <v>2180</v>
      </c>
      <c r="AH157" s="798" t="s">
        <v>49</v>
      </c>
      <c r="AI157" s="798"/>
    </row>
    <row r="158" spans="1:35" ht="18.75" customHeight="1">
      <c r="A158" s="790">
        <v>153</v>
      </c>
      <c r="B158" s="790" t="s">
        <v>39</v>
      </c>
      <c r="C158" s="790" t="s">
        <v>290</v>
      </c>
      <c r="D158" s="790" t="s">
        <v>291</v>
      </c>
      <c r="E158" s="790" t="s">
        <v>296</v>
      </c>
      <c r="F158" s="791" t="s">
        <v>142</v>
      </c>
      <c r="G158" s="791" t="s">
        <v>298</v>
      </c>
      <c r="H158" s="791" t="s">
        <v>30</v>
      </c>
      <c r="I158" s="792" t="s">
        <v>1998</v>
      </c>
      <c r="J158" s="792" t="s">
        <v>301</v>
      </c>
      <c r="K158" s="793" t="s">
        <v>293</v>
      </c>
      <c r="L158" s="790">
        <v>2016</v>
      </c>
      <c r="M158" s="804">
        <v>1.3939495285402873E-2</v>
      </c>
      <c r="N158" s="795">
        <v>104208248.482759</v>
      </c>
      <c r="O158" s="795">
        <v>7475754778</v>
      </c>
      <c r="P158" s="802">
        <v>1.3110647112169228E-2</v>
      </c>
      <c r="Q158" s="802">
        <v>1.0701845320799602E-2</v>
      </c>
      <c r="R158" s="802">
        <v>4.4642806229253928E-3</v>
      </c>
      <c r="S158" s="796">
        <v>1.2685712635121599E-2</v>
      </c>
      <c r="T158" s="796">
        <v>1.2685712635121599E-2</v>
      </c>
      <c r="U158" s="796">
        <v>1.2685712635121599E-2</v>
      </c>
      <c r="V158" s="796">
        <v>3.8057137905364802E-2</v>
      </c>
      <c r="W158" s="796">
        <v>2.6216986249642117E-2</v>
      </c>
      <c r="X158" s="802">
        <v>3.6402213219502724E-2</v>
      </c>
      <c r="Y158" s="741">
        <v>1.2685712635121599E-2</v>
      </c>
      <c r="Z158" s="741">
        <v>1.2685712635121599E-2</v>
      </c>
      <c r="AA158" s="741">
        <v>1.2685712635121599E-2</v>
      </c>
      <c r="AB158" s="741">
        <v>3.8057137905364802E-2</v>
      </c>
      <c r="AC158" s="741">
        <v>2.6216986249642117E-2</v>
      </c>
      <c r="AD158" s="741">
        <v>4.5248701608795634E-3</v>
      </c>
      <c r="AE158" s="741">
        <v>34512884.262785725</v>
      </c>
      <c r="AF158" s="741">
        <v>7627375601</v>
      </c>
      <c r="AG158" s="798" t="s">
        <v>2180</v>
      </c>
      <c r="AH158" s="798" t="s">
        <v>49</v>
      </c>
      <c r="AI158" s="798"/>
    </row>
    <row r="159" spans="1:35" ht="18.75" customHeight="1">
      <c r="A159" s="790">
        <v>154</v>
      </c>
      <c r="B159" s="790" t="s">
        <v>39</v>
      </c>
      <c r="C159" s="790" t="s">
        <v>290</v>
      </c>
      <c r="D159" s="790" t="s">
        <v>291</v>
      </c>
      <c r="E159" s="790" t="s">
        <v>296</v>
      </c>
      <c r="F159" s="791" t="s">
        <v>142</v>
      </c>
      <c r="G159" s="791" t="s">
        <v>298</v>
      </c>
      <c r="H159" s="791" t="s">
        <v>30</v>
      </c>
      <c r="I159" s="792" t="s">
        <v>1998</v>
      </c>
      <c r="J159" s="792" t="s">
        <v>302</v>
      </c>
      <c r="K159" s="793" t="s">
        <v>293</v>
      </c>
      <c r="L159" s="790">
        <v>2016</v>
      </c>
      <c r="M159" s="804">
        <v>9.1577807962351411E-3</v>
      </c>
      <c r="N159" s="795">
        <v>68461323.543331504</v>
      </c>
      <c r="O159" s="795">
        <v>7475754778</v>
      </c>
      <c r="P159" s="802">
        <v>1.0067676344339612E-2</v>
      </c>
      <c r="Q159" s="802">
        <v>9.0081737087372889E-3</v>
      </c>
      <c r="R159" s="802">
        <v>3.4291886768264431E-3</v>
      </c>
      <c r="S159" s="796">
        <v>7.8411774966861674E-3</v>
      </c>
      <c r="T159" s="796">
        <v>7.8411774966861674E-3</v>
      </c>
      <c r="U159" s="796">
        <v>7.8411774966861674E-3</v>
      </c>
      <c r="V159" s="796">
        <v>2.35235324900585E-2</v>
      </c>
      <c r="W159" s="796">
        <v>1.6205005467527202E-2</v>
      </c>
      <c r="X159" s="802">
        <v>3.5742336837445376E-2</v>
      </c>
      <c r="Y159" s="741">
        <v>7.8411774966861674E-3</v>
      </c>
      <c r="Z159" s="741">
        <v>7.8411774966861674E-3</v>
      </c>
      <c r="AA159" s="741">
        <v>7.8411774966861674E-3</v>
      </c>
      <c r="AB159" s="741">
        <v>2.35235324900585E-2</v>
      </c>
      <c r="AC159" s="741">
        <v>1.6205005467527202E-2</v>
      </c>
      <c r="AD159" s="741">
        <v>3.3097011439515425E-3</v>
      </c>
      <c r="AE159" s="741">
        <v>25244333.751977783</v>
      </c>
      <c r="AF159" s="741">
        <v>7627375601</v>
      </c>
      <c r="AG159" s="798" t="s">
        <v>2180</v>
      </c>
      <c r="AH159" s="798" t="s">
        <v>49</v>
      </c>
      <c r="AI159" s="798"/>
    </row>
    <row r="160" spans="1:35" ht="18.75" customHeight="1">
      <c r="A160" s="790">
        <v>155</v>
      </c>
      <c r="B160" s="790" t="s">
        <v>39</v>
      </c>
      <c r="C160" s="790" t="s">
        <v>290</v>
      </c>
      <c r="D160" s="790" t="s">
        <v>291</v>
      </c>
      <c r="E160" s="790" t="s">
        <v>296</v>
      </c>
      <c r="F160" s="791" t="s">
        <v>142</v>
      </c>
      <c r="G160" s="791" t="s">
        <v>298</v>
      </c>
      <c r="H160" s="791" t="s">
        <v>30</v>
      </c>
      <c r="I160" s="792" t="s">
        <v>1998</v>
      </c>
      <c r="J160" s="792" t="s">
        <v>303</v>
      </c>
      <c r="K160" s="793" t="s">
        <v>293</v>
      </c>
      <c r="L160" s="790">
        <v>2016</v>
      </c>
      <c r="M160" s="804">
        <v>3.3800781417530033E-3</v>
      </c>
      <c r="N160" s="795">
        <v>651631.97110123001</v>
      </c>
      <c r="O160" s="795">
        <v>192786067</v>
      </c>
      <c r="P160" s="802">
        <v>2.1891780141682338E-3</v>
      </c>
      <c r="Q160" s="802">
        <v>9.6261642648832763E-4</v>
      </c>
      <c r="R160" s="802">
        <v>3.4058499977849773E-3</v>
      </c>
      <c r="S160" s="796">
        <v>5.2914865898880054E-3</v>
      </c>
      <c r="T160" s="796">
        <v>5.2914865898880054E-3</v>
      </c>
      <c r="U160" s="796">
        <v>5.2914865898880054E-3</v>
      </c>
      <c r="V160" s="796">
        <v>1.5874459769664017E-2</v>
      </c>
      <c r="W160" s="796">
        <v>1.0935675050937311E-2</v>
      </c>
      <c r="X160" s="802">
        <v>4.6692231732876214E-3</v>
      </c>
      <c r="Y160" s="741">
        <v>5.2914865898880054E-3</v>
      </c>
      <c r="Z160" s="741">
        <v>5.2914865898880054E-3</v>
      </c>
      <c r="AA160" s="741">
        <v>5.2914865898880054E-3</v>
      </c>
      <c r="AB160" s="741">
        <v>1.5874459769664017E-2</v>
      </c>
      <c r="AC160" s="741">
        <v>1.0935675050937311E-2</v>
      </c>
      <c r="AD160" s="741">
        <v>6.3497820102913103E-3</v>
      </c>
      <c r="AE160" s="741">
        <v>1087222.0832761263</v>
      </c>
      <c r="AF160" s="741">
        <v>171221954</v>
      </c>
      <c r="AG160" s="798" t="s">
        <v>2180</v>
      </c>
      <c r="AH160" s="798" t="s">
        <v>49</v>
      </c>
      <c r="AI160" s="798"/>
    </row>
    <row r="161" spans="1:35" ht="18.75" customHeight="1">
      <c r="A161" s="790">
        <v>156</v>
      </c>
      <c r="B161" s="790" t="s">
        <v>39</v>
      </c>
      <c r="C161" s="790" t="s">
        <v>290</v>
      </c>
      <c r="D161" s="790" t="s">
        <v>291</v>
      </c>
      <c r="E161" s="790" t="s">
        <v>296</v>
      </c>
      <c r="F161" s="791" t="s">
        <v>142</v>
      </c>
      <c r="G161" s="791" t="s">
        <v>298</v>
      </c>
      <c r="H161" s="791" t="s">
        <v>30</v>
      </c>
      <c r="I161" s="792" t="s">
        <v>1998</v>
      </c>
      <c r="J161" s="792" t="s">
        <v>305</v>
      </c>
      <c r="K161" s="793" t="s">
        <v>293</v>
      </c>
      <c r="L161" s="790">
        <v>2016</v>
      </c>
      <c r="M161" s="804">
        <v>2.0681849096650744E-3</v>
      </c>
      <c r="N161" s="795">
        <v>398717.23456308001</v>
      </c>
      <c r="O161" s="795">
        <v>192786067</v>
      </c>
      <c r="P161" s="802">
        <v>1.006046902272266E-3</v>
      </c>
      <c r="Q161" s="802">
        <v>1.8550097682314994E-4</v>
      </c>
      <c r="R161" s="802">
        <v>2.6230655371338456E-3</v>
      </c>
      <c r="S161" s="796">
        <v>2.9448123186480548E-3</v>
      </c>
      <c r="T161" s="796">
        <v>2.9448123186480548E-3</v>
      </c>
      <c r="U161" s="796">
        <v>2.9448123186480548E-3</v>
      </c>
      <c r="V161" s="796">
        <v>8.8344369559441652E-3</v>
      </c>
      <c r="W161" s="796">
        <v>6.0859098961477242E-3</v>
      </c>
      <c r="X161" s="802">
        <v>4.5269868463434755E-3</v>
      </c>
      <c r="Y161" s="741">
        <v>2.9448123186480548E-3</v>
      </c>
      <c r="Z161" s="741">
        <v>2.9448123186480548E-3</v>
      </c>
      <c r="AA161" s="741">
        <v>2.9448123186480548E-3</v>
      </c>
      <c r="AB161" s="741">
        <v>8.8344369559441652E-3</v>
      </c>
      <c r="AC161" s="741">
        <v>6.0859098961477242E-3</v>
      </c>
      <c r="AD161" s="741">
        <v>5.1361460335493467E-3</v>
      </c>
      <c r="AE161" s="741">
        <v>879420.95989366865</v>
      </c>
      <c r="AF161" s="741">
        <v>171575737.88999999</v>
      </c>
      <c r="AG161" s="798" t="s">
        <v>2180</v>
      </c>
      <c r="AH161" s="798" t="s">
        <v>49</v>
      </c>
      <c r="AI161" s="798"/>
    </row>
    <row r="162" spans="1:35" ht="18.75" customHeight="1">
      <c r="A162" s="790">
        <v>157</v>
      </c>
      <c r="B162" s="790" t="s">
        <v>39</v>
      </c>
      <c r="C162" s="790" t="s">
        <v>290</v>
      </c>
      <c r="D162" s="790" t="s">
        <v>291</v>
      </c>
      <c r="E162" s="790" t="s">
        <v>296</v>
      </c>
      <c r="F162" s="791" t="s">
        <v>142</v>
      </c>
      <c r="G162" s="791" t="s">
        <v>298</v>
      </c>
      <c r="H162" s="791" t="s">
        <v>30</v>
      </c>
      <c r="I162" s="792" t="s">
        <v>1998</v>
      </c>
      <c r="J162" s="792" t="s">
        <v>306</v>
      </c>
      <c r="K162" s="793" t="s">
        <v>293</v>
      </c>
      <c r="L162" s="790">
        <v>2016</v>
      </c>
      <c r="M162" s="804">
        <v>0.16426719081422428</v>
      </c>
      <c r="N162" s="795">
        <v>224342.18687198</v>
      </c>
      <c r="O162" s="795">
        <v>1365715.1240000001</v>
      </c>
      <c r="P162" s="802">
        <v>9.6555461757051056E-2</v>
      </c>
      <c r="Q162" s="802">
        <v>9.4926927599418967E-2</v>
      </c>
      <c r="R162" s="802">
        <v>2.7421539914833301E-2</v>
      </c>
      <c r="S162" s="796">
        <v>0.158875718792549</v>
      </c>
      <c r="T162" s="796">
        <v>0.158875718792549</v>
      </c>
      <c r="U162" s="796">
        <v>0.158875718792549</v>
      </c>
      <c r="V162" s="796">
        <v>0.47662715637764697</v>
      </c>
      <c r="W162" s="796">
        <v>0.32834123354287525</v>
      </c>
      <c r="X162" s="802">
        <v>0.55879533747431964</v>
      </c>
      <c r="Y162" s="741">
        <v>0.158875718792549</v>
      </c>
      <c r="Z162" s="741">
        <v>0.158875718792549</v>
      </c>
      <c r="AA162" s="741">
        <v>0.158875718792549</v>
      </c>
      <c r="AB162" s="741">
        <v>0.47662715637764697</v>
      </c>
      <c r="AC162" s="741">
        <v>0.32834123354287525</v>
      </c>
      <c r="AD162" s="741">
        <v>0.2682490582271318</v>
      </c>
      <c r="AE162" s="741">
        <v>94902.195308431197</v>
      </c>
      <c r="AF162" s="741">
        <v>0</v>
      </c>
      <c r="AG162" s="798" t="s">
        <v>2180</v>
      </c>
      <c r="AH162" s="798" t="s">
        <v>49</v>
      </c>
      <c r="AI162" s="798"/>
    </row>
    <row r="163" spans="1:35" ht="18.75" customHeight="1">
      <c r="A163" s="790">
        <v>158</v>
      </c>
      <c r="B163" s="790" t="s">
        <v>39</v>
      </c>
      <c r="C163" s="790" t="s">
        <v>290</v>
      </c>
      <c r="D163" s="790" t="s">
        <v>291</v>
      </c>
      <c r="E163" s="790" t="s">
        <v>296</v>
      </c>
      <c r="F163" s="791" t="s">
        <v>142</v>
      </c>
      <c r="G163" s="791" t="s">
        <v>298</v>
      </c>
      <c r="H163" s="791" t="s">
        <v>30</v>
      </c>
      <c r="I163" s="792" t="s">
        <v>1998</v>
      </c>
      <c r="J163" s="792" t="s">
        <v>307</v>
      </c>
      <c r="K163" s="793" t="s">
        <v>293</v>
      </c>
      <c r="L163" s="790">
        <v>2016</v>
      </c>
      <c r="M163" s="804">
        <v>0.10860546951170323</v>
      </c>
      <c r="N163" s="795">
        <v>148324.13226125401</v>
      </c>
      <c r="O163" s="795">
        <v>1365715.1240000001</v>
      </c>
      <c r="P163" s="802">
        <v>7.7774853963965829E-2</v>
      </c>
      <c r="Q163" s="802">
        <v>8.3007057564044334E-2</v>
      </c>
      <c r="R163" s="802">
        <v>2.0097187834355833E-2</v>
      </c>
      <c r="S163" s="796">
        <v>0.10008257593481465</v>
      </c>
      <c r="T163" s="796">
        <v>0.10008257593481465</v>
      </c>
      <c r="U163" s="796">
        <v>0.10008257593481465</v>
      </c>
      <c r="V163" s="796">
        <v>0.30024772780444398</v>
      </c>
      <c r="W163" s="796">
        <v>0.20683611497294865</v>
      </c>
      <c r="X163" s="802">
        <v>0.55368673332122387</v>
      </c>
      <c r="Y163" s="741">
        <v>0.10008257593481465</v>
      </c>
      <c r="Z163" s="741">
        <v>0.10008257593481465</v>
      </c>
      <c r="AA163" s="741">
        <v>0.10008257593481465</v>
      </c>
      <c r="AB163" s="741">
        <v>0.30024772780444398</v>
      </c>
      <c r="AC163" s="741">
        <v>0.20683611497294865</v>
      </c>
      <c r="AD163" s="741">
        <v>0.18681575880763807</v>
      </c>
      <c r="AE163" s="741">
        <v>66092.405864267959</v>
      </c>
      <c r="AF163" s="741">
        <v>353783.89</v>
      </c>
      <c r="AG163" s="798" t="s">
        <v>2180</v>
      </c>
      <c r="AH163" s="798" t="s">
        <v>49</v>
      </c>
      <c r="AI163" s="798"/>
    </row>
    <row r="164" spans="1:35" ht="18.75" customHeight="1">
      <c r="A164" s="790">
        <v>159</v>
      </c>
      <c r="B164" s="790" t="s">
        <v>39</v>
      </c>
      <c r="C164" s="790" t="s">
        <v>290</v>
      </c>
      <c r="D164" s="790" t="s">
        <v>291</v>
      </c>
      <c r="E164" s="790" t="s">
        <v>296</v>
      </c>
      <c r="F164" s="791" t="s">
        <v>142</v>
      </c>
      <c r="G164" s="791" t="s">
        <v>298</v>
      </c>
      <c r="H164" s="791" t="s">
        <v>30</v>
      </c>
      <c r="I164" s="792" t="s">
        <v>1998</v>
      </c>
      <c r="J164" s="792" t="s">
        <v>308</v>
      </c>
      <c r="K164" s="793" t="s">
        <v>293</v>
      </c>
      <c r="L164" s="790">
        <v>2016</v>
      </c>
      <c r="M164" s="804">
        <v>0.14931667897401302</v>
      </c>
      <c r="N164" s="795">
        <v>1116254876.27507</v>
      </c>
      <c r="O164" s="795">
        <v>7475754778</v>
      </c>
      <c r="P164" s="802">
        <v>0.10568186887181981</v>
      </c>
      <c r="Q164" s="802">
        <v>8.2059551107738798E-2</v>
      </c>
      <c r="R164" s="802">
        <v>2.8429588824744671E-2</v>
      </c>
      <c r="S164" s="796">
        <v>0.13871614590479686</v>
      </c>
      <c r="T164" s="796">
        <v>0.13871614590479686</v>
      </c>
      <c r="U164" s="796">
        <v>0.13871614590479686</v>
      </c>
      <c r="V164" s="796">
        <v>0.41614843771439058</v>
      </c>
      <c r="W164" s="796">
        <v>0.28667835969426003</v>
      </c>
      <c r="X164" s="802">
        <v>0.49768301928347003</v>
      </c>
      <c r="Y164" s="741">
        <v>0.13871614590479686</v>
      </c>
      <c r="Z164" s="741">
        <v>0.13871614590479686</v>
      </c>
      <c r="AA164" s="741">
        <v>0.13871614590479686</v>
      </c>
      <c r="AB164" s="741">
        <v>0.41614843771439058</v>
      </c>
      <c r="AC164" s="741">
        <v>0.28667835969426003</v>
      </c>
      <c r="AD164" s="741">
        <v>3.9347667539547562E-2</v>
      </c>
      <c r="AE164" s="741">
        <v>300119439.34740478</v>
      </c>
      <c r="AF164" s="741">
        <v>7627375601</v>
      </c>
      <c r="AG164" s="798" t="s">
        <v>2180</v>
      </c>
      <c r="AH164" s="798" t="s">
        <v>49</v>
      </c>
      <c r="AI164" s="798"/>
    </row>
    <row r="165" spans="1:35" ht="18.75" customHeight="1">
      <c r="A165" s="790">
        <v>160</v>
      </c>
      <c r="B165" s="790" t="s">
        <v>39</v>
      </c>
      <c r="C165" s="790" t="s">
        <v>290</v>
      </c>
      <c r="D165" s="790" t="s">
        <v>291</v>
      </c>
      <c r="E165" s="790" t="s">
        <v>296</v>
      </c>
      <c r="F165" s="791" t="s">
        <v>142</v>
      </c>
      <c r="G165" s="791" t="s">
        <v>298</v>
      </c>
      <c r="H165" s="791" t="s">
        <v>30</v>
      </c>
      <c r="I165" s="792" t="s">
        <v>1998</v>
      </c>
      <c r="J165" s="792" t="s">
        <v>309</v>
      </c>
      <c r="K165" s="793" t="s">
        <v>293</v>
      </c>
      <c r="L165" s="790">
        <v>2016</v>
      </c>
      <c r="M165" s="804">
        <v>9.7817194025626455E-2</v>
      </c>
      <c r="N165" s="795">
        <v>731257355.60763001</v>
      </c>
      <c r="O165" s="795">
        <v>7475754778</v>
      </c>
      <c r="P165" s="802">
        <v>8.2184098800698061E-2</v>
      </c>
      <c r="Q165" s="802">
        <v>7.0311368858897577E-2</v>
      </c>
      <c r="R165" s="802">
        <v>2.1051231093664458E-2</v>
      </c>
      <c r="S165" s="796">
        <v>8.5449469373408152E-2</v>
      </c>
      <c r="T165" s="796">
        <v>8.5449469373408152E-2</v>
      </c>
      <c r="U165" s="796">
        <v>8.5449469373408152E-2</v>
      </c>
      <c r="V165" s="796">
        <v>0.25634840812022447</v>
      </c>
      <c r="W165" s="796">
        <v>0.17659453812626769</v>
      </c>
      <c r="X165" s="802">
        <v>0.49299475642021617</v>
      </c>
      <c r="Y165" s="741">
        <v>8.5449469373408152E-2</v>
      </c>
      <c r="Z165" s="741">
        <v>8.5449469373408152E-2</v>
      </c>
      <c r="AA165" s="741">
        <v>8.5449469373408152E-2</v>
      </c>
      <c r="AB165" s="741">
        <v>0.25634840812022447</v>
      </c>
      <c r="AC165" s="741">
        <v>0.17659453812626769</v>
      </c>
      <c r="AD165" s="741">
        <v>2.8166352940694965E-2</v>
      </c>
      <c r="AE165" s="741">
        <v>214835353.18901137</v>
      </c>
      <c r="AF165" s="741">
        <v>7627375601</v>
      </c>
      <c r="AG165" s="798" t="s">
        <v>2180</v>
      </c>
      <c r="AH165" s="798" t="s">
        <v>49</v>
      </c>
      <c r="AI165" s="798"/>
    </row>
    <row r="166" spans="1:35" ht="18.75" customHeight="1">
      <c r="A166" s="790">
        <v>161</v>
      </c>
      <c r="B166" s="790" t="s">
        <v>39</v>
      </c>
      <c r="C166" s="790" t="s">
        <v>290</v>
      </c>
      <c r="D166" s="790" t="s">
        <v>291</v>
      </c>
      <c r="E166" s="790" t="s">
        <v>296</v>
      </c>
      <c r="F166" s="791" t="s">
        <v>142</v>
      </c>
      <c r="G166" s="791" t="s">
        <v>298</v>
      </c>
      <c r="H166" s="791" t="s">
        <v>30</v>
      </c>
      <c r="I166" s="792" t="s">
        <v>1998</v>
      </c>
      <c r="J166" s="792" t="s">
        <v>310</v>
      </c>
      <c r="K166" s="793" t="s">
        <v>293</v>
      </c>
      <c r="L166" s="790">
        <v>2016</v>
      </c>
      <c r="M166" s="804">
        <v>2.6160599637654106E-2</v>
      </c>
      <c r="N166" s="795">
        <v>5043399.1145049604</v>
      </c>
      <c r="O166" s="795">
        <v>192786067</v>
      </c>
      <c r="P166" s="802">
        <v>3.143379705939453E-2</v>
      </c>
      <c r="Q166" s="802">
        <v>2.4363349476532244E-2</v>
      </c>
      <c r="R166" s="802">
        <v>3.1038894370888345E-2</v>
      </c>
      <c r="S166" s="796">
        <v>6.0224072196479156E-2</v>
      </c>
      <c r="T166" s="796">
        <v>6.0224072196479156E-2</v>
      </c>
      <c r="U166" s="796">
        <v>6.0224072196479156E-2</v>
      </c>
      <c r="V166" s="796">
        <v>0.18067221658943747</v>
      </c>
      <c r="W166" s="796">
        <v>0.12446235525635597</v>
      </c>
      <c r="X166" s="802">
        <v>6.7742228579413269E-2</v>
      </c>
      <c r="Y166" s="741">
        <v>6.0224072196479156E-2</v>
      </c>
      <c r="Z166" s="741">
        <v>6.0224072196479156E-2</v>
      </c>
      <c r="AA166" s="741">
        <v>6.0224072196479156E-2</v>
      </c>
      <c r="AB166" s="741">
        <v>0.18067221658943747</v>
      </c>
      <c r="AC166" s="741">
        <v>0.12446235525635597</v>
      </c>
      <c r="AD166" s="741">
        <v>8.6248451106212376E-2</v>
      </c>
      <c r="AE166" s="741">
        <v>14767628.327879146</v>
      </c>
      <c r="AF166" s="741">
        <v>171221954</v>
      </c>
      <c r="AG166" s="798" t="s">
        <v>2180</v>
      </c>
      <c r="AH166" s="798" t="s">
        <v>49</v>
      </c>
      <c r="AI166" s="798"/>
    </row>
    <row r="167" spans="1:35" ht="18.75" customHeight="1">
      <c r="A167" s="790">
        <v>162</v>
      </c>
      <c r="B167" s="790" t="s">
        <v>39</v>
      </c>
      <c r="C167" s="790" t="s">
        <v>290</v>
      </c>
      <c r="D167" s="790" t="s">
        <v>291</v>
      </c>
      <c r="E167" s="790" t="s">
        <v>296</v>
      </c>
      <c r="F167" s="791" t="s">
        <v>142</v>
      </c>
      <c r="G167" s="791" t="s">
        <v>298</v>
      </c>
      <c r="H167" s="791" t="s">
        <v>30</v>
      </c>
      <c r="I167" s="792" t="s">
        <v>1998</v>
      </c>
      <c r="J167" s="792" t="s">
        <v>311</v>
      </c>
      <c r="K167" s="793" t="s">
        <v>293</v>
      </c>
      <c r="L167" s="790">
        <v>2016</v>
      </c>
      <c r="M167" s="804">
        <v>1.5746122467912942E-2</v>
      </c>
      <c r="N167" s="795">
        <v>3035633.0210892698</v>
      </c>
      <c r="O167" s="795">
        <v>192786067</v>
      </c>
      <c r="P167" s="802">
        <v>1.5630438020342859E-2</v>
      </c>
      <c r="Q167" s="802">
        <v>1.099177170310639E-2</v>
      </c>
      <c r="R167" s="802">
        <v>2.0957007275292972E-2</v>
      </c>
      <c r="S167" s="796">
        <v>3.3545786501100967E-2</v>
      </c>
      <c r="T167" s="796">
        <v>3.3545786501100967E-2</v>
      </c>
      <c r="U167" s="796">
        <v>3.3545786501100967E-2</v>
      </c>
      <c r="V167" s="796">
        <v>0.10063735950330291</v>
      </c>
      <c r="W167" s="796">
        <v>6.9327553660477825E-2</v>
      </c>
      <c r="X167" s="802">
        <v>6.5978424073644307E-2</v>
      </c>
      <c r="Y167" s="741">
        <v>3.3545786501100967E-2</v>
      </c>
      <c r="Z167" s="741">
        <v>3.3545786501100967E-2</v>
      </c>
      <c r="AA167" s="741">
        <v>3.3545786501100967E-2</v>
      </c>
      <c r="AB167" s="741">
        <v>0.10063735950330291</v>
      </c>
      <c r="AC167" s="741">
        <v>6.9327553660477825E-2</v>
      </c>
      <c r="AD167" s="741">
        <v>5.8559719770838251E-2</v>
      </c>
      <c r="AE167" s="741">
        <v>10026709.644855358</v>
      </c>
      <c r="AF167" s="741">
        <v>171221954</v>
      </c>
      <c r="AG167" s="798" t="s">
        <v>2180</v>
      </c>
      <c r="AH167" s="798" t="s">
        <v>49</v>
      </c>
      <c r="AI167" s="798"/>
    </row>
    <row r="168" spans="1:35" ht="18.75" customHeight="1">
      <c r="A168" s="790">
        <v>163</v>
      </c>
      <c r="B168" s="790" t="s">
        <v>39</v>
      </c>
      <c r="C168" s="790" t="s">
        <v>290</v>
      </c>
      <c r="D168" s="790" t="s">
        <v>312</v>
      </c>
      <c r="E168" s="790" t="s">
        <v>42</v>
      </c>
      <c r="F168" s="791" t="s">
        <v>43</v>
      </c>
      <c r="G168" s="791" t="s">
        <v>44</v>
      </c>
      <c r="H168" s="791" t="s">
        <v>30</v>
      </c>
      <c r="I168" s="792" t="s">
        <v>1899</v>
      </c>
      <c r="J168" s="792" t="s">
        <v>46</v>
      </c>
      <c r="K168" s="793" t="s">
        <v>293</v>
      </c>
      <c r="L168" s="790">
        <v>2016</v>
      </c>
      <c r="M168" s="794">
        <v>50515.357088319695</v>
      </c>
      <c r="N168" s="797" t="s">
        <v>1882</v>
      </c>
      <c r="O168" s="797" t="s">
        <v>1882</v>
      </c>
      <c r="P168" s="796">
        <v>49164.946911843042</v>
      </c>
      <c r="Q168" s="796">
        <v>42936.375725888036</v>
      </c>
      <c r="R168" s="796">
        <v>18127.88297446497</v>
      </c>
      <c r="S168" s="796">
        <v>38121.456776673527</v>
      </c>
      <c r="T168" s="796">
        <v>38121.456776673527</v>
      </c>
      <c r="U168" s="796">
        <v>38121.456776673527</v>
      </c>
      <c r="V168" s="796">
        <v>114364.37033002058</v>
      </c>
      <c r="W168" s="796">
        <v>78783.883639564723</v>
      </c>
      <c r="X168" s="796">
        <v>156081.39955184792</v>
      </c>
      <c r="Y168" s="741">
        <v>38121.456776673527</v>
      </c>
      <c r="Z168" s="741">
        <v>38121.456776673527</v>
      </c>
      <c r="AA168" s="741">
        <v>38121.456776673527</v>
      </c>
      <c r="AB168" s="741">
        <v>114364.37033002058</v>
      </c>
      <c r="AC168" s="741">
        <v>78783.883639564723</v>
      </c>
      <c r="AD168" s="741">
        <v>22508.675050084734</v>
      </c>
      <c r="AE168" s="741" t="s">
        <v>59</v>
      </c>
      <c r="AF168" s="741" t="s">
        <v>59</v>
      </c>
      <c r="AG168" s="798" t="s">
        <v>1999</v>
      </c>
      <c r="AH168" s="798" t="s">
        <v>2000</v>
      </c>
      <c r="AI168" s="798"/>
    </row>
    <row r="169" spans="1:35" ht="18.75" customHeight="1">
      <c r="A169" s="790">
        <v>164</v>
      </c>
      <c r="B169" s="790" t="s">
        <v>39</v>
      </c>
      <c r="C169" s="790" t="s">
        <v>290</v>
      </c>
      <c r="D169" s="790" t="s">
        <v>315</v>
      </c>
      <c r="E169" s="790" t="s">
        <v>316</v>
      </c>
      <c r="F169" s="791" t="s">
        <v>142</v>
      </c>
      <c r="G169" s="791" t="s">
        <v>2001</v>
      </c>
      <c r="H169" s="791" t="s">
        <v>30</v>
      </c>
      <c r="I169" s="792" t="s">
        <v>2002</v>
      </c>
      <c r="J169" s="805" t="s">
        <v>317</v>
      </c>
      <c r="K169" s="793" t="s">
        <v>293</v>
      </c>
      <c r="L169" s="790">
        <v>2016</v>
      </c>
      <c r="M169" s="804">
        <v>0</v>
      </c>
      <c r="N169" s="795" t="s">
        <v>59</v>
      </c>
      <c r="O169" s="795" t="s">
        <v>59</v>
      </c>
      <c r="P169" s="802">
        <v>0</v>
      </c>
      <c r="Q169" s="802">
        <v>0</v>
      </c>
      <c r="R169" s="802">
        <v>0</v>
      </c>
      <c r="S169" s="796">
        <v>1.5275889405384697E-2</v>
      </c>
      <c r="T169" s="796">
        <v>1.5275889405384697E-2</v>
      </c>
      <c r="U169" s="796">
        <v>1.5275889405384697E-2</v>
      </c>
      <c r="V169" s="796">
        <v>4.582766821615409E-2</v>
      </c>
      <c r="W169" s="796">
        <v>3.1569986961807399E-2</v>
      </c>
      <c r="X169" s="802">
        <v>0</v>
      </c>
      <c r="Y169" s="741">
        <v>1.5275889405384697E-2</v>
      </c>
      <c r="Z169" s="741">
        <v>1.5275889405384697E-2</v>
      </c>
      <c r="AA169" s="741">
        <v>1.5275889405384697E-2</v>
      </c>
      <c r="AB169" s="741">
        <v>4.582766821615409E-2</v>
      </c>
      <c r="AC169" s="741">
        <v>3.1569986961807399E-2</v>
      </c>
      <c r="AD169" s="741">
        <v>0</v>
      </c>
      <c r="AE169" s="741">
        <v>0</v>
      </c>
      <c r="AF169" s="741">
        <v>0</v>
      </c>
      <c r="AG169" s="806" t="s">
        <v>2003</v>
      </c>
      <c r="AH169" s="798" t="s">
        <v>49</v>
      </c>
      <c r="AI169" s="798"/>
    </row>
    <row r="170" spans="1:35" ht="18.75" customHeight="1">
      <c r="A170" s="790">
        <v>165</v>
      </c>
      <c r="B170" s="790" t="s">
        <v>39</v>
      </c>
      <c r="C170" s="790" t="s">
        <v>290</v>
      </c>
      <c r="D170" s="790" t="s">
        <v>315</v>
      </c>
      <c r="E170" s="790" t="s">
        <v>316</v>
      </c>
      <c r="F170" s="791" t="s">
        <v>142</v>
      </c>
      <c r="G170" s="791" t="s">
        <v>2001</v>
      </c>
      <c r="H170" s="791" t="s">
        <v>30</v>
      </c>
      <c r="I170" s="792" t="s">
        <v>2002</v>
      </c>
      <c r="J170" s="805" t="s">
        <v>320</v>
      </c>
      <c r="K170" s="793" t="s">
        <v>293</v>
      </c>
      <c r="L170" s="790">
        <v>2016</v>
      </c>
      <c r="M170" s="804">
        <v>0.61136294769803268</v>
      </c>
      <c r="N170" s="795">
        <v>1116254876.27507</v>
      </c>
      <c r="O170" s="795">
        <v>1825846464</v>
      </c>
      <c r="P170" s="802">
        <v>0.38668994372009047</v>
      </c>
      <c r="Q170" s="802">
        <v>0.29803950384441308</v>
      </c>
      <c r="R170" s="802">
        <v>0.25720975993723594</v>
      </c>
      <c r="S170" s="796">
        <v>7.7179816548662586E-2</v>
      </c>
      <c r="T170" s="796">
        <v>7.7179816548662586E-2</v>
      </c>
      <c r="U170" s="796">
        <v>7.7179816548662586E-2</v>
      </c>
      <c r="V170" s="796">
        <v>0.23153944964598777</v>
      </c>
      <c r="W170" s="796">
        <v>0.15950402215514103</v>
      </c>
      <c r="X170" s="802">
        <v>0.11273222307972422</v>
      </c>
      <c r="Y170" s="741">
        <v>7.7179816548662586E-2</v>
      </c>
      <c r="Z170" s="741">
        <v>7.7179816548662586E-2</v>
      </c>
      <c r="AA170" s="741">
        <v>7.7179816548662586E-2</v>
      </c>
      <c r="AB170" s="741">
        <v>0.23153944964598777</v>
      </c>
      <c r="AC170" s="741">
        <v>0.15950402215514103</v>
      </c>
      <c r="AD170" s="741">
        <v>0.61871547242889235</v>
      </c>
      <c r="AE170" s="741">
        <v>300119439.34740478</v>
      </c>
      <c r="AF170" s="741">
        <v>485068586</v>
      </c>
      <c r="AG170" s="798" t="s">
        <v>2004</v>
      </c>
      <c r="AH170" s="798" t="s">
        <v>2005</v>
      </c>
      <c r="AI170" s="798"/>
    </row>
    <row r="171" spans="1:35" ht="18.75" customHeight="1">
      <c r="A171" s="790">
        <v>166</v>
      </c>
      <c r="B171" s="790" t="s">
        <v>39</v>
      </c>
      <c r="C171" s="790" t="s">
        <v>290</v>
      </c>
      <c r="D171" s="790" t="s">
        <v>315</v>
      </c>
      <c r="E171" s="790" t="s">
        <v>316</v>
      </c>
      <c r="F171" s="791" t="s">
        <v>142</v>
      </c>
      <c r="G171" s="791" t="s">
        <v>2001</v>
      </c>
      <c r="H171" s="791" t="s">
        <v>30</v>
      </c>
      <c r="I171" s="792" t="s">
        <v>2002</v>
      </c>
      <c r="J171" s="805" t="s">
        <v>321</v>
      </c>
      <c r="K171" s="793" t="s">
        <v>293</v>
      </c>
      <c r="L171" s="790">
        <v>2016</v>
      </c>
      <c r="M171" s="804">
        <v>6.1756990309597172E-2</v>
      </c>
      <c r="N171" s="795">
        <v>651631.97110123001</v>
      </c>
      <c r="O171" s="795">
        <v>10551550</v>
      </c>
      <c r="P171" s="802">
        <v>5.3045523695406084E-2</v>
      </c>
      <c r="Q171" s="802">
        <v>2.4319729335962388E-2</v>
      </c>
      <c r="R171" s="802">
        <v>0.13571696482403345</v>
      </c>
      <c r="S171" s="796" t="s">
        <v>1881</v>
      </c>
      <c r="T171" s="796" t="s">
        <v>1881</v>
      </c>
      <c r="U171" s="796" t="s">
        <v>1881</v>
      </c>
      <c r="V171" s="796" t="s">
        <v>1881</v>
      </c>
      <c r="W171" s="796" t="s">
        <v>1881</v>
      </c>
      <c r="X171" s="802">
        <v>0.39422273611562025</v>
      </c>
      <c r="Y171" s="741"/>
      <c r="Z171" s="741"/>
      <c r="AA171" s="741"/>
      <c r="AB171" s="741"/>
      <c r="AC171" s="741"/>
      <c r="AD171" s="741">
        <v>0.47211223957217491</v>
      </c>
      <c r="AE171" s="741">
        <v>1087222.0832761263</v>
      </c>
      <c r="AF171" s="741">
        <v>2302889</v>
      </c>
      <c r="AG171" s="798" t="s">
        <v>2004</v>
      </c>
      <c r="AH171" s="798" t="s">
        <v>2005</v>
      </c>
      <c r="AI171" s="798"/>
    </row>
    <row r="172" spans="1:35" ht="18.75" customHeight="1">
      <c r="A172" s="790">
        <v>167</v>
      </c>
      <c r="B172" s="790" t="s">
        <v>39</v>
      </c>
      <c r="C172" s="790" t="s">
        <v>290</v>
      </c>
      <c r="D172" s="790" t="s">
        <v>324</v>
      </c>
      <c r="E172" s="790" t="s">
        <v>325</v>
      </c>
      <c r="F172" s="791" t="s">
        <v>142</v>
      </c>
      <c r="G172" s="791" t="s">
        <v>1951</v>
      </c>
      <c r="H172" s="791" t="s">
        <v>30</v>
      </c>
      <c r="I172" s="792" t="s">
        <v>2006</v>
      </c>
      <c r="J172" s="792" t="s">
        <v>327</v>
      </c>
      <c r="K172" s="793" t="s">
        <v>293</v>
      </c>
      <c r="L172" s="790">
        <v>2016</v>
      </c>
      <c r="M172" s="804">
        <v>0.25304465493910688</v>
      </c>
      <c r="N172" s="795">
        <v>374</v>
      </c>
      <c r="O172" s="795">
        <v>1478</v>
      </c>
      <c r="P172" s="802">
        <v>0.12080536912751678</v>
      </c>
      <c r="Q172" s="802">
        <v>0.13900414937759337</v>
      </c>
      <c r="R172" s="802">
        <v>8.9426617569700162E-2</v>
      </c>
      <c r="S172" s="796">
        <v>9.369689494189426E-2</v>
      </c>
      <c r="T172" s="796">
        <v>9.369689494189426E-2</v>
      </c>
      <c r="U172" s="796">
        <v>9.369689494189426E-2</v>
      </c>
      <c r="V172" s="796">
        <v>0.28109068482568278</v>
      </c>
      <c r="W172" s="796">
        <v>0.19363911803621411</v>
      </c>
      <c r="X172" s="802">
        <v>3.4883720930232558E-2</v>
      </c>
      <c r="Y172" s="741">
        <v>9.369689494189426E-2</v>
      </c>
      <c r="Z172" s="741">
        <v>9.369689494189426E-2</v>
      </c>
      <c r="AA172" s="741">
        <v>9.369689494189426E-2</v>
      </c>
      <c r="AB172" s="741">
        <v>0.28109068482568278</v>
      </c>
      <c r="AC172" s="741">
        <v>0.19363911803621411</v>
      </c>
      <c r="AD172" s="741">
        <v>6.6784608580274213E-2</v>
      </c>
      <c r="AE172" s="741">
        <v>151</v>
      </c>
      <c r="AF172" s="741">
        <v>2261</v>
      </c>
      <c r="AG172" s="798" t="s">
        <v>2007</v>
      </c>
      <c r="AH172" s="798" t="s">
        <v>2008</v>
      </c>
      <c r="AI172" s="798"/>
    </row>
    <row r="173" spans="1:35" ht="18.75" customHeight="1">
      <c r="A173" s="790">
        <v>168</v>
      </c>
      <c r="B173" s="790" t="s">
        <v>39</v>
      </c>
      <c r="C173" s="790" t="s">
        <v>290</v>
      </c>
      <c r="D173" s="790" t="s">
        <v>324</v>
      </c>
      <c r="E173" s="790" t="s">
        <v>329</v>
      </c>
      <c r="F173" s="791" t="s">
        <v>142</v>
      </c>
      <c r="G173" s="791" t="s">
        <v>1951</v>
      </c>
      <c r="H173" s="791" t="s">
        <v>30</v>
      </c>
      <c r="I173" s="792" t="s">
        <v>2006</v>
      </c>
      <c r="J173" s="792" t="s">
        <v>330</v>
      </c>
      <c r="K173" s="793" t="s">
        <v>293</v>
      </c>
      <c r="L173" s="790">
        <v>2016</v>
      </c>
      <c r="M173" s="804">
        <v>0.11800347442904961</v>
      </c>
      <c r="N173" s="795">
        <v>2785</v>
      </c>
      <c r="O173" s="795">
        <v>23601</v>
      </c>
      <c r="P173" s="802">
        <v>4.7491950516861552E-2</v>
      </c>
      <c r="Q173" s="802">
        <v>5.598802395209581E-2</v>
      </c>
      <c r="R173" s="802">
        <v>4.17345681465877E-2</v>
      </c>
      <c r="S173" s="796">
        <v>9.3696894941894288E-2</v>
      </c>
      <c r="T173" s="796">
        <v>9.3696894941894288E-2</v>
      </c>
      <c r="U173" s="796">
        <v>9.3696894941894288E-2</v>
      </c>
      <c r="V173" s="796">
        <v>0.28109068482568289</v>
      </c>
      <c r="W173" s="796">
        <v>0.19363911803621414</v>
      </c>
      <c r="X173" s="802">
        <v>2.8803296610882181E-2</v>
      </c>
      <c r="Y173" s="741">
        <v>9.3696894941894288E-2</v>
      </c>
      <c r="Z173" s="741">
        <v>9.3696894941894288E-2</v>
      </c>
      <c r="AA173" s="741">
        <v>9.3696894941894288E-2</v>
      </c>
      <c r="AB173" s="741">
        <v>0.28109068482568289</v>
      </c>
      <c r="AC173" s="741">
        <v>0.19363911803621414</v>
      </c>
      <c r="AD173" s="741">
        <v>1.082693947144075E-2</v>
      </c>
      <c r="AE173" s="741">
        <v>254</v>
      </c>
      <c r="AF173" s="741">
        <v>23460</v>
      </c>
      <c r="AG173" s="798" t="s">
        <v>2009</v>
      </c>
      <c r="AH173" s="798" t="s">
        <v>2010</v>
      </c>
      <c r="AI173" s="798"/>
    </row>
    <row r="174" spans="1:35" ht="18.75" customHeight="1">
      <c r="A174" s="790">
        <v>169</v>
      </c>
      <c r="B174" s="790" t="s">
        <v>39</v>
      </c>
      <c r="C174" s="790" t="s">
        <v>290</v>
      </c>
      <c r="D174" s="790" t="s">
        <v>324</v>
      </c>
      <c r="E174" s="790" t="s">
        <v>331</v>
      </c>
      <c r="F174" s="791" t="s">
        <v>142</v>
      </c>
      <c r="G174" s="791" t="s">
        <v>1951</v>
      </c>
      <c r="H174" s="791" t="s">
        <v>30</v>
      </c>
      <c r="I174" s="792" t="s">
        <v>2006</v>
      </c>
      <c r="J174" s="792" t="s">
        <v>2011</v>
      </c>
      <c r="K174" s="793" t="s">
        <v>293</v>
      </c>
      <c r="L174" s="790">
        <v>2016</v>
      </c>
      <c r="M174" s="804">
        <v>5.4201714764828386E-2</v>
      </c>
      <c r="N174" s="795">
        <v>6012</v>
      </c>
      <c r="O174" s="795">
        <v>110919</v>
      </c>
      <c r="P174" s="802">
        <v>1.6716551262005809E-2</v>
      </c>
      <c r="Q174" s="802">
        <v>2.1564372988066231E-2</v>
      </c>
      <c r="R174" s="802">
        <v>2.3849188195385531E-2</v>
      </c>
      <c r="S174" s="796">
        <v>9.3696894941894274E-2</v>
      </c>
      <c r="T174" s="796">
        <v>9.3696894941894274E-2</v>
      </c>
      <c r="U174" s="796">
        <v>9.3696894941894274E-2</v>
      </c>
      <c r="V174" s="796">
        <v>0.28109068482568283</v>
      </c>
      <c r="W174" s="796">
        <v>0.19363911803621409</v>
      </c>
      <c r="X174" s="802">
        <v>1.609106860101853E-2</v>
      </c>
      <c r="Y174" s="741">
        <v>9.3696894941894274E-2</v>
      </c>
      <c r="Z174" s="741">
        <v>9.3696894941894274E-2</v>
      </c>
      <c r="AA174" s="741">
        <v>9.3696894941894274E-2</v>
      </c>
      <c r="AB174" s="741">
        <v>0.28109068482568283</v>
      </c>
      <c r="AC174" s="741">
        <v>0.19363911803621409</v>
      </c>
      <c r="AD174" s="741">
        <v>1.18511395650927E-2</v>
      </c>
      <c r="AE174" s="741">
        <v>1405</v>
      </c>
      <c r="AF174" s="741">
        <v>118554</v>
      </c>
      <c r="AG174" s="798" t="s">
        <v>2012</v>
      </c>
      <c r="AH174" s="798" t="s">
        <v>2013</v>
      </c>
      <c r="AI174" s="798"/>
    </row>
    <row r="175" spans="1:35" ht="18.75" customHeight="1">
      <c r="A175" s="790">
        <v>170</v>
      </c>
      <c r="B175" s="790" t="s">
        <v>39</v>
      </c>
      <c r="C175" s="790" t="s">
        <v>290</v>
      </c>
      <c r="D175" s="790" t="s">
        <v>324</v>
      </c>
      <c r="E175" s="790" t="s">
        <v>252</v>
      </c>
      <c r="F175" s="791" t="s">
        <v>142</v>
      </c>
      <c r="G175" s="791" t="s">
        <v>760</v>
      </c>
      <c r="H175" s="791" t="s">
        <v>30</v>
      </c>
      <c r="I175" s="792" t="s">
        <v>335</v>
      </c>
      <c r="J175" s="792" t="s">
        <v>335</v>
      </c>
      <c r="K175" s="793" t="s">
        <v>293</v>
      </c>
      <c r="L175" s="790">
        <v>2016</v>
      </c>
      <c r="M175" s="804">
        <v>5.5483784073566821E-2</v>
      </c>
      <c r="N175" s="795">
        <v>153283018</v>
      </c>
      <c r="O175" s="795">
        <v>2762663372</v>
      </c>
      <c r="P175" s="802">
        <v>1.9057728108446619E-2</v>
      </c>
      <c r="Q175" s="802">
        <v>2.3596968231056791E-2</v>
      </c>
      <c r="R175" s="802">
        <v>2.3029780331768984E-2</v>
      </c>
      <c r="S175" s="796">
        <v>0.35615164741344224</v>
      </c>
      <c r="T175" s="796">
        <v>0.35615164741344224</v>
      </c>
      <c r="U175" s="796">
        <v>0.35615164741344224</v>
      </c>
      <c r="V175" s="796">
        <v>1.0684549422403267</v>
      </c>
      <c r="W175" s="796">
        <v>0.73604243699913363</v>
      </c>
      <c r="X175" s="802">
        <v>1.5207557255126862E-2</v>
      </c>
      <c r="Y175" s="741">
        <v>0.35615164741344224</v>
      </c>
      <c r="Z175" s="741">
        <v>0.35615164741344224</v>
      </c>
      <c r="AA175" s="741">
        <v>0.35615164741344224</v>
      </c>
      <c r="AB175" s="741">
        <v>1.0684549422403267</v>
      </c>
      <c r="AC175" s="741">
        <v>0.73604243699913363</v>
      </c>
      <c r="AD175" s="741">
        <v>0.13724660938617642</v>
      </c>
      <c r="AE175" s="741">
        <v>30335522</v>
      </c>
      <c r="AF175" s="741">
        <v>221029300</v>
      </c>
      <c r="AG175" s="798" t="s">
        <v>2014</v>
      </c>
      <c r="AH175" s="798" t="s">
        <v>2181</v>
      </c>
      <c r="AI175" s="798" t="s">
        <v>2182</v>
      </c>
    </row>
    <row r="176" spans="1:35" ht="18.75" customHeight="1">
      <c r="A176" s="790">
        <v>171</v>
      </c>
      <c r="B176" s="790" t="s">
        <v>39</v>
      </c>
      <c r="C176" s="790" t="s">
        <v>290</v>
      </c>
      <c r="D176" s="790" t="s">
        <v>324</v>
      </c>
      <c r="E176" s="790" t="s">
        <v>153</v>
      </c>
      <c r="F176" s="791" t="s">
        <v>142</v>
      </c>
      <c r="G176" s="791" t="s">
        <v>154</v>
      </c>
      <c r="H176" s="791" t="s">
        <v>30</v>
      </c>
      <c r="I176" s="792" t="s">
        <v>156</v>
      </c>
      <c r="J176" s="792" t="s">
        <v>156</v>
      </c>
      <c r="K176" s="793" t="s">
        <v>293</v>
      </c>
      <c r="L176" s="790">
        <v>2016</v>
      </c>
      <c r="M176" s="804">
        <v>6.6221698730532658E-2</v>
      </c>
      <c r="N176" s="795">
        <v>506</v>
      </c>
      <c r="O176" s="795">
        <v>7641</v>
      </c>
      <c r="P176" s="802">
        <v>3.7783043707214324E-2</v>
      </c>
      <c r="Q176" s="802">
        <v>2.7390044772188569E-2</v>
      </c>
      <c r="R176" s="802">
        <v>3.2797681770284512E-2</v>
      </c>
      <c r="S176" s="796">
        <v>4.1436933762130007E-2</v>
      </c>
      <c r="T176" s="796">
        <v>4.1436933762130007E-2</v>
      </c>
      <c r="U176" s="796">
        <v>4.1436933762130007E-2</v>
      </c>
      <c r="V176" s="796">
        <v>0.12431080128639002</v>
      </c>
      <c r="W176" s="796">
        <v>8.5635829370864516E-2</v>
      </c>
      <c r="X176" s="802">
        <v>2.5751633986928105E-2</v>
      </c>
      <c r="Y176" s="741">
        <v>4.1436933762130007E-2</v>
      </c>
      <c r="Z176" s="741">
        <v>4.1436933762130007E-2</v>
      </c>
      <c r="AA176" s="741">
        <v>4.1436933762130007E-2</v>
      </c>
      <c r="AB176" s="741">
        <v>0.12431080128639002</v>
      </c>
      <c r="AC176" s="741">
        <v>8.5635829370864516E-2</v>
      </c>
      <c r="AD176" s="741">
        <v>7.7823772915434658E-2</v>
      </c>
      <c r="AE176" s="741">
        <v>658</v>
      </c>
      <c r="AF176" s="741">
        <v>8455</v>
      </c>
      <c r="AG176" s="798" t="s">
        <v>2015</v>
      </c>
      <c r="AH176" s="798" t="s">
        <v>1957</v>
      </c>
      <c r="AI176" s="798" t="s">
        <v>2183</v>
      </c>
    </row>
    <row r="177" spans="1:35" ht="18.75" customHeight="1">
      <c r="A177" s="790">
        <v>172</v>
      </c>
      <c r="B177" s="790" t="s">
        <v>39</v>
      </c>
      <c r="C177" s="790" t="s">
        <v>290</v>
      </c>
      <c r="D177" s="790" t="s">
        <v>341</v>
      </c>
      <c r="E177" s="790" t="s">
        <v>342</v>
      </c>
      <c r="F177" s="791" t="s">
        <v>142</v>
      </c>
      <c r="G177" s="791" t="s">
        <v>771</v>
      </c>
      <c r="H177" s="791" t="s">
        <v>30</v>
      </c>
      <c r="I177" s="792" t="s">
        <v>345</v>
      </c>
      <c r="J177" s="792" t="s">
        <v>345</v>
      </c>
      <c r="K177" s="793" t="s">
        <v>293</v>
      </c>
      <c r="L177" s="790">
        <v>2016</v>
      </c>
      <c r="M177" s="804">
        <v>4.3746802894956537E-3</v>
      </c>
      <c r="N177" s="795">
        <v>12085769</v>
      </c>
      <c r="O177" s="795">
        <v>2762663372</v>
      </c>
      <c r="P177" s="802">
        <v>5.0917393138470511E-2</v>
      </c>
      <c r="Q177" s="802">
        <v>5.0820587780012312E-2</v>
      </c>
      <c r="R177" s="802">
        <v>4.8806258396775638E-2</v>
      </c>
      <c r="S177" s="796">
        <v>0.20301641791332467</v>
      </c>
      <c r="T177" s="796">
        <v>0.20301641791332467</v>
      </c>
      <c r="U177" s="796">
        <v>0.20301641791332467</v>
      </c>
      <c r="V177" s="796">
        <v>0.60904925373997398</v>
      </c>
      <c r="W177" s="796">
        <v>0.41956481200350093</v>
      </c>
      <c r="X177" s="802">
        <v>2.0361879752568055E-3</v>
      </c>
      <c r="Y177" s="741">
        <v>0.20301641791332467</v>
      </c>
      <c r="Z177" s="741">
        <v>0.20301641791332467</v>
      </c>
      <c r="AA177" s="741">
        <v>0.20301641791332467</v>
      </c>
      <c r="AB177" s="741">
        <v>0.60904925373997398</v>
      </c>
      <c r="AC177" s="741">
        <v>0.41956481200350093</v>
      </c>
      <c r="AD177" s="741">
        <v>3.608386761393173E-2</v>
      </c>
      <c r="AE177" s="741">
        <v>57047348</v>
      </c>
      <c r="AF177" s="741">
        <v>1580965450</v>
      </c>
      <c r="AG177" s="798" t="s">
        <v>2184</v>
      </c>
      <c r="AH177" s="798" t="s">
        <v>2016</v>
      </c>
      <c r="AI177" s="798" t="s">
        <v>2185</v>
      </c>
    </row>
    <row r="178" spans="1:35" ht="18.75" customHeight="1">
      <c r="A178" s="790">
        <v>173</v>
      </c>
      <c r="B178" s="790" t="s">
        <v>39</v>
      </c>
      <c r="C178" s="790" t="s">
        <v>290</v>
      </c>
      <c r="D178" s="790" t="s">
        <v>341</v>
      </c>
      <c r="E178" s="790" t="s">
        <v>346</v>
      </c>
      <c r="F178" s="791" t="s">
        <v>142</v>
      </c>
      <c r="G178" s="791" t="s">
        <v>773</v>
      </c>
      <c r="H178" s="791" t="s">
        <v>30</v>
      </c>
      <c r="I178" s="792" t="s">
        <v>2017</v>
      </c>
      <c r="J178" s="792" t="s">
        <v>2017</v>
      </c>
      <c r="K178" s="793" t="s">
        <v>293</v>
      </c>
      <c r="L178" s="790">
        <v>2016</v>
      </c>
      <c r="M178" s="804">
        <v>0.10622462787550745</v>
      </c>
      <c r="N178" s="795">
        <v>157</v>
      </c>
      <c r="O178" s="795">
        <v>1478</v>
      </c>
      <c r="P178" s="802">
        <v>5.6375838926174496E-2</v>
      </c>
      <c r="Q178" s="802">
        <v>5.8091286307053944E-2</v>
      </c>
      <c r="R178" s="802">
        <v>0.16052631578947368</v>
      </c>
      <c r="S178" s="796">
        <v>1.1759343232438182E-2</v>
      </c>
      <c r="T178" s="796">
        <v>1.1759343232438182E-2</v>
      </c>
      <c r="U178" s="796">
        <v>1.1759343232438182E-2</v>
      </c>
      <c r="V178" s="796">
        <v>3.5278029697314542E-2</v>
      </c>
      <c r="W178" s="796">
        <v>2.4302500671196915E-2</v>
      </c>
      <c r="X178" s="802">
        <v>2.2148394241417496E-3</v>
      </c>
      <c r="Y178" s="741">
        <v>1.1759343232438182E-2</v>
      </c>
      <c r="Z178" s="741">
        <v>1.1759343232438182E-2</v>
      </c>
      <c r="AA178" s="741">
        <v>1.1759343232438182E-2</v>
      </c>
      <c r="AB178" s="741">
        <v>3.5278029697314542E-2</v>
      </c>
      <c r="AC178" s="741">
        <v>2.4302500671196915E-2</v>
      </c>
      <c r="AD178" s="741">
        <v>0.1096859796550199</v>
      </c>
      <c r="AE178" s="741">
        <v>248</v>
      </c>
      <c r="AF178" s="741">
        <v>2261</v>
      </c>
      <c r="AG178" s="798" t="s">
        <v>2186</v>
      </c>
      <c r="AH178" s="798" t="s">
        <v>2187</v>
      </c>
      <c r="AI178" s="798" t="s">
        <v>2188</v>
      </c>
    </row>
    <row r="179" spans="1:35" ht="18.75" customHeight="1">
      <c r="A179" s="790">
        <v>174</v>
      </c>
      <c r="B179" s="790" t="s">
        <v>39</v>
      </c>
      <c r="C179" s="790" t="s">
        <v>290</v>
      </c>
      <c r="D179" s="790" t="s">
        <v>341</v>
      </c>
      <c r="E179" s="790" t="s">
        <v>352</v>
      </c>
      <c r="F179" s="791" t="s">
        <v>142</v>
      </c>
      <c r="G179" s="791" t="s">
        <v>773</v>
      </c>
      <c r="H179" s="791" t="s">
        <v>30</v>
      </c>
      <c r="I179" s="792" t="s">
        <v>2018</v>
      </c>
      <c r="J179" s="792" t="s">
        <v>2018</v>
      </c>
      <c r="K179" s="793" t="s">
        <v>293</v>
      </c>
      <c r="L179" s="790">
        <v>2016</v>
      </c>
      <c r="M179" s="804">
        <v>1.4109571628320834E-2</v>
      </c>
      <c r="N179" s="795">
        <v>333</v>
      </c>
      <c r="O179" s="795">
        <v>23601</v>
      </c>
      <c r="P179" s="802">
        <v>3.6307405524487378E-2</v>
      </c>
      <c r="Q179" s="802">
        <v>3.6655260906757914E-2</v>
      </c>
      <c r="R179" s="802">
        <v>8.645017687507453E-2</v>
      </c>
      <c r="S179" s="796">
        <v>1.1759343232438184E-2</v>
      </c>
      <c r="T179" s="796">
        <v>1.1759343232438184E-2</v>
      </c>
      <c r="U179" s="796">
        <v>1.1759343232438184E-2</v>
      </c>
      <c r="V179" s="796">
        <v>3.5278029697314549E-2</v>
      </c>
      <c r="W179" s="796">
        <v>2.4302500671196926E-2</v>
      </c>
      <c r="X179" s="802">
        <v>2.5229164914641325E-3</v>
      </c>
      <c r="Y179" s="741">
        <v>1.1759343232438184E-2</v>
      </c>
      <c r="Z179" s="741">
        <v>1.1759343232438184E-2</v>
      </c>
      <c r="AA179" s="741">
        <v>1.1759343232438184E-2</v>
      </c>
      <c r="AB179" s="741">
        <v>3.5278029697314549E-2</v>
      </c>
      <c r="AC179" s="741">
        <v>2.4302500671196926E-2</v>
      </c>
      <c r="AD179" s="741">
        <v>6.7476555839727198E-2</v>
      </c>
      <c r="AE179" s="741">
        <v>1583</v>
      </c>
      <c r="AF179" s="741">
        <v>23460</v>
      </c>
      <c r="AG179" s="798" t="s">
        <v>2189</v>
      </c>
      <c r="AH179" s="798" t="s">
        <v>2190</v>
      </c>
      <c r="AI179" s="798" t="s">
        <v>2188</v>
      </c>
    </row>
    <row r="180" spans="1:35" ht="18.75" customHeight="1">
      <c r="A180" s="790">
        <v>175</v>
      </c>
      <c r="B180" s="790" t="s">
        <v>39</v>
      </c>
      <c r="C180" s="790" t="s">
        <v>290</v>
      </c>
      <c r="D180" s="790" t="s">
        <v>341</v>
      </c>
      <c r="E180" s="790" t="s">
        <v>356</v>
      </c>
      <c r="F180" s="791" t="s">
        <v>142</v>
      </c>
      <c r="G180" s="791" t="s">
        <v>773</v>
      </c>
      <c r="H180" s="791" t="s">
        <v>30</v>
      </c>
      <c r="I180" s="792" t="s">
        <v>2019</v>
      </c>
      <c r="J180" s="792" t="s">
        <v>2019</v>
      </c>
      <c r="K180" s="793" t="s">
        <v>293</v>
      </c>
      <c r="L180" s="790">
        <v>2016</v>
      </c>
      <c r="M180" s="804">
        <v>2.5964893300516592E-3</v>
      </c>
      <c r="N180" s="795">
        <v>288</v>
      </c>
      <c r="O180" s="795">
        <v>110919</v>
      </c>
      <c r="P180" s="802">
        <v>2.2309582309582309E-2</v>
      </c>
      <c r="Q180" s="802">
        <v>2.220463478400057E-2</v>
      </c>
      <c r="R180" s="802">
        <v>3.8799167911059702E-2</v>
      </c>
      <c r="S180" s="796">
        <v>1.1759343232438184E-2</v>
      </c>
      <c r="T180" s="796">
        <v>1.1759343232438184E-2</v>
      </c>
      <c r="U180" s="796">
        <v>1.1759343232438184E-2</v>
      </c>
      <c r="V180" s="796">
        <v>3.5278029697314549E-2</v>
      </c>
      <c r="W180" s="796">
        <v>2.4302500671196922E-2</v>
      </c>
      <c r="X180" s="802">
        <v>1.9343518637394616E-3</v>
      </c>
      <c r="Y180" s="741">
        <v>1.1759343232438184E-2</v>
      </c>
      <c r="Z180" s="741">
        <v>1.1759343232438184E-2</v>
      </c>
      <c r="AA180" s="741">
        <v>1.1759343232438184E-2</v>
      </c>
      <c r="AB180" s="741">
        <v>3.5278029697314549E-2</v>
      </c>
      <c r="AC180" s="741">
        <v>2.4302500671196922E-2</v>
      </c>
      <c r="AD180" s="741">
        <v>2.8459604905781331E-2</v>
      </c>
      <c r="AE180" s="741">
        <v>3374</v>
      </c>
      <c r="AF180" s="741">
        <v>118554</v>
      </c>
      <c r="AG180" s="798" t="s">
        <v>2191</v>
      </c>
      <c r="AH180" s="798" t="s">
        <v>2192</v>
      </c>
      <c r="AI180" s="798" t="s">
        <v>2188</v>
      </c>
    </row>
    <row r="181" spans="1:35" ht="18.75" customHeight="1">
      <c r="A181" s="790">
        <v>176</v>
      </c>
      <c r="B181" s="790" t="s">
        <v>39</v>
      </c>
      <c r="C181" s="790" t="s">
        <v>290</v>
      </c>
      <c r="D181" s="790" t="s">
        <v>341</v>
      </c>
      <c r="E181" s="790" t="s">
        <v>270</v>
      </c>
      <c r="F181" s="791" t="s">
        <v>142</v>
      </c>
      <c r="G181" s="791" t="s">
        <v>1990</v>
      </c>
      <c r="H181" s="791" t="s">
        <v>30</v>
      </c>
      <c r="I181" s="792" t="s">
        <v>362</v>
      </c>
      <c r="J181" s="792" t="s">
        <v>362</v>
      </c>
      <c r="K181" s="793" t="s">
        <v>293</v>
      </c>
      <c r="L181" s="790">
        <v>2016</v>
      </c>
      <c r="M181" s="804">
        <v>1.3083867591259977E-3</v>
      </c>
      <c r="N181" s="795">
        <v>10</v>
      </c>
      <c r="O181" s="795">
        <v>7643</v>
      </c>
      <c r="P181" s="802">
        <v>1.7904160084254869E-2</v>
      </c>
      <c r="Q181" s="802">
        <v>1.7901803343425036E-2</v>
      </c>
      <c r="R181" s="802">
        <v>3.6222339304531087E-2</v>
      </c>
      <c r="S181" s="796">
        <v>5.6159193172643524E-3</v>
      </c>
      <c r="T181" s="796">
        <v>5.6159193172643524E-3</v>
      </c>
      <c r="U181" s="796">
        <v>5.6159193172643524E-3</v>
      </c>
      <c r="V181" s="796">
        <v>1.6847757951793059E-2</v>
      </c>
      <c r="W181" s="796">
        <v>1.1606165436239818E-2</v>
      </c>
      <c r="X181" s="802">
        <v>2.6143790849673205E-4</v>
      </c>
      <c r="Y181" s="741">
        <v>5.6159193172643524E-3</v>
      </c>
      <c r="Z181" s="741">
        <v>5.6159193172643524E-3</v>
      </c>
      <c r="AA181" s="741">
        <v>5.6159193172643524E-3</v>
      </c>
      <c r="AB181" s="741">
        <v>1.6847757951793059E-2</v>
      </c>
      <c r="AC181" s="741">
        <v>1.1606165436239818E-2</v>
      </c>
      <c r="AD181" s="741">
        <v>1.5257244234180957E-2</v>
      </c>
      <c r="AE181" s="741">
        <v>129</v>
      </c>
      <c r="AF181" s="741">
        <v>8455</v>
      </c>
      <c r="AG181" s="798" t="s">
        <v>2193</v>
      </c>
      <c r="AH181" s="798" t="s">
        <v>2020</v>
      </c>
      <c r="AI181" s="798" t="s">
        <v>2183</v>
      </c>
    </row>
    <row r="182" spans="1:35" ht="18.75" customHeight="1">
      <c r="A182" s="790">
        <v>177</v>
      </c>
      <c r="B182" s="790" t="s">
        <v>39</v>
      </c>
      <c r="C182" s="790" t="s">
        <v>290</v>
      </c>
      <c r="D182" s="790" t="s">
        <v>364</v>
      </c>
      <c r="E182" s="790" t="s">
        <v>91</v>
      </c>
      <c r="F182" s="791" t="s">
        <v>92</v>
      </c>
      <c r="G182" s="791" t="s">
        <v>93</v>
      </c>
      <c r="H182" s="791" t="s">
        <v>30</v>
      </c>
      <c r="I182" s="792" t="s">
        <v>1924</v>
      </c>
      <c r="J182" s="792" t="s">
        <v>92</v>
      </c>
      <c r="K182" s="793" t="s">
        <v>293</v>
      </c>
      <c r="L182" s="790">
        <v>2016</v>
      </c>
      <c r="M182" s="794">
        <v>308.75989172309579</v>
      </c>
      <c r="N182" s="795">
        <v>45796543.016906992</v>
      </c>
      <c r="O182" s="795">
        <v>148324.13226125421</v>
      </c>
      <c r="P182" s="796">
        <v>99.629885801856304</v>
      </c>
      <c r="Q182" s="796">
        <v>126.72592204790902</v>
      </c>
      <c r="R182" s="796">
        <v>336.89032019194184</v>
      </c>
      <c r="S182" s="796">
        <v>292.93386693769145</v>
      </c>
      <c r="T182" s="796">
        <v>292.93386693769145</v>
      </c>
      <c r="U182" s="796">
        <v>292.93386693769145</v>
      </c>
      <c r="V182" s="796">
        <v>878.8016008130744</v>
      </c>
      <c r="W182" s="796">
        <v>582.93839520600602</v>
      </c>
      <c r="X182" s="796">
        <v>12.655258112763464</v>
      </c>
      <c r="Y182" s="741">
        <v>292.93386693769145</v>
      </c>
      <c r="Z182" s="741">
        <v>292.93386693769145</v>
      </c>
      <c r="AA182" s="741">
        <v>292.93386693769145</v>
      </c>
      <c r="AB182" s="741">
        <v>878.8016008130744</v>
      </c>
      <c r="AC182" s="741">
        <v>582.93839520600602</v>
      </c>
      <c r="AD182" s="741">
        <v>106.26418996142814</v>
      </c>
      <c r="AE182" s="741">
        <v>7023255.9717683783</v>
      </c>
      <c r="AF182" s="741">
        <v>66092.405864267959</v>
      </c>
      <c r="AG182" s="798" t="s">
        <v>1958</v>
      </c>
      <c r="AH182" s="798" t="s">
        <v>1959</v>
      </c>
      <c r="AI182" s="798"/>
    </row>
    <row r="183" spans="1:35" ht="18.75" customHeight="1">
      <c r="A183" s="790">
        <v>178</v>
      </c>
      <c r="B183" s="790" t="s">
        <v>39</v>
      </c>
      <c r="C183" s="790" t="s">
        <v>290</v>
      </c>
      <c r="D183" s="790" t="s">
        <v>364</v>
      </c>
      <c r="E183" s="790" t="s">
        <v>91</v>
      </c>
      <c r="F183" s="791" t="s">
        <v>95</v>
      </c>
      <c r="G183" s="791" t="s">
        <v>93</v>
      </c>
      <c r="H183" s="791" t="s">
        <v>30</v>
      </c>
      <c r="I183" s="792" t="s">
        <v>1924</v>
      </c>
      <c r="J183" s="792" t="s">
        <v>95</v>
      </c>
      <c r="K183" s="793" t="s">
        <v>293</v>
      </c>
      <c r="L183" s="790">
        <v>2016</v>
      </c>
      <c r="M183" s="799">
        <v>6.2627121171113395E-2</v>
      </c>
      <c r="N183" s="795">
        <v>45796543.016906992</v>
      </c>
      <c r="O183" s="795">
        <v>731257355.6076299</v>
      </c>
      <c r="P183" s="800">
        <v>2.1583563714012717E-2</v>
      </c>
      <c r="Q183" s="800">
        <v>3.0611934809421856E-2</v>
      </c>
      <c r="R183" s="800">
        <v>7.386965584745582E-2</v>
      </c>
      <c r="S183" s="796">
        <v>6.2935963617522572E-2</v>
      </c>
      <c r="T183" s="796">
        <v>6.2935963617522572E-2</v>
      </c>
      <c r="U183" s="796">
        <v>6.2935963617522572E-2</v>
      </c>
      <c r="V183" s="796">
        <v>0.18880789085256772</v>
      </c>
      <c r="W183" s="796">
        <v>0.12524256759886992</v>
      </c>
      <c r="X183" s="800">
        <v>2.610874750144375E-3</v>
      </c>
      <c r="Y183" s="741">
        <v>6.2935963617522572E-2</v>
      </c>
      <c r="Z183" s="741">
        <v>6.2935963617522572E-2</v>
      </c>
      <c r="AA183" s="741">
        <v>6.2935963617522572E-2</v>
      </c>
      <c r="AB183" s="741">
        <v>0.18880789085256772</v>
      </c>
      <c r="AC183" s="741">
        <v>0.12524256759886992</v>
      </c>
      <c r="AD183" s="741">
        <v>3.2691341846280503E-2</v>
      </c>
      <c r="AE183" s="741">
        <v>7023255.9717683783</v>
      </c>
      <c r="AF183" s="741">
        <v>214835353.18901137</v>
      </c>
      <c r="AG183" s="798" t="s">
        <v>2021</v>
      </c>
      <c r="AH183" s="798" t="s">
        <v>1959</v>
      </c>
      <c r="AI183" s="798"/>
    </row>
    <row r="184" spans="1:35" ht="18.75" customHeight="1">
      <c r="A184" s="790">
        <v>179</v>
      </c>
      <c r="B184" s="790" t="s">
        <v>39</v>
      </c>
      <c r="C184" s="790" t="s">
        <v>290</v>
      </c>
      <c r="D184" s="790" t="s">
        <v>364</v>
      </c>
      <c r="E184" s="790" t="s">
        <v>91</v>
      </c>
      <c r="F184" s="791" t="s">
        <v>96</v>
      </c>
      <c r="G184" s="791" t="s">
        <v>93</v>
      </c>
      <c r="H184" s="791" t="s">
        <v>30</v>
      </c>
      <c r="I184" s="792" t="s">
        <v>1924</v>
      </c>
      <c r="J184" s="792" t="s">
        <v>96</v>
      </c>
      <c r="K184" s="793" t="s">
        <v>293</v>
      </c>
      <c r="L184" s="790">
        <v>2016</v>
      </c>
      <c r="M184" s="799">
        <v>0.4769468424327129</v>
      </c>
      <c r="N184" s="795">
        <v>1447835.5841930027</v>
      </c>
      <c r="O184" s="795">
        <v>3035633.0210892665</v>
      </c>
      <c r="P184" s="800">
        <v>0.15564670308157966</v>
      </c>
      <c r="Q184" s="800">
        <v>0.29694917736404691</v>
      </c>
      <c r="R184" s="800">
        <v>0.79477612732202296</v>
      </c>
      <c r="S184" s="796">
        <v>0.46665993497270553</v>
      </c>
      <c r="T184" s="796">
        <v>0.46665993497270553</v>
      </c>
      <c r="U184" s="796">
        <v>0.46665993497270553</v>
      </c>
      <c r="V184" s="796">
        <v>1.3999798049181167</v>
      </c>
      <c r="W184" s="796">
        <v>0.92865327059568403</v>
      </c>
      <c r="X184" s="800">
        <v>3.0418270850716668E-2</v>
      </c>
      <c r="Y184" s="741">
        <v>0.46665993497270553</v>
      </c>
      <c r="Z184" s="741">
        <v>0.46665993497270553</v>
      </c>
      <c r="AA184" s="741">
        <v>0.46665993497270553</v>
      </c>
      <c r="AB184" s="741">
        <v>1.3999798049181167</v>
      </c>
      <c r="AC184" s="741">
        <v>0.92865327059568403</v>
      </c>
      <c r="AD184" s="741">
        <v>0.14851998116532975</v>
      </c>
      <c r="AE184" s="741">
        <v>1489166.7276041477</v>
      </c>
      <c r="AF184" s="741">
        <v>10026709.644855358</v>
      </c>
      <c r="AG184" s="798" t="s">
        <v>2021</v>
      </c>
      <c r="AH184" s="798" t="s">
        <v>1959</v>
      </c>
      <c r="AI184" s="798"/>
    </row>
    <row r="185" spans="1:35" ht="18.75" customHeight="1">
      <c r="A185" s="790">
        <v>180</v>
      </c>
      <c r="B185" s="790" t="s">
        <v>39</v>
      </c>
      <c r="C185" s="790" t="s">
        <v>290</v>
      </c>
      <c r="D185" s="790" t="s">
        <v>364</v>
      </c>
      <c r="E185" s="790" t="s">
        <v>91</v>
      </c>
      <c r="F185" s="791" t="s">
        <v>97</v>
      </c>
      <c r="G185" s="791" t="s">
        <v>93</v>
      </c>
      <c r="H185" s="791" t="s">
        <v>30</v>
      </c>
      <c r="I185" s="792" t="s">
        <v>1924</v>
      </c>
      <c r="J185" s="792" t="s">
        <v>97</v>
      </c>
      <c r="K185" s="793" t="s">
        <v>293</v>
      </c>
      <c r="L185" s="790">
        <v>2016</v>
      </c>
      <c r="M185" s="794">
        <v>376.71386639097682</v>
      </c>
      <c r="N185" s="795">
        <v>55875757.343223691</v>
      </c>
      <c r="O185" s="795">
        <v>148324.13226125421</v>
      </c>
      <c r="P185" s="796">
        <v>201.62032026562042</v>
      </c>
      <c r="Q185" s="796">
        <v>176.21722775693706</v>
      </c>
      <c r="R185" s="796">
        <v>423.55486988365419</v>
      </c>
      <c r="S185" s="796">
        <v>409.87968010410589</v>
      </c>
      <c r="T185" s="796">
        <v>409.87968010410589</v>
      </c>
      <c r="U185" s="796">
        <v>409.87968010410589</v>
      </c>
      <c r="V185" s="796">
        <v>1229.6390403123178</v>
      </c>
      <c r="W185" s="796">
        <v>815.66056340717068</v>
      </c>
      <c r="X185" s="796">
        <v>143.83056313145227</v>
      </c>
      <c r="Y185" s="741">
        <v>409.87968010410589</v>
      </c>
      <c r="Z185" s="741">
        <v>409.87968010410589</v>
      </c>
      <c r="AA185" s="741">
        <v>409.87968010410589</v>
      </c>
      <c r="AB185" s="741">
        <v>1229.6390403123178</v>
      </c>
      <c r="AC185" s="741">
        <v>815.66056340717068</v>
      </c>
      <c r="AD185" s="741">
        <v>146.92283993155073</v>
      </c>
      <c r="AE185" s="741">
        <v>9710483.9674869254</v>
      </c>
      <c r="AF185" s="741">
        <v>66092.405864267959</v>
      </c>
      <c r="AG185" s="798" t="s">
        <v>1962</v>
      </c>
      <c r="AH185" s="798" t="s">
        <v>1959</v>
      </c>
      <c r="AI185" s="798"/>
    </row>
    <row r="186" spans="1:35" ht="18.75" customHeight="1">
      <c r="A186" s="790">
        <v>181</v>
      </c>
      <c r="B186" s="790" t="s">
        <v>39</v>
      </c>
      <c r="C186" s="790" t="s">
        <v>290</v>
      </c>
      <c r="D186" s="790" t="s">
        <v>364</v>
      </c>
      <c r="E186" s="790" t="s">
        <v>91</v>
      </c>
      <c r="F186" s="791" t="s">
        <v>98</v>
      </c>
      <c r="G186" s="791" t="s">
        <v>93</v>
      </c>
      <c r="H186" s="791" t="s">
        <v>30</v>
      </c>
      <c r="I186" s="792" t="s">
        <v>1924</v>
      </c>
      <c r="J186" s="792" t="s">
        <v>98</v>
      </c>
      <c r="K186" s="793" t="s">
        <v>293</v>
      </c>
      <c r="L186" s="790">
        <v>2016</v>
      </c>
      <c r="M186" s="799">
        <v>7.6410523483615933E-2</v>
      </c>
      <c r="N186" s="795">
        <v>55875757.343223691</v>
      </c>
      <c r="O186" s="795">
        <v>731257355.6076299</v>
      </c>
      <c r="P186" s="800">
        <v>4.3678510654396312E-2</v>
      </c>
      <c r="Q186" s="800">
        <v>4.2567062848854663E-2</v>
      </c>
      <c r="R186" s="800">
        <v>9.2872518429717235E-2</v>
      </c>
      <c r="S186" s="796">
        <v>8.8061421181050314E-2</v>
      </c>
      <c r="T186" s="796">
        <v>8.8061421181050314E-2</v>
      </c>
      <c r="U186" s="796">
        <v>8.8061421181050314E-2</v>
      </c>
      <c r="V186" s="796">
        <v>0.26418426354315094</v>
      </c>
      <c r="W186" s="796">
        <v>0.17524222815029011</v>
      </c>
      <c r="X186" s="800">
        <v>2.9673324892537812E-2</v>
      </c>
      <c r="Y186" s="741">
        <v>8.8061421181050314E-2</v>
      </c>
      <c r="Z186" s="741">
        <v>8.8061421181050314E-2</v>
      </c>
      <c r="AA186" s="741">
        <v>8.8061421181050314E-2</v>
      </c>
      <c r="AB186" s="741">
        <v>0.26418426354315094</v>
      </c>
      <c r="AC186" s="741">
        <v>0.17524222815029011</v>
      </c>
      <c r="AD186" s="741">
        <v>4.5199655565737719E-2</v>
      </c>
      <c r="AE186" s="741">
        <v>9710483.9674869254</v>
      </c>
      <c r="AF186" s="741">
        <v>214835353.18901137</v>
      </c>
      <c r="AG186" s="798" t="s">
        <v>2022</v>
      </c>
      <c r="AH186" s="798" t="s">
        <v>1959</v>
      </c>
      <c r="AI186" s="798"/>
    </row>
    <row r="187" spans="1:35" ht="18.75" customHeight="1">
      <c r="A187" s="790">
        <v>182</v>
      </c>
      <c r="B187" s="790" t="s">
        <v>39</v>
      </c>
      <c r="C187" s="790" t="s">
        <v>290</v>
      </c>
      <c r="D187" s="790" t="s">
        <v>364</v>
      </c>
      <c r="E187" s="790" t="s">
        <v>91</v>
      </c>
      <c r="F187" s="791" t="s">
        <v>99</v>
      </c>
      <c r="G187" s="791" t="s">
        <v>93</v>
      </c>
      <c r="H187" s="791" t="s">
        <v>30</v>
      </c>
      <c r="I187" s="792" t="s">
        <v>1924</v>
      </c>
      <c r="J187" s="792" t="s">
        <v>99</v>
      </c>
      <c r="K187" s="793" t="s">
        <v>293</v>
      </c>
      <c r="L187" s="790">
        <v>2016</v>
      </c>
      <c r="M187" s="799">
        <v>0.58191654386551739</v>
      </c>
      <c r="N187" s="795">
        <v>1766485.0760763052</v>
      </c>
      <c r="O187" s="795">
        <v>3035633.0210892665</v>
      </c>
      <c r="P187" s="800">
        <v>0.31498117127231839</v>
      </c>
      <c r="Q187" s="800">
        <v>0.41291915635076459</v>
      </c>
      <c r="R187" s="800">
        <v>0.99923114146681258</v>
      </c>
      <c r="S187" s="796">
        <v>0.65296111666289669</v>
      </c>
      <c r="T187" s="796">
        <v>0.65296111666289669</v>
      </c>
      <c r="U187" s="796">
        <v>0.65296111666289669</v>
      </c>
      <c r="V187" s="796">
        <v>1.9588833499886902</v>
      </c>
      <c r="W187" s="796">
        <v>1.2993926221591645</v>
      </c>
      <c r="X187" s="800">
        <v>0.34571219227295985</v>
      </c>
      <c r="Y187" s="741">
        <v>0.65296111666289669</v>
      </c>
      <c r="Z187" s="741">
        <v>0.65296111666289669</v>
      </c>
      <c r="AA187" s="741">
        <v>0.65296111666289669</v>
      </c>
      <c r="AB187" s="741">
        <v>1.9588833499886902</v>
      </c>
      <c r="AC187" s="741">
        <v>1.2993926221591645</v>
      </c>
      <c r="AD187" s="741">
        <v>0.20534648057178306</v>
      </c>
      <c r="AE187" s="741">
        <v>2058949.5372862006</v>
      </c>
      <c r="AF187" s="741">
        <v>10026709.644855358</v>
      </c>
      <c r="AG187" s="798" t="s">
        <v>2023</v>
      </c>
      <c r="AH187" s="798" t="s">
        <v>1959</v>
      </c>
      <c r="AI187" s="798"/>
    </row>
    <row r="188" spans="1:35" ht="18.75" customHeight="1">
      <c r="A188" s="790">
        <v>183</v>
      </c>
      <c r="B188" s="790" t="s">
        <v>39</v>
      </c>
      <c r="C188" s="790" t="s">
        <v>366</v>
      </c>
      <c r="D188" s="790" t="s">
        <v>367</v>
      </c>
      <c r="E188" s="790" t="s">
        <v>368</v>
      </c>
      <c r="F188" s="791" t="s">
        <v>142</v>
      </c>
      <c r="G188" s="791" t="s">
        <v>369</v>
      </c>
      <c r="H188" s="791" t="s">
        <v>164</v>
      </c>
      <c r="I188" s="792" t="s">
        <v>2024</v>
      </c>
      <c r="J188" s="792" t="s">
        <v>371</v>
      </c>
      <c r="K188" s="793" t="s">
        <v>293</v>
      </c>
      <c r="L188" s="802" t="s">
        <v>59</v>
      </c>
      <c r="M188" s="802" t="s">
        <v>59</v>
      </c>
      <c r="N188" s="802" t="s">
        <v>59</v>
      </c>
      <c r="O188" s="802" t="s">
        <v>59</v>
      </c>
      <c r="P188" s="802" t="s">
        <v>59</v>
      </c>
      <c r="Q188" s="802" t="s">
        <v>59</v>
      </c>
      <c r="R188" s="802" t="s">
        <v>59</v>
      </c>
      <c r="S188" s="802" t="s">
        <v>59</v>
      </c>
      <c r="T188" s="802" t="s">
        <v>59</v>
      </c>
      <c r="U188" s="802" t="s">
        <v>59</v>
      </c>
      <c r="V188" s="802" t="s">
        <v>59</v>
      </c>
      <c r="W188" s="802" t="s">
        <v>59</v>
      </c>
      <c r="X188" s="802" t="s">
        <v>59</v>
      </c>
      <c r="Y188" s="741" t="s">
        <v>59</v>
      </c>
      <c r="Z188" s="741" t="s">
        <v>59</v>
      </c>
      <c r="AA188" s="741" t="s">
        <v>59</v>
      </c>
      <c r="AB188" s="741"/>
      <c r="AC188" s="741"/>
      <c r="AD188" s="741">
        <v>0</v>
      </c>
      <c r="AE188" s="741">
        <v>0</v>
      </c>
      <c r="AF188" s="741">
        <v>0</v>
      </c>
      <c r="AG188" s="798" t="s">
        <v>2025</v>
      </c>
      <c r="AH188" s="798"/>
      <c r="AI188" s="798"/>
    </row>
    <row r="189" spans="1:35" ht="18.75" customHeight="1">
      <c r="A189" s="790">
        <v>184</v>
      </c>
      <c r="B189" s="790" t="s">
        <v>39</v>
      </c>
      <c r="C189" s="790" t="s">
        <v>366</v>
      </c>
      <c r="D189" s="790" t="s">
        <v>367</v>
      </c>
      <c r="E189" s="790" t="s">
        <v>373</v>
      </c>
      <c r="F189" s="791" t="s">
        <v>142</v>
      </c>
      <c r="G189" s="791" t="s">
        <v>369</v>
      </c>
      <c r="H189" s="791" t="s">
        <v>164</v>
      </c>
      <c r="I189" s="792" t="s">
        <v>2026</v>
      </c>
      <c r="J189" s="792" t="s">
        <v>375</v>
      </c>
      <c r="K189" s="793" t="s">
        <v>293</v>
      </c>
      <c r="L189" s="802" t="s">
        <v>59</v>
      </c>
      <c r="M189" s="802" t="s">
        <v>59</v>
      </c>
      <c r="N189" s="802" t="s">
        <v>59</v>
      </c>
      <c r="O189" s="802" t="s">
        <v>59</v>
      </c>
      <c r="P189" s="802" t="s">
        <v>59</v>
      </c>
      <c r="Q189" s="802" t="s">
        <v>59</v>
      </c>
      <c r="R189" s="802" t="s">
        <v>59</v>
      </c>
      <c r="S189" s="802" t="s">
        <v>59</v>
      </c>
      <c r="T189" s="802" t="s">
        <v>59</v>
      </c>
      <c r="U189" s="802" t="s">
        <v>59</v>
      </c>
      <c r="V189" s="802" t="s">
        <v>59</v>
      </c>
      <c r="W189" s="802" t="s">
        <v>59</v>
      </c>
      <c r="X189" s="802" t="s">
        <v>59</v>
      </c>
      <c r="Y189" s="741" t="s">
        <v>59</v>
      </c>
      <c r="Z189" s="741" t="s">
        <v>59</v>
      </c>
      <c r="AA189" s="741" t="s">
        <v>59</v>
      </c>
      <c r="AB189" s="741"/>
      <c r="AC189" s="741"/>
      <c r="AD189" s="741">
        <v>0</v>
      </c>
      <c r="AE189" s="741">
        <v>0</v>
      </c>
      <c r="AF189" s="741">
        <v>0</v>
      </c>
      <c r="AG189" s="798" t="s">
        <v>2027</v>
      </c>
      <c r="AH189" s="798"/>
      <c r="AI189" s="798"/>
    </row>
    <row r="190" spans="1:35" ht="18.75" customHeight="1">
      <c r="A190" s="790">
        <v>185</v>
      </c>
      <c r="B190" s="790" t="s">
        <v>39</v>
      </c>
      <c r="C190" s="790" t="s">
        <v>366</v>
      </c>
      <c r="D190" s="790" t="s">
        <v>377</v>
      </c>
      <c r="E190" s="790" t="s">
        <v>378</v>
      </c>
      <c r="F190" s="791" t="s">
        <v>142</v>
      </c>
      <c r="G190" s="791" t="s">
        <v>379</v>
      </c>
      <c r="H190" s="791" t="s">
        <v>164</v>
      </c>
      <c r="I190" s="792" t="s">
        <v>2028</v>
      </c>
      <c r="J190" s="792" t="s">
        <v>381</v>
      </c>
      <c r="K190" s="793" t="s">
        <v>293</v>
      </c>
      <c r="L190" s="802" t="s">
        <v>59</v>
      </c>
      <c r="M190" s="802" t="s">
        <v>59</v>
      </c>
      <c r="N190" s="802" t="s">
        <v>59</v>
      </c>
      <c r="O190" s="802" t="s">
        <v>59</v>
      </c>
      <c r="P190" s="802" t="s">
        <v>59</v>
      </c>
      <c r="Q190" s="802" t="s">
        <v>59</v>
      </c>
      <c r="R190" s="802" t="s">
        <v>59</v>
      </c>
      <c r="S190" s="802" t="s">
        <v>59</v>
      </c>
      <c r="T190" s="802" t="s">
        <v>59</v>
      </c>
      <c r="U190" s="802" t="s">
        <v>59</v>
      </c>
      <c r="V190" s="802" t="s">
        <v>59</v>
      </c>
      <c r="W190" s="802" t="s">
        <v>59</v>
      </c>
      <c r="X190" s="802" t="s">
        <v>59</v>
      </c>
      <c r="Y190" s="741" t="s">
        <v>59</v>
      </c>
      <c r="Z190" s="741" t="s">
        <v>59</v>
      </c>
      <c r="AA190" s="741" t="s">
        <v>59</v>
      </c>
      <c r="AB190" s="741"/>
      <c r="AC190" s="741"/>
      <c r="AD190" s="741">
        <v>0</v>
      </c>
      <c r="AE190" s="741">
        <v>0</v>
      </c>
      <c r="AF190" s="741">
        <v>0</v>
      </c>
      <c r="AG190" s="798" t="s">
        <v>383</v>
      </c>
      <c r="AH190" s="798"/>
      <c r="AI190" s="798"/>
    </row>
    <row r="191" spans="1:35" ht="18.75" customHeight="1">
      <c r="A191" s="790">
        <v>186</v>
      </c>
      <c r="B191" s="790" t="s">
        <v>39</v>
      </c>
      <c r="C191" s="790" t="s">
        <v>366</v>
      </c>
      <c r="D191" s="790" t="s">
        <v>377</v>
      </c>
      <c r="E191" s="790" t="s">
        <v>384</v>
      </c>
      <c r="F191" s="791" t="s">
        <v>142</v>
      </c>
      <c r="G191" s="791" t="s">
        <v>379</v>
      </c>
      <c r="H191" s="791" t="s">
        <v>164</v>
      </c>
      <c r="I191" s="792" t="s">
        <v>2029</v>
      </c>
      <c r="J191" s="792" t="s">
        <v>386</v>
      </c>
      <c r="K191" s="793" t="s">
        <v>293</v>
      </c>
      <c r="L191" s="802" t="s">
        <v>59</v>
      </c>
      <c r="M191" s="802" t="s">
        <v>59</v>
      </c>
      <c r="N191" s="802" t="s">
        <v>59</v>
      </c>
      <c r="O191" s="802" t="s">
        <v>59</v>
      </c>
      <c r="P191" s="802" t="s">
        <v>59</v>
      </c>
      <c r="Q191" s="802" t="s">
        <v>59</v>
      </c>
      <c r="R191" s="802" t="s">
        <v>59</v>
      </c>
      <c r="S191" s="802" t="s">
        <v>59</v>
      </c>
      <c r="T191" s="802" t="s">
        <v>59</v>
      </c>
      <c r="U191" s="802" t="s">
        <v>59</v>
      </c>
      <c r="V191" s="802" t="s">
        <v>59</v>
      </c>
      <c r="W191" s="802" t="s">
        <v>59</v>
      </c>
      <c r="X191" s="802" t="s">
        <v>59</v>
      </c>
      <c r="Y191" s="741" t="s">
        <v>59</v>
      </c>
      <c r="Z191" s="741" t="s">
        <v>59</v>
      </c>
      <c r="AA191" s="741" t="s">
        <v>59</v>
      </c>
      <c r="AB191" s="741"/>
      <c r="AC191" s="741"/>
      <c r="AD191" s="741">
        <v>0</v>
      </c>
      <c r="AE191" s="741">
        <v>0</v>
      </c>
      <c r="AF191" s="741">
        <v>0</v>
      </c>
      <c r="AG191" s="798" t="s">
        <v>383</v>
      </c>
      <c r="AH191" s="798" t="s">
        <v>2030</v>
      </c>
      <c r="AI191" s="798" t="s">
        <v>2194</v>
      </c>
    </row>
    <row r="192" spans="1:35" ht="18.75" customHeight="1">
      <c r="A192" s="790">
        <v>187</v>
      </c>
      <c r="B192" s="790" t="s">
        <v>39</v>
      </c>
      <c r="C192" s="790" t="s">
        <v>366</v>
      </c>
      <c r="D192" s="790" t="s">
        <v>387</v>
      </c>
      <c r="E192" s="790" t="s">
        <v>388</v>
      </c>
      <c r="F192" s="791" t="s">
        <v>142</v>
      </c>
      <c r="G192" s="791" t="s">
        <v>439</v>
      </c>
      <c r="H192" s="791" t="s">
        <v>164</v>
      </c>
      <c r="I192" s="792" t="s">
        <v>2031</v>
      </c>
      <c r="J192" s="792" t="s">
        <v>391</v>
      </c>
      <c r="K192" s="793" t="s">
        <v>293</v>
      </c>
      <c r="L192" s="802" t="s">
        <v>59</v>
      </c>
      <c r="M192" s="802" t="s">
        <v>59</v>
      </c>
      <c r="N192" s="802" t="s">
        <v>59</v>
      </c>
      <c r="O192" s="802" t="s">
        <v>59</v>
      </c>
      <c r="P192" s="802" t="s">
        <v>59</v>
      </c>
      <c r="Q192" s="802" t="s">
        <v>59</v>
      </c>
      <c r="R192" s="802" t="s">
        <v>59</v>
      </c>
      <c r="S192" s="802" t="s">
        <v>59</v>
      </c>
      <c r="T192" s="802" t="s">
        <v>59</v>
      </c>
      <c r="U192" s="802" t="s">
        <v>59</v>
      </c>
      <c r="V192" s="802" t="s">
        <v>59</v>
      </c>
      <c r="W192" s="802" t="s">
        <v>59</v>
      </c>
      <c r="X192" s="802" t="s">
        <v>59</v>
      </c>
      <c r="Y192" s="741" t="s">
        <v>59</v>
      </c>
      <c r="Z192" s="741" t="s">
        <v>59</v>
      </c>
      <c r="AA192" s="741" t="s">
        <v>59</v>
      </c>
      <c r="AB192" s="741"/>
      <c r="AC192" s="741"/>
      <c r="AD192" s="741">
        <v>0</v>
      </c>
      <c r="AE192" s="741">
        <v>0</v>
      </c>
      <c r="AF192" s="741">
        <v>0</v>
      </c>
      <c r="AG192" s="798" t="s">
        <v>2032</v>
      </c>
      <c r="AH192" s="798"/>
      <c r="AI192" s="798"/>
    </row>
    <row r="193" spans="1:35" ht="18.75" customHeight="1">
      <c r="A193" s="790">
        <v>188</v>
      </c>
      <c r="B193" s="790" t="s">
        <v>39</v>
      </c>
      <c r="C193" s="790" t="s">
        <v>366</v>
      </c>
      <c r="D193" s="790" t="s">
        <v>141</v>
      </c>
      <c r="E193" s="790" t="s">
        <v>51</v>
      </c>
      <c r="F193" s="791" t="s">
        <v>52</v>
      </c>
      <c r="G193" s="791" t="s">
        <v>53</v>
      </c>
      <c r="H193" s="791" t="s">
        <v>30</v>
      </c>
      <c r="I193" s="792" t="s">
        <v>2033</v>
      </c>
      <c r="J193" s="792" t="s">
        <v>52</v>
      </c>
      <c r="K193" s="793" t="s">
        <v>394</v>
      </c>
      <c r="L193" s="790">
        <v>2016</v>
      </c>
      <c r="M193" s="794">
        <v>4590.9439276523699</v>
      </c>
      <c r="N193" s="802" t="s">
        <v>59</v>
      </c>
      <c r="O193" s="795" t="s">
        <v>59</v>
      </c>
      <c r="P193" s="796">
        <v>2120.2284962919252</v>
      </c>
      <c r="Q193" s="796">
        <v>4869.3797351635285</v>
      </c>
      <c r="R193" s="796">
        <v>2898.0948820547387</v>
      </c>
      <c r="S193" s="796">
        <v>6596.8139663280799</v>
      </c>
      <c r="T193" s="796">
        <v>6596.8139663280799</v>
      </c>
      <c r="U193" s="796">
        <v>6596.8139663280799</v>
      </c>
      <c r="V193" s="796">
        <v>19790.441898984238</v>
      </c>
      <c r="W193" s="796">
        <v>13796.073524135645</v>
      </c>
      <c r="X193" s="796">
        <v>1897.323159941147</v>
      </c>
      <c r="Y193" s="741">
        <v>6596.8139663280799</v>
      </c>
      <c r="Z193" s="741">
        <v>6596.8139663280799</v>
      </c>
      <c r="AA193" s="741">
        <v>6596.8139663280799</v>
      </c>
      <c r="AB193" s="741">
        <v>19790.441898984238</v>
      </c>
      <c r="AC193" s="741">
        <v>13796.073524135645</v>
      </c>
      <c r="AD193" s="741">
        <v>0</v>
      </c>
      <c r="AE193" s="741" t="s">
        <v>59</v>
      </c>
      <c r="AF193" s="741" t="s">
        <v>59</v>
      </c>
      <c r="AG193" s="798" t="s">
        <v>1997</v>
      </c>
      <c r="AH193" s="798" t="s">
        <v>49</v>
      </c>
      <c r="AI193" s="798" t="s">
        <v>2179</v>
      </c>
    </row>
    <row r="194" spans="1:35" ht="18.75" customHeight="1">
      <c r="A194" s="790">
        <v>189</v>
      </c>
      <c r="B194" s="790" t="s">
        <v>39</v>
      </c>
      <c r="C194" s="790" t="s">
        <v>366</v>
      </c>
      <c r="D194" s="790" t="s">
        <v>141</v>
      </c>
      <c r="E194" s="790" t="s">
        <v>51</v>
      </c>
      <c r="F194" s="791" t="s">
        <v>55</v>
      </c>
      <c r="G194" s="791" t="s">
        <v>53</v>
      </c>
      <c r="H194" s="791" t="s">
        <v>30</v>
      </c>
      <c r="I194" s="792" t="s">
        <v>2033</v>
      </c>
      <c r="J194" s="792" t="s">
        <v>55</v>
      </c>
      <c r="K194" s="793" t="s">
        <v>394</v>
      </c>
      <c r="L194" s="790">
        <v>2016</v>
      </c>
      <c r="M194" s="794">
        <v>3554.7299791819801</v>
      </c>
      <c r="N194" s="802" t="s">
        <v>59</v>
      </c>
      <c r="O194" s="795" t="s">
        <v>59</v>
      </c>
      <c r="P194" s="796">
        <v>1561.293975827205</v>
      </c>
      <c r="Q194" s="796">
        <v>3771.8348593808496</v>
      </c>
      <c r="R194" s="796">
        <v>2497.9844953547299</v>
      </c>
      <c r="S194" s="796">
        <v>4195.9683923210259</v>
      </c>
      <c r="T194" s="796">
        <v>4195.9683923210259</v>
      </c>
      <c r="U194" s="796">
        <v>4195.9683923210259</v>
      </c>
      <c r="V194" s="796">
        <v>12587.905176963079</v>
      </c>
      <c r="W194" s="796">
        <v>8795.8871184624513</v>
      </c>
      <c r="X194" s="796">
        <v>1409.4834003058486</v>
      </c>
      <c r="Y194" s="741">
        <v>4195.9683923210259</v>
      </c>
      <c r="Z194" s="741">
        <v>4195.9683923210259</v>
      </c>
      <c r="AA194" s="741">
        <v>4195.9683923210259</v>
      </c>
      <c r="AB194" s="741">
        <v>12587.905176963079</v>
      </c>
      <c r="AC194" s="741">
        <v>8795.8871184624513</v>
      </c>
      <c r="AD194" s="741">
        <v>0</v>
      </c>
      <c r="AE194" s="741" t="s">
        <v>59</v>
      </c>
      <c r="AF194" s="741" t="s">
        <v>59</v>
      </c>
      <c r="AG194" s="798" t="s">
        <v>1997</v>
      </c>
      <c r="AH194" s="798" t="s">
        <v>49</v>
      </c>
      <c r="AI194" s="798" t="s">
        <v>2179</v>
      </c>
    </row>
    <row r="195" spans="1:35" ht="18.75" customHeight="1">
      <c r="A195" s="790">
        <v>190</v>
      </c>
      <c r="B195" s="790" t="s">
        <v>39</v>
      </c>
      <c r="C195" s="790" t="s">
        <v>366</v>
      </c>
      <c r="D195" s="790" t="s">
        <v>141</v>
      </c>
      <c r="E195" s="790" t="s">
        <v>51</v>
      </c>
      <c r="F195" s="791" t="s">
        <v>56</v>
      </c>
      <c r="G195" s="791" t="s">
        <v>53</v>
      </c>
      <c r="H195" s="791" t="s">
        <v>30</v>
      </c>
      <c r="I195" s="792" t="s">
        <v>2033</v>
      </c>
      <c r="J195" s="792" t="s">
        <v>56</v>
      </c>
      <c r="K195" s="793" t="s">
        <v>394</v>
      </c>
      <c r="L195" s="790">
        <v>2016</v>
      </c>
      <c r="M195" s="794">
        <v>17529533.075263601</v>
      </c>
      <c r="N195" s="802" t="s">
        <v>59</v>
      </c>
      <c r="O195" s="795" t="s">
        <v>59</v>
      </c>
      <c r="P195" s="796">
        <v>11829233.779383814</v>
      </c>
      <c r="Q195" s="796">
        <v>25281292.089263417</v>
      </c>
      <c r="R195" s="796">
        <v>12199569.293464012</v>
      </c>
      <c r="S195" s="796">
        <v>31019093.225557778</v>
      </c>
      <c r="T195" s="796">
        <v>31019093.225557778</v>
      </c>
      <c r="U195" s="796">
        <v>31019093.225557778</v>
      </c>
      <c r="V195" s="796">
        <v>93057279.676673338</v>
      </c>
      <c r="W195" s="796">
        <v>64105751.404088937</v>
      </c>
      <c r="X195" s="796">
        <v>14438508.915031388</v>
      </c>
      <c r="Y195" s="741">
        <v>31019093.225557778</v>
      </c>
      <c r="Z195" s="741">
        <v>31019093.225557778</v>
      </c>
      <c r="AA195" s="741">
        <v>31019093.225557778</v>
      </c>
      <c r="AB195" s="741">
        <v>93057279.676673338</v>
      </c>
      <c r="AC195" s="741">
        <v>64105751.404088937</v>
      </c>
      <c r="AD195" s="741">
        <v>0</v>
      </c>
      <c r="AE195" s="741" t="s">
        <v>59</v>
      </c>
      <c r="AF195" s="741" t="s">
        <v>59</v>
      </c>
      <c r="AG195" s="798" t="s">
        <v>1997</v>
      </c>
      <c r="AH195" s="798" t="s">
        <v>49</v>
      </c>
      <c r="AI195" s="798" t="s">
        <v>2179</v>
      </c>
    </row>
    <row r="196" spans="1:35" ht="18.75" customHeight="1">
      <c r="A196" s="790">
        <v>191</v>
      </c>
      <c r="B196" s="790" t="s">
        <v>39</v>
      </c>
      <c r="C196" s="790" t="s">
        <v>366</v>
      </c>
      <c r="D196" s="790" t="s">
        <v>141</v>
      </c>
      <c r="E196" s="790" t="s">
        <v>51</v>
      </c>
      <c r="F196" s="791" t="s">
        <v>57</v>
      </c>
      <c r="G196" s="791" t="s">
        <v>53</v>
      </c>
      <c r="H196" s="791" t="s">
        <v>30</v>
      </c>
      <c r="I196" s="792" t="s">
        <v>2033</v>
      </c>
      <c r="J196" s="792" t="s">
        <v>57</v>
      </c>
      <c r="K196" s="793" t="s">
        <v>394</v>
      </c>
      <c r="L196" s="790">
        <v>2016</v>
      </c>
      <c r="M196" s="794">
        <v>12908801.461421</v>
      </c>
      <c r="N196" s="802" t="s">
        <v>59</v>
      </c>
      <c r="O196" s="795" t="s">
        <v>59</v>
      </c>
      <c r="P196" s="796">
        <v>8187370.7973197354</v>
      </c>
      <c r="Q196" s="796">
        <v>19629014.223912973</v>
      </c>
      <c r="R196" s="796">
        <v>10464686.287194207</v>
      </c>
      <c r="S196" s="796">
        <v>19185065.396241453</v>
      </c>
      <c r="T196" s="796">
        <v>19185065.396241453</v>
      </c>
      <c r="U196" s="796">
        <v>19185065.396241453</v>
      </c>
      <c r="V196" s="796">
        <v>57555196.188724354</v>
      </c>
      <c r="W196" s="796">
        <v>39673357.086656652</v>
      </c>
      <c r="X196" s="796">
        <v>10977955.680839896</v>
      </c>
      <c r="Y196" s="741">
        <v>19185065.396241453</v>
      </c>
      <c r="Z196" s="741">
        <v>19185065.396241453</v>
      </c>
      <c r="AA196" s="741">
        <v>19185065.396241453</v>
      </c>
      <c r="AB196" s="741">
        <v>57555196.188724354</v>
      </c>
      <c r="AC196" s="741">
        <v>39673357.086656652</v>
      </c>
      <c r="AD196" s="741">
        <v>0</v>
      </c>
      <c r="AE196" s="741" t="s">
        <v>59</v>
      </c>
      <c r="AF196" s="741" t="s">
        <v>59</v>
      </c>
      <c r="AG196" s="798" t="s">
        <v>1997</v>
      </c>
      <c r="AH196" s="798" t="s">
        <v>49</v>
      </c>
      <c r="AI196" s="798" t="s">
        <v>2179</v>
      </c>
    </row>
    <row r="197" spans="1:35" ht="18.75" customHeight="1">
      <c r="A197" s="790">
        <v>192</v>
      </c>
      <c r="B197" s="790" t="s">
        <v>39</v>
      </c>
      <c r="C197" s="790" t="s">
        <v>366</v>
      </c>
      <c r="D197" s="790" t="s">
        <v>141</v>
      </c>
      <c r="E197" s="790" t="s">
        <v>51</v>
      </c>
      <c r="F197" s="791" t="s">
        <v>58</v>
      </c>
      <c r="G197" s="791" t="s">
        <v>53</v>
      </c>
      <c r="H197" s="791" t="s">
        <v>30</v>
      </c>
      <c r="I197" s="792" t="s">
        <v>2033</v>
      </c>
      <c r="J197" s="792" t="s">
        <v>58</v>
      </c>
      <c r="K197" s="793" t="s">
        <v>394</v>
      </c>
      <c r="L197" s="790">
        <v>2016</v>
      </c>
      <c r="M197" s="794">
        <v>658150.57731771597</v>
      </c>
      <c r="N197" s="802" t="s">
        <v>59</v>
      </c>
      <c r="O197" s="795" t="s">
        <v>59</v>
      </c>
      <c r="P197" s="796">
        <v>717123.36628211441</v>
      </c>
      <c r="Q197" s="796">
        <v>165007.97731415418</v>
      </c>
      <c r="R197" s="796">
        <v>29882.156361386344</v>
      </c>
      <c r="S197" s="796">
        <v>351100.64679401362</v>
      </c>
      <c r="T197" s="796">
        <v>351100.64679401362</v>
      </c>
      <c r="U197" s="796">
        <v>351100.64679401362</v>
      </c>
      <c r="V197" s="796">
        <v>1053301.9403820408</v>
      </c>
      <c r="W197" s="796">
        <v>759137.9470984065</v>
      </c>
      <c r="X197" s="796">
        <v>190743.77595599869</v>
      </c>
      <c r="Y197" s="741">
        <v>351100.64679401362</v>
      </c>
      <c r="Z197" s="741">
        <v>351100.64679401362</v>
      </c>
      <c r="AA197" s="741">
        <v>351100.64679401362</v>
      </c>
      <c r="AB197" s="741">
        <v>1053301.9403820408</v>
      </c>
      <c r="AC197" s="741">
        <v>759137.9470984065</v>
      </c>
      <c r="AD197" s="741">
        <v>0</v>
      </c>
      <c r="AE197" s="741" t="s">
        <v>59</v>
      </c>
      <c r="AF197" s="741" t="s">
        <v>59</v>
      </c>
      <c r="AG197" s="798" t="s">
        <v>1997</v>
      </c>
      <c r="AH197" s="798" t="s">
        <v>49</v>
      </c>
      <c r="AI197" s="798" t="s">
        <v>2179</v>
      </c>
    </row>
    <row r="198" spans="1:35" ht="18.75" customHeight="1">
      <c r="A198" s="790">
        <v>193</v>
      </c>
      <c r="B198" s="790" t="s">
        <v>39</v>
      </c>
      <c r="C198" s="790" t="s">
        <v>366</v>
      </c>
      <c r="D198" s="790" t="s">
        <v>141</v>
      </c>
      <c r="E198" s="790" t="s">
        <v>51</v>
      </c>
      <c r="F198" s="791" t="s">
        <v>60</v>
      </c>
      <c r="G198" s="791" t="s">
        <v>53</v>
      </c>
      <c r="H198" s="791" t="s">
        <v>30</v>
      </c>
      <c r="I198" s="792" t="s">
        <v>2033</v>
      </c>
      <c r="J198" s="792" t="s">
        <v>60</v>
      </c>
      <c r="K198" s="793" t="s">
        <v>394</v>
      </c>
      <c r="L198" s="790">
        <v>2016</v>
      </c>
      <c r="M198" s="794">
        <v>395429.50560636498</v>
      </c>
      <c r="N198" s="802" t="s">
        <v>59</v>
      </c>
      <c r="O198" s="795" t="s">
        <v>59</v>
      </c>
      <c r="P198" s="796">
        <v>428364.72049244336</v>
      </c>
      <c r="Q198" s="796">
        <v>99632.881440777332</v>
      </c>
      <c r="R198" s="796">
        <v>17095.51933578297</v>
      </c>
      <c r="S198" s="796">
        <v>191680.22379405162</v>
      </c>
      <c r="T198" s="796">
        <v>191680.22379405162</v>
      </c>
      <c r="U198" s="796">
        <v>191680.22379405162</v>
      </c>
      <c r="V198" s="796">
        <v>575040.6713821548</v>
      </c>
      <c r="W198" s="796">
        <v>406567.01037731807</v>
      </c>
      <c r="X198" s="796">
        <v>166308.49588132161</v>
      </c>
      <c r="Y198" s="741">
        <v>191680.22379405162</v>
      </c>
      <c r="Z198" s="741">
        <v>191680.22379405162</v>
      </c>
      <c r="AA198" s="741">
        <v>191680.22379405162</v>
      </c>
      <c r="AB198" s="741">
        <v>575040.6713821548</v>
      </c>
      <c r="AC198" s="741">
        <v>406567.01037731807</v>
      </c>
      <c r="AD198" s="741">
        <v>0</v>
      </c>
      <c r="AE198" s="741" t="s">
        <v>59</v>
      </c>
      <c r="AF198" s="741" t="s">
        <v>59</v>
      </c>
      <c r="AG198" s="798" t="s">
        <v>1997</v>
      </c>
      <c r="AH198" s="798" t="s">
        <v>49</v>
      </c>
      <c r="AI198" s="798" t="s">
        <v>2179</v>
      </c>
    </row>
    <row r="199" spans="1:35" ht="18.75" customHeight="1">
      <c r="A199" s="790">
        <v>194</v>
      </c>
      <c r="B199" s="790" t="s">
        <v>39</v>
      </c>
      <c r="C199" s="790" t="s">
        <v>366</v>
      </c>
      <c r="D199" s="790" t="s">
        <v>141</v>
      </c>
      <c r="E199" s="790" t="s">
        <v>51</v>
      </c>
      <c r="F199" s="791" t="s">
        <v>61</v>
      </c>
      <c r="G199" s="791" t="s">
        <v>53</v>
      </c>
      <c r="H199" s="791" t="s">
        <v>30</v>
      </c>
      <c r="I199" s="792" t="s">
        <v>2033</v>
      </c>
      <c r="J199" s="792" t="s">
        <v>61</v>
      </c>
      <c r="K199" s="793" t="s">
        <v>394</v>
      </c>
      <c r="L199" s="790">
        <v>2016</v>
      </c>
      <c r="M199" s="794">
        <v>55180.001106433003</v>
      </c>
      <c r="N199" s="802" t="s">
        <v>59</v>
      </c>
      <c r="O199" s="795" t="s">
        <v>59</v>
      </c>
      <c r="P199" s="796">
        <v>18670.744517401385</v>
      </c>
      <c r="Q199" s="796">
        <v>44541.967750757394</v>
      </c>
      <c r="R199" s="796">
        <v>23630.438480622244</v>
      </c>
      <c r="S199" s="796">
        <v>72231.748057820674</v>
      </c>
      <c r="T199" s="796">
        <v>72231.748057820674</v>
      </c>
      <c r="U199" s="796">
        <v>72231.748057820674</v>
      </c>
      <c r="V199" s="796">
        <v>216695.24417346204</v>
      </c>
      <c r="W199" s="796">
        <v>151059.96804957898</v>
      </c>
      <c r="X199" s="796">
        <v>17778.648464718222</v>
      </c>
      <c r="Y199" s="741">
        <v>72231.748057820674</v>
      </c>
      <c r="Z199" s="741">
        <v>72231.748057820674</v>
      </c>
      <c r="AA199" s="741">
        <v>72231.748057820674</v>
      </c>
      <c r="AB199" s="741">
        <v>216695.24417346204</v>
      </c>
      <c r="AC199" s="741">
        <v>151059.96804957898</v>
      </c>
      <c r="AD199" s="741">
        <v>0</v>
      </c>
      <c r="AE199" s="741" t="s">
        <v>59</v>
      </c>
      <c r="AF199" s="741" t="s">
        <v>59</v>
      </c>
      <c r="AG199" s="798" t="s">
        <v>1997</v>
      </c>
      <c r="AH199" s="798" t="s">
        <v>49</v>
      </c>
      <c r="AI199" s="798" t="s">
        <v>2179</v>
      </c>
    </row>
    <row r="200" spans="1:35" ht="18.75" customHeight="1">
      <c r="A200" s="790">
        <v>195</v>
      </c>
      <c r="B200" s="790" t="s">
        <v>39</v>
      </c>
      <c r="C200" s="790" t="s">
        <v>366</v>
      </c>
      <c r="D200" s="790" t="s">
        <v>141</v>
      </c>
      <c r="E200" s="790" t="s">
        <v>51</v>
      </c>
      <c r="F200" s="791" t="s">
        <v>62</v>
      </c>
      <c r="G200" s="791" t="s">
        <v>53</v>
      </c>
      <c r="H200" s="791" t="s">
        <v>30</v>
      </c>
      <c r="I200" s="792" t="s">
        <v>2033</v>
      </c>
      <c r="J200" s="792" t="s">
        <v>62</v>
      </c>
      <c r="K200" s="793" t="s">
        <v>394</v>
      </c>
      <c r="L200" s="790">
        <v>2016</v>
      </c>
      <c r="M200" s="794">
        <v>41747.003227813402</v>
      </c>
      <c r="N200" s="802" t="s">
        <v>59</v>
      </c>
      <c r="O200" s="795" t="s">
        <v>59</v>
      </c>
      <c r="P200" s="796">
        <v>13285.931537879211</v>
      </c>
      <c r="Q200" s="796">
        <v>34211.996240279623</v>
      </c>
      <c r="R200" s="796">
        <v>20075.722901657369</v>
      </c>
      <c r="S200" s="796">
        <v>45609.493295679466</v>
      </c>
      <c r="T200" s="796">
        <v>45609.493295679466</v>
      </c>
      <c r="U200" s="796">
        <v>45609.493295679466</v>
      </c>
      <c r="V200" s="796">
        <v>136828.47988703841</v>
      </c>
      <c r="W200" s="796">
        <v>95609.860954446704</v>
      </c>
      <c r="X200" s="796">
        <v>12459.039077470705</v>
      </c>
      <c r="Y200" s="741">
        <v>45609.493295679466</v>
      </c>
      <c r="Z200" s="741">
        <v>45609.493295679466</v>
      </c>
      <c r="AA200" s="741">
        <v>45609.493295679466</v>
      </c>
      <c r="AB200" s="741">
        <v>136828.47988703841</v>
      </c>
      <c r="AC200" s="741">
        <v>95609.860954446704</v>
      </c>
      <c r="AD200" s="741">
        <v>0</v>
      </c>
      <c r="AE200" s="741" t="s">
        <v>59</v>
      </c>
      <c r="AF200" s="741" t="s">
        <v>59</v>
      </c>
      <c r="AG200" s="798" t="s">
        <v>1997</v>
      </c>
      <c r="AH200" s="798" t="s">
        <v>49</v>
      </c>
      <c r="AI200" s="798" t="s">
        <v>2179</v>
      </c>
    </row>
    <row r="201" spans="1:35" ht="18.75" customHeight="1">
      <c r="A201" s="790">
        <v>196</v>
      </c>
      <c r="B201" s="790" t="s">
        <v>39</v>
      </c>
      <c r="C201" s="790" t="s">
        <v>366</v>
      </c>
      <c r="D201" s="790" t="s">
        <v>141</v>
      </c>
      <c r="E201" s="790" t="s">
        <v>51</v>
      </c>
      <c r="F201" s="791" t="s">
        <v>63</v>
      </c>
      <c r="G201" s="791" t="s">
        <v>53</v>
      </c>
      <c r="H201" s="791" t="s">
        <v>30</v>
      </c>
      <c r="I201" s="792" t="s">
        <v>2033</v>
      </c>
      <c r="J201" s="792" t="s">
        <v>63</v>
      </c>
      <c r="K201" s="793" t="s">
        <v>394</v>
      </c>
      <c r="L201" s="790">
        <v>2016</v>
      </c>
      <c r="M201" s="794">
        <v>215162157.76574799</v>
      </c>
      <c r="N201" s="802" t="s">
        <v>59</v>
      </c>
      <c r="O201" s="795" t="s">
        <v>59</v>
      </c>
      <c r="P201" s="796">
        <v>102078374.17575823</v>
      </c>
      <c r="Q201" s="796">
        <v>264032344.80648011</v>
      </c>
      <c r="R201" s="796">
        <v>102671892.85767052</v>
      </c>
      <c r="S201" s="796">
        <v>339188596.29518348</v>
      </c>
      <c r="T201" s="796">
        <v>339188596.29518348</v>
      </c>
      <c r="U201" s="796">
        <v>339188596.29518348</v>
      </c>
      <c r="V201" s="796">
        <v>1017565788.8855505</v>
      </c>
      <c r="W201" s="796">
        <v>700985669.53869808</v>
      </c>
      <c r="X201" s="796">
        <v>121695934.54045625</v>
      </c>
      <c r="Y201" s="741">
        <v>339188596.29518348</v>
      </c>
      <c r="Z201" s="741">
        <v>339188596.29518348</v>
      </c>
      <c r="AA201" s="741">
        <v>339188596.29518348</v>
      </c>
      <c r="AB201" s="741">
        <v>1017565788.8855505</v>
      </c>
      <c r="AC201" s="741">
        <v>700985669.53869808</v>
      </c>
      <c r="AD201" s="741">
        <v>0</v>
      </c>
      <c r="AE201" s="741" t="s">
        <v>59</v>
      </c>
      <c r="AF201" s="741" t="s">
        <v>59</v>
      </c>
      <c r="AG201" s="798" t="s">
        <v>1997</v>
      </c>
      <c r="AH201" s="798" t="s">
        <v>49</v>
      </c>
      <c r="AI201" s="798" t="s">
        <v>2179</v>
      </c>
    </row>
    <row r="202" spans="1:35" ht="18.75" customHeight="1">
      <c r="A202" s="790">
        <v>197</v>
      </c>
      <c r="B202" s="790" t="s">
        <v>39</v>
      </c>
      <c r="C202" s="790" t="s">
        <v>366</v>
      </c>
      <c r="D202" s="790" t="s">
        <v>141</v>
      </c>
      <c r="E202" s="790" t="s">
        <v>51</v>
      </c>
      <c r="F202" s="791" t="s">
        <v>64</v>
      </c>
      <c r="G202" s="791" t="s">
        <v>53</v>
      </c>
      <c r="H202" s="791" t="s">
        <v>30</v>
      </c>
      <c r="I202" s="792" t="s">
        <v>2033</v>
      </c>
      <c r="J202" s="792" t="s">
        <v>64</v>
      </c>
      <c r="K202" s="793" t="s">
        <v>394</v>
      </c>
      <c r="L202" s="790">
        <v>2016</v>
      </c>
      <c r="M202" s="794">
        <v>155638967.50607699</v>
      </c>
      <c r="N202" s="802" t="s">
        <v>59</v>
      </c>
      <c r="O202" s="795" t="s">
        <v>59</v>
      </c>
      <c r="P202" s="796">
        <v>70335418.773030251</v>
      </c>
      <c r="Q202" s="796">
        <v>203184949.41917124</v>
      </c>
      <c r="R202" s="796">
        <v>85450449.032280743</v>
      </c>
      <c r="S202" s="796">
        <v>209069831.50117296</v>
      </c>
      <c r="T202" s="796">
        <v>209069831.50117296</v>
      </c>
      <c r="U202" s="796">
        <v>209069831.50117296</v>
      </c>
      <c r="V202" s="796">
        <v>627209494.50351882</v>
      </c>
      <c r="W202" s="796">
        <v>432341611.03345257</v>
      </c>
      <c r="X202" s="796">
        <v>85131325.578947797</v>
      </c>
      <c r="Y202" s="741">
        <v>209069831.50117296</v>
      </c>
      <c r="Z202" s="741">
        <v>209069831.50117296</v>
      </c>
      <c r="AA202" s="741">
        <v>209069831.50117296</v>
      </c>
      <c r="AB202" s="741">
        <v>627209494.50351882</v>
      </c>
      <c r="AC202" s="741">
        <v>432341611.03345257</v>
      </c>
      <c r="AD202" s="741">
        <v>0</v>
      </c>
      <c r="AE202" s="741" t="s">
        <v>59</v>
      </c>
      <c r="AF202" s="741" t="s">
        <v>59</v>
      </c>
      <c r="AG202" s="798" t="s">
        <v>1997</v>
      </c>
      <c r="AH202" s="798" t="s">
        <v>49</v>
      </c>
      <c r="AI202" s="798" t="s">
        <v>2179</v>
      </c>
    </row>
    <row r="203" spans="1:35" ht="18.75" customHeight="1">
      <c r="A203" s="790">
        <v>198</v>
      </c>
      <c r="B203" s="790" t="s">
        <v>39</v>
      </c>
      <c r="C203" s="790" t="s">
        <v>366</v>
      </c>
      <c r="D203" s="790" t="s">
        <v>141</v>
      </c>
      <c r="E203" s="790" t="s">
        <v>51</v>
      </c>
      <c r="F203" s="791" t="s">
        <v>65</v>
      </c>
      <c r="G203" s="791" t="s">
        <v>53</v>
      </c>
      <c r="H203" s="791" t="s">
        <v>30</v>
      </c>
      <c r="I203" s="792" t="s">
        <v>2033</v>
      </c>
      <c r="J203" s="792" t="s">
        <v>65</v>
      </c>
      <c r="K203" s="793" t="s">
        <v>394</v>
      </c>
      <c r="L203" s="790">
        <v>2016</v>
      </c>
      <c r="M203" s="794">
        <v>9847643.0532631408</v>
      </c>
      <c r="N203" s="802" t="s">
        <v>59</v>
      </c>
      <c r="O203" s="795" t="s">
        <v>59</v>
      </c>
      <c r="P203" s="796">
        <v>7906120.7257685047</v>
      </c>
      <c r="Q203" s="796">
        <v>1457968.9561695815</v>
      </c>
      <c r="R203" s="796">
        <v>480219.7888017107</v>
      </c>
      <c r="S203" s="796">
        <v>3995986.8255473995</v>
      </c>
      <c r="T203" s="796">
        <v>3995986.8255473995</v>
      </c>
      <c r="U203" s="796">
        <v>3995986.8255473995</v>
      </c>
      <c r="V203" s="796">
        <v>11987960.476642199</v>
      </c>
      <c r="W203" s="796">
        <v>8639987.6020679921</v>
      </c>
      <c r="X203" s="796">
        <v>1363967.5102556366</v>
      </c>
      <c r="Y203" s="741">
        <v>3995986.8255473995</v>
      </c>
      <c r="Z203" s="741">
        <v>3995986.8255473995</v>
      </c>
      <c r="AA203" s="741">
        <v>3995986.8255473995</v>
      </c>
      <c r="AB203" s="741">
        <v>11987960.476642199</v>
      </c>
      <c r="AC203" s="741">
        <v>8639987.6020679921</v>
      </c>
      <c r="AD203" s="741">
        <v>0</v>
      </c>
      <c r="AE203" s="741" t="s">
        <v>59</v>
      </c>
      <c r="AF203" s="741" t="s">
        <v>59</v>
      </c>
      <c r="AG203" s="798" t="s">
        <v>1997</v>
      </c>
      <c r="AH203" s="798" t="s">
        <v>49</v>
      </c>
      <c r="AI203" s="798" t="s">
        <v>2179</v>
      </c>
    </row>
    <row r="204" spans="1:35" ht="18.75" customHeight="1">
      <c r="A204" s="790">
        <v>199</v>
      </c>
      <c r="B204" s="790" t="s">
        <v>39</v>
      </c>
      <c r="C204" s="790" t="s">
        <v>366</v>
      </c>
      <c r="D204" s="790" t="s">
        <v>141</v>
      </c>
      <c r="E204" s="790" t="s">
        <v>51</v>
      </c>
      <c r="F204" s="791" t="s">
        <v>66</v>
      </c>
      <c r="G204" s="791" t="s">
        <v>53</v>
      </c>
      <c r="H204" s="791" t="s">
        <v>30</v>
      </c>
      <c r="I204" s="792" t="s">
        <v>2033</v>
      </c>
      <c r="J204" s="792" t="s">
        <v>66</v>
      </c>
      <c r="K204" s="793" t="s">
        <v>394</v>
      </c>
      <c r="L204" s="790">
        <v>2016</v>
      </c>
      <c r="M204" s="794">
        <v>6000837.5956774</v>
      </c>
      <c r="N204" s="802" t="s">
        <v>59</v>
      </c>
      <c r="O204" s="795" t="s">
        <v>59</v>
      </c>
      <c r="P204" s="796">
        <v>4701231.2561380565</v>
      </c>
      <c r="Q204" s="796">
        <v>908171.25417388184</v>
      </c>
      <c r="R204" s="796">
        <v>210730.83388234445</v>
      </c>
      <c r="S204" s="796">
        <v>2183522.4687020159</v>
      </c>
      <c r="T204" s="796">
        <v>2183522.4687020159</v>
      </c>
      <c r="U204" s="796">
        <v>2183522.4687020159</v>
      </c>
      <c r="V204" s="796">
        <v>6550567.4061060473</v>
      </c>
      <c r="W204" s="796">
        <v>4631402.1583452942</v>
      </c>
      <c r="X204" s="796">
        <v>985426.07679589977</v>
      </c>
      <c r="Y204" s="741">
        <v>2183522.4687020159</v>
      </c>
      <c r="Z204" s="741">
        <v>2183522.4687020159</v>
      </c>
      <c r="AA204" s="741">
        <v>2183522.4687020159</v>
      </c>
      <c r="AB204" s="741">
        <v>6550567.4061060473</v>
      </c>
      <c r="AC204" s="741">
        <v>4631402.1583452942</v>
      </c>
      <c r="AD204" s="741">
        <v>0</v>
      </c>
      <c r="AE204" s="741" t="s">
        <v>59</v>
      </c>
      <c r="AF204" s="741" t="s">
        <v>59</v>
      </c>
      <c r="AG204" s="798" t="s">
        <v>1997</v>
      </c>
      <c r="AH204" s="798" t="s">
        <v>49</v>
      </c>
      <c r="AI204" s="798" t="s">
        <v>2179</v>
      </c>
    </row>
    <row r="205" spans="1:35" ht="18.75" customHeight="1">
      <c r="A205" s="790">
        <v>200</v>
      </c>
      <c r="B205" s="790" t="s">
        <v>39</v>
      </c>
      <c r="C205" s="790" t="s">
        <v>366</v>
      </c>
      <c r="D205" s="790" t="s">
        <v>252</v>
      </c>
      <c r="E205" s="790" t="s">
        <v>42</v>
      </c>
      <c r="F205" s="791" t="s">
        <v>43</v>
      </c>
      <c r="G205" s="791" t="s">
        <v>44</v>
      </c>
      <c r="H205" s="791" t="s">
        <v>30</v>
      </c>
      <c r="I205" s="792" t="s">
        <v>2034</v>
      </c>
      <c r="J205" s="792" t="s">
        <v>46</v>
      </c>
      <c r="K205" s="793" t="s">
        <v>394</v>
      </c>
      <c r="L205" s="790">
        <v>2016</v>
      </c>
      <c r="M205" s="794">
        <v>11222.29901293838</v>
      </c>
      <c r="N205" s="802" t="s">
        <v>59</v>
      </c>
      <c r="O205" s="795" t="s">
        <v>59</v>
      </c>
      <c r="P205" s="796">
        <v>8058.8041723150018</v>
      </c>
      <c r="Q205" s="796">
        <v>14405.767327942591</v>
      </c>
      <c r="R205" s="796">
        <v>7489.1394575259537</v>
      </c>
      <c r="S205" s="796">
        <v>9436.5060046885974</v>
      </c>
      <c r="T205" s="796">
        <v>9436.5060046885974</v>
      </c>
      <c r="U205" s="796">
        <v>9436.5060046885974</v>
      </c>
      <c r="V205" s="796">
        <v>28309.51801406579</v>
      </c>
      <c r="W205" s="796">
        <v>19501.998451757834</v>
      </c>
      <c r="X205" s="796">
        <v>8642.8496945248098</v>
      </c>
      <c r="Y205" s="741">
        <v>9436.5060046885974</v>
      </c>
      <c r="Z205" s="741">
        <v>9436.5060046885974</v>
      </c>
      <c r="AA205" s="741">
        <v>9436.5060046885974</v>
      </c>
      <c r="AB205" s="741">
        <v>28309.51801406579</v>
      </c>
      <c r="AC205" s="741">
        <v>19501.998451757834</v>
      </c>
      <c r="AD205" s="741">
        <v>0</v>
      </c>
      <c r="AE205" s="741" t="s">
        <v>59</v>
      </c>
      <c r="AF205" s="741" t="s">
        <v>59</v>
      </c>
      <c r="AG205" s="798" t="s">
        <v>1999</v>
      </c>
      <c r="AH205" s="798" t="s">
        <v>2035</v>
      </c>
      <c r="AI205" s="798"/>
    </row>
    <row r="206" spans="1:35" ht="18.75" customHeight="1">
      <c r="A206" s="790">
        <v>201</v>
      </c>
      <c r="B206" s="790" t="s">
        <v>39</v>
      </c>
      <c r="C206" s="790" t="s">
        <v>366</v>
      </c>
      <c r="D206" s="790" t="s">
        <v>397</v>
      </c>
      <c r="E206" s="790" t="s">
        <v>398</v>
      </c>
      <c r="F206" s="791" t="s">
        <v>399</v>
      </c>
      <c r="G206" s="791" t="s">
        <v>219</v>
      </c>
      <c r="H206" s="791" t="s">
        <v>164</v>
      </c>
      <c r="I206" s="792" t="s">
        <v>2036</v>
      </c>
      <c r="J206" s="792" t="s">
        <v>401</v>
      </c>
      <c r="K206" s="793" t="s">
        <v>394</v>
      </c>
      <c r="L206" s="795" t="s">
        <v>59</v>
      </c>
      <c r="M206" s="795" t="s">
        <v>59</v>
      </c>
      <c r="N206" s="795" t="s">
        <v>59</v>
      </c>
      <c r="O206" s="795" t="s">
        <v>59</v>
      </c>
      <c r="P206" s="795" t="s">
        <v>1882</v>
      </c>
      <c r="Q206" s="802">
        <v>0</v>
      </c>
      <c r="R206" s="802">
        <v>0</v>
      </c>
      <c r="S206" s="796" t="s">
        <v>1881</v>
      </c>
      <c r="T206" s="796" t="s">
        <v>1881</v>
      </c>
      <c r="U206" s="796" t="s">
        <v>1881</v>
      </c>
      <c r="V206" s="796" t="s">
        <v>1881</v>
      </c>
      <c r="W206" s="796" t="s">
        <v>1881</v>
      </c>
      <c r="X206" s="802" t="s">
        <v>1882</v>
      </c>
      <c r="Y206" s="741" t="s">
        <v>1881</v>
      </c>
      <c r="Z206" s="741" t="s">
        <v>1881</v>
      </c>
      <c r="AA206" s="741" t="s">
        <v>1881</v>
      </c>
      <c r="AB206" s="741"/>
      <c r="AC206" s="741"/>
      <c r="AD206" s="741">
        <v>0</v>
      </c>
      <c r="AE206" s="741">
        <v>0</v>
      </c>
      <c r="AF206" s="741">
        <v>0</v>
      </c>
      <c r="AG206" s="798" t="s">
        <v>1974</v>
      </c>
      <c r="AH206" s="798"/>
      <c r="AI206" s="798"/>
    </row>
    <row r="207" spans="1:35" ht="18.75" customHeight="1">
      <c r="A207" s="790">
        <v>202</v>
      </c>
      <c r="B207" s="790" t="s">
        <v>39</v>
      </c>
      <c r="C207" s="790" t="s">
        <v>366</v>
      </c>
      <c r="D207" s="790" t="s">
        <v>397</v>
      </c>
      <c r="E207" s="790" t="s">
        <v>398</v>
      </c>
      <c r="F207" s="791" t="s">
        <v>402</v>
      </c>
      <c r="G207" s="791" t="s">
        <v>219</v>
      </c>
      <c r="H207" s="791" t="s">
        <v>164</v>
      </c>
      <c r="I207" s="792" t="s">
        <v>2036</v>
      </c>
      <c r="J207" s="792" t="s">
        <v>403</v>
      </c>
      <c r="K207" s="793" t="s">
        <v>394</v>
      </c>
      <c r="L207" s="795" t="s">
        <v>59</v>
      </c>
      <c r="M207" s="795" t="s">
        <v>59</v>
      </c>
      <c r="N207" s="795" t="s">
        <v>59</v>
      </c>
      <c r="O207" s="795" t="s">
        <v>59</v>
      </c>
      <c r="P207" s="795" t="s">
        <v>1882</v>
      </c>
      <c r="Q207" s="802">
        <v>0</v>
      </c>
      <c r="R207" s="802">
        <v>0</v>
      </c>
      <c r="S207" s="796" t="s">
        <v>1881</v>
      </c>
      <c r="T207" s="796" t="s">
        <v>1881</v>
      </c>
      <c r="U207" s="796" t="s">
        <v>1881</v>
      </c>
      <c r="V207" s="796" t="s">
        <v>1881</v>
      </c>
      <c r="W207" s="796" t="s">
        <v>1881</v>
      </c>
      <c r="X207" s="802" t="s">
        <v>1882</v>
      </c>
      <c r="Y207" s="741" t="s">
        <v>1881</v>
      </c>
      <c r="Z207" s="741" t="s">
        <v>1881</v>
      </c>
      <c r="AA207" s="741" t="s">
        <v>1881</v>
      </c>
      <c r="AB207" s="741"/>
      <c r="AC207" s="741"/>
      <c r="AD207" s="741">
        <v>0</v>
      </c>
      <c r="AE207" s="741">
        <v>0</v>
      </c>
      <c r="AF207" s="741">
        <v>0</v>
      </c>
      <c r="AG207" s="798" t="s">
        <v>1974</v>
      </c>
      <c r="AH207" s="798"/>
      <c r="AI207" s="798"/>
    </row>
    <row r="208" spans="1:35" ht="18.75" customHeight="1">
      <c r="A208" s="790">
        <v>203</v>
      </c>
      <c r="B208" s="790" t="s">
        <v>39</v>
      </c>
      <c r="C208" s="790" t="s">
        <v>366</v>
      </c>
      <c r="D208" s="790" t="s">
        <v>397</v>
      </c>
      <c r="E208" s="790" t="s">
        <v>398</v>
      </c>
      <c r="F208" s="791" t="s">
        <v>404</v>
      </c>
      <c r="G208" s="791" t="s">
        <v>219</v>
      </c>
      <c r="H208" s="791" t="s">
        <v>164</v>
      </c>
      <c r="I208" s="792" t="s">
        <v>2036</v>
      </c>
      <c r="J208" s="792" t="s">
        <v>405</v>
      </c>
      <c r="K208" s="793" t="s">
        <v>394</v>
      </c>
      <c r="L208" s="795" t="s">
        <v>59</v>
      </c>
      <c r="M208" s="795" t="s">
        <v>59</v>
      </c>
      <c r="N208" s="795" t="s">
        <v>59</v>
      </c>
      <c r="O208" s="795" t="s">
        <v>59</v>
      </c>
      <c r="P208" s="795" t="s">
        <v>1882</v>
      </c>
      <c r="Q208" s="802">
        <v>0</v>
      </c>
      <c r="R208" s="802">
        <v>0</v>
      </c>
      <c r="S208" s="796" t="s">
        <v>1881</v>
      </c>
      <c r="T208" s="796" t="s">
        <v>1881</v>
      </c>
      <c r="U208" s="796" t="s">
        <v>1881</v>
      </c>
      <c r="V208" s="796" t="s">
        <v>1881</v>
      </c>
      <c r="W208" s="796" t="s">
        <v>1881</v>
      </c>
      <c r="X208" s="802" t="s">
        <v>1882</v>
      </c>
      <c r="Y208" s="741" t="s">
        <v>1881</v>
      </c>
      <c r="Z208" s="741" t="s">
        <v>1881</v>
      </c>
      <c r="AA208" s="741" t="s">
        <v>1881</v>
      </c>
      <c r="AB208" s="741"/>
      <c r="AC208" s="741"/>
      <c r="AD208" s="741">
        <v>0</v>
      </c>
      <c r="AE208" s="741">
        <v>0</v>
      </c>
      <c r="AF208" s="741">
        <v>0</v>
      </c>
      <c r="AG208" s="798" t="s">
        <v>1974</v>
      </c>
      <c r="AH208" s="798"/>
      <c r="AI208" s="798"/>
    </row>
    <row r="209" spans="1:35" ht="18.75" customHeight="1">
      <c r="A209" s="790">
        <v>204</v>
      </c>
      <c r="B209" s="790" t="s">
        <v>39</v>
      </c>
      <c r="C209" s="790" t="s">
        <v>366</v>
      </c>
      <c r="D209" s="790" t="s">
        <v>397</v>
      </c>
      <c r="E209" s="790" t="s">
        <v>234</v>
      </c>
      <c r="F209" s="791" t="s">
        <v>408</v>
      </c>
      <c r="G209" s="791" t="s">
        <v>1976</v>
      </c>
      <c r="H209" s="791" t="s">
        <v>164</v>
      </c>
      <c r="I209" s="792" t="s">
        <v>2037</v>
      </c>
      <c r="J209" s="792" t="s">
        <v>410</v>
      </c>
      <c r="K209" s="793" t="s">
        <v>394</v>
      </c>
      <c r="L209" s="795" t="s">
        <v>59</v>
      </c>
      <c r="M209" s="795" t="s">
        <v>59</v>
      </c>
      <c r="N209" s="795" t="s">
        <v>59</v>
      </c>
      <c r="O209" s="795" t="s">
        <v>59</v>
      </c>
      <c r="P209" s="795" t="s">
        <v>1882</v>
      </c>
      <c r="Q209" s="795" t="s">
        <v>1882</v>
      </c>
      <c r="R209" s="795" t="s">
        <v>1882</v>
      </c>
      <c r="S209" s="795" t="s">
        <v>1882</v>
      </c>
      <c r="T209" s="795" t="s">
        <v>1882</v>
      </c>
      <c r="U209" s="795" t="s">
        <v>1882</v>
      </c>
      <c r="V209" s="795" t="s">
        <v>1882</v>
      </c>
      <c r="W209" s="795" t="s">
        <v>1882</v>
      </c>
      <c r="X209" s="795" t="s">
        <v>1882</v>
      </c>
      <c r="Y209" s="741" t="s">
        <v>1882</v>
      </c>
      <c r="Z209" s="741" t="s">
        <v>1882</v>
      </c>
      <c r="AA209" s="741" t="s">
        <v>1882</v>
      </c>
      <c r="AB209" s="741"/>
      <c r="AC209" s="741"/>
      <c r="AD209" s="741">
        <v>0</v>
      </c>
      <c r="AE209" s="741" t="s">
        <v>59</v>
      </c>
      <c r="AF209" s="741" t="s">
        <v>59</v>
      </c>
      <c r="AG209" s="798" t="s">
        <v>2038</v>
      </c>
      <c r="AH209" s="798"/>
      <c r="AI209" s="798"/>
    </row>
    <row r="210" spans="1:35" ht="18.75" customHeight="1">
      <c r="A210" s="790">
        <v>205</v>
      </c>
      <c r="B210" s="790" t="s">
        <v>39</v>
      </c>
      <c r="C210" s="790" t="s">
        <v>366</v>
      </c>
      <c r="D210" s="790" t="s">
        <v>397</v>
      </c>
      <c r="E210" s="790" t="s">
        <v>234</v>
      </c>
      <c r="F210" s="791" t="s">
        <v>411</v>
      </c>
      <c r="G210" s="791" t="s">
        <v>1976</v>
      </c>
      <c r="H210" s="791" t="s">
        <v>164</v>
      </c>
      <c r="I210" s="792" t="s">
        <v>2037</v>
      </c>
      <c r="J210" s="792" t="s">
        <v>410</v>
      </c>
      <c r="K210" s="793" t="s">
        <v>394</v>
      </c>
      <c r="L210" s="795" t="s">
        <v>59</v>
      </c>
      <c r="M210" s="795" t="s">
        <v>59</v>
      </c>
      <c r="N210" s="795" t="s">
        <v>59</v>
      </c>
      <c r="O210" s="795" t="s">
        <v>59</v>
      </c>
      <c r="P210" s="795" t="s">
        <v>1882</v>
      </c>
      <c r="Q210" s="795" t="s">
        <v>1882</v>
      </c>
      <c r="R210" s="795" t="s">
        <v>1882</v>
      </c>
      <c r="S210" s="795" t="s">
        <v>1882</v>
      </c>
      <c r="T210" s="795" t="s">
        <v>1882</v>
      </c>
      <c r="U210" s="795" t="s">
        <v>1882</v>
      </c>
      <c r="V210" s="795" t="s">
        <v>1882</v>
      </c>
      <c r="W210" s="795" t="s">
        <v>1882</v>
      </c>
      <c r="X210" s="795" t="s">
        <v>1882</v>
      </c>
      <c r="Y210" s="741" t="s">
        <v>1882</v>
      </c>
      <c r="Z210" s="741" t="s">
        <v>1882</v>
      </c>
      <c r="AA210" s="741" t="s">
        <v>1882</v>
      </c>
      <c r="AB210" s="741"/>
      <c r="AC210" s="741"/>
      <c r="AD210" s="741">
        <v>0</v>
      </c>
      <c r="AE210" s="741" t="s">
        <v>59</v>
      </c>
      <c r="AF210" s="741" t="s">
        <v>59</v>
      </c>
      <c r="AG210" s="798" t="s">
        <v>2039</v>
      </c>
      <c r="AH210" s="798"/>
      <c r="AI210" s="798"/>
    </row>
    <row r="211" spans="1:35" ht="18.75" customHeight="1">
      <c r="A211" s="790">
        <v>206</v>
      </c>
      <c r="B211" s="790" t="s">
        <v>39</v>
      </c>
      <c r="C211" s="790" t="s">
        <v>366</v>
      </c>
      <c r="D211" s="790" t="s">
        <v>397</v>
      </c>
      <c r="E211" s="790" t="s">
        <v>234</v>
      </c>
      <c r="F211" s="791" t="s">
        <v>412</v>
      </c>
      <c r="G211" s="791" t="s">
        <v>1976</v>
      </c>
      <c r="H211" s="791" t="s">
        <v>164</v>
      </c>
      <c r="I211" s="792" t="s">
        <v>2037</v>
      </c>
      <c r="J211" s="792" t="s">
        <v>413</v>
      </c>
      <c r="K211" s="793" t="s">
        <v>394</v>
      </c>
      <c r="L211" s="795" t="s">
        <v>59</v>
      </c>
      <c r="M211" s="795" t="s">
        <v>59</v>
      </c>
      <c r="N211" s="795" t="s">
        <v>59</v>
      </c>
      <c r="O211" s="795" t="s">
        <v>59</v>
      </c>
      <c r="P211" s="795" t="s">
        <v>1882</v>
      </c>
      <c r="Q211" s="795" t="s">
        <v>1882</v>
      </c>
      <c r="R211" s="795" t="s">
        <v>1882</v>
      </c>
      <c r="S211" s="795" t="s">
        <v>1882</v>
      </c>
      <c r="T211" s="795" t="s">
        <v>1882</v>
      </c>
      <c r="U211" s="795" t="s">
        <v>1882</v>
      </c>
      <c r="V211" s="795" t="s">
        <v>1882</v>
      </c>
      <c r="W211" s="795" t="s">
        <v>1882</v>
      </c>
      <c r="X211" s="795" t="s">
        <v>1882</v>
      </c>
      <c r="Y211" s="741" t="s">
        <v>1882</v>
      </c>
      <c r="Z211" s="741" t="s">
        <v>1882</v>
      </c>
      <c r="AA211" s="741" t="s">
        <v>1882</v>
      </c>
      <c r="AB211" s="741"/>
      <c r="AC211" s="741"/>
      <c r="AD211" s="741">
        <v>0</v>
      </c>
      <c r="AE211" s="741" t="s">
        <v>59</v>
      </c>
      <c r="AF211" s="741" t="s">
        <v>59</v>
      </c>
      <c r="AG211" s="798" t="s">
        <v>2040</v>
      </c>
      <c r="AH211" s="798"/>
      <c r="AI211" s="798"/>
    </row>
    <row r="212" spans="1:35" ht="18.75" customHeight="1">
      <c r="A212" s="790">
        <v>207</v>
      </c>
      <c r="B212" s="790" t="s">
        <v>39</v>
      </c>
      <c r="C212" s="790" t="s">
        <v>366</v>
      </c>
      <c r="D212" s="790" t="s">
        <v>397</v>
      </c>
      <c r="E212" s="790" t="s">
        <v>415</v>
      </c>
      <c r="F212" s="791" t="s">
        <v>408</v>
      </c>
      <c r="G212" s="791" t="s">
        <v>416</v>
      </c>
      <c r="H212" s="791" t="s">
        <v>164</v>
      </c>
      <c r="I212" s="792" t="s">
        <v>2041</v>
      </c>
      <c r="J212" s="792" t="s">
        <v>418</v>
      </c>
      <c r="K212" s="793" t="s">
        <v>394</v>
      </c>
      <c r="L212" s="795" t="s">
        <v>59</v>
      </c>
      <c r="M212" s="795" t="s">
        <v>59</v>
      </c>
      <c r="N212" s="795" t="s">
        <v>59</v>
      </c>
      <c r="O212" s="795" t="s">
        <v>59</v>
      </c>
      <c r="P212" s="795" t="s">
        <v>1882</v>
      </c>
      <c r="Q212" s="795" t="s">
        <v>1882</v>
      </c>
      <c r="R212" s="795" t="s">
        <v>1882</v>
      </c>
      <c r="S212" s="795" t="s">
        <v>1882</v>
      </c>
      <c r="T212" s="795" t="s">
        <v>1882</v>
      </c>
      <c r="U212" s="795" t="s">
        <v>1882</v>
      </c>
      <c r="V212" s="795" t="s">
        <v>1882</v>
      </c>
      <c r="W212" s="795" t="s">
        <v>1882</v>
      </c>
      <c r="X212" s="795" t="s">
        <v>1882</v>
      </c>
      <c r="Y212" s="741" t="s">
        <v>1882</v>
      </c>
      <c r="Z212" s="741" t="s">
        <v>1882</v>
      </c>
      <c r="AA212" s="741" t="s">
        <v>1882</v>
      </c>
      <c r="AB212" s="741"/>
      <c r="AC212" s="741"/>
      <c r="AD212" s="741">
        <v>0</v>
      </c>
      <c r="AE212" s="741">
        <v>0</v>
      </c>
      <c r="AF212" s="741">
        <v>0</v>
      </c>
      <c r="AG212" s="798" t="s">
        <v>2042</v>
      </c>
      <c r="AH212" s="798"/>
      <c r="AI212" s="798"/>
    </row>
    <row r="213" spans="1:35" ht="18.75" customHeight="1">
      <c r="A213" s="790">
        <v>208</v>
      </c>
      <c r="B213" s="790" t="s">
        <v>39</v>
      </c>
      <c r="C213" s="790" t="s">
        <v>366</v>
      </c>
      <c r="D213" s="790" t="s">
        <v>397</v>
      </c>
      <c r="E213" s="790" t="s">
        <v>415</v>
      </c>
      <c r="F213" s="791" t="s">
        <v>411</v>
      </c>
      <c r="G213" s="791" t="s">
        <v>416</v>
      </c>
      <c r="H213" s="791" t="s">
        <v>164</v>
      </c>
      <c r="I213" s="792" t="s">
        <v>2041</v>
      </c>
      <c r="J213" s="792" t="s">
        <v>419</v>
      </c>
      <c r="K213" s="793" t="s">
        <v>394</v>
      </c>
      <c r="L213" s="795" t="s">
        <v>59</v>
      </c>
      <c r="M213" s="795" t="s">
        <v>59</v>
      </c>
      <c r="N213" s="795" t="s">
        <v>59</v>
      </c>
      <c r="O213" s="795" t="s">
        <v>59</v>
      </c>
      <c r="P213" s="795" t="s">
        <v>1882</v>
      </c>
      <c r="Q213" s="795" t="s">
        <v>1882</v>
      </c>
      <c r="R213" s="795" t="s">
        <v>1882</v>
      </c>
      <c r="S213" s="795" t="s">
        <v>1882</v>
      </c>
      <c r="T213" s="795" t="s">
        <v>1882</v>
      </c>
      <c r="U213" s="795" t="s">
        <v>1882</v>
      </c>
      <c r="V213" s="795" t="s">
        <v>1882</v>
      </c>
      <c r="W213" s="795" t="s">
        <v>1882</v>
      </c>
      <c r="X213" s="795" t="s">
        <v>1882</v>
      </c>
      <c r="Y213" s="741" t="s">
        <v>1882</v>
      </c>
      <c r="Z213" s="741" t="s">
        <v>1882</v>
      </c>
      <c r="AA213" s="741" t="s">
        <v>1882</v>
      </c>
      <c r="AB213" s="741"/>
      <c r="AC213" s="741"/>
      <c r="AD213" s="741">
        <v>0</v>
      </c>
      <c r="AE213" s="741">
        <v>0</v>
      </c>
      <c r="AF213" s="741">
        <v>0</v>
      </c>
      <c r="AG213" s="798" t="s">
        <v>2042</v>
      </c>
      <c r="AH213" s="798"/>
      <c r="AI213" s="798"/>
    </row>
    <row r="214" spans="1:35" ht="18.75" customHeight="1">
      <c r="A214" s="790">
        <v>209</v>
      </c>
      <c r="B214" s="790" t="s">
        <v>39</v>
      </c>
      <c r="C214" s="790" t="s">
        <v>366</v>
      </c>
      <c r="D214" s="790" t="s">
        <v>397</v>
      </c>
      <c r="E214" s="790" t="s">
        <v>415</v>
      </c>
      <c r="F214" s="791" t="s">
        <v>412</v>
      </c>
      <c r="G214" s="791" t="s">
        <v>416</v>
      </c>
      <c r="H214" s="791" t="s">
        <v>164</v>
      </c>
      <c r="I214" s="792" t="s">
        <v>2041</v>
      </c>
      <c r="J214" s="792" t="s">
        <v>420</v>
      </c>
      <c r="K214" s="793" t="s">
        <v>394</v>
      </c>
      <c r="L214" s="795" t="s">
        <v>59</v>
      </c>
      <c r="M214" s="795" t="s">
        <v>59</v>
      </c>
      <c r="N214" s="795" t="s">
        <v>59</v>
      </c>
      <c r="O214" s="795" t="s">
        <v>59</v>
      </c>
      <c r="P214" s="795" t="s">
        <v>1882</v>
      </c>
      <c r="Q214" s="795" t="s">
        <v>1882</v>
      </c>
      <c r="R214" s="795" t="s">
        <v>1882</v>
      </c>
      <c r="S214" s="795" t="s">
        <v>1882</v>
      </c>
      <c r="T214" s="795" t="s">
        <v>1882</v>
      </c>
      <c r="U214" s="795" t="s">
        <v>1882</v>
      </c>
      <c r="V214" s="795" t="s">
        <v>1882</v>
      </c>
      <c r="W214" s="795" t="s">
        <v>1882</v>
      </c>
      <c r="X214" s="795" t="s">
        <v>1882</v>
      </c>
      <c r="Y214" s="741" t="s">
        <v>1882</v>
      </c>
      <c r="Z214" s="741" t="s">
        <v>1882</v>
      </c>
      <c r="AA214" s="741" t="s">
        <v>1882</v>
      </c>
      <c r="AB214" s="741"/>
      <c r="AC214" s="741"/>
      <c r="AD214" s="741">
        <v>0</v>
      </c>
      <c r="AE214" s="741">
        <v>0</v>
      </c>
      <c r="AF214" s="741">
        <v>0</v>
      </c>
      <c r="AG214" s="798" t="s">
        <v>2042</v>
      </c>
      <c r="AH214" s="798"/>
      <c r="AI214" s="798"/>
    </row>
    <row r="215" spans="1:35" ht="18.75" customHeight="1">
      <c r="A215" s="790">
        <v>210</v>
      </c>
      <c r="B215" s="790" t="s">
        <v>39</v>
      </c>
      <c r="C215" s="790" t="s">
        <v>422</v>
      </c>
      <c r="D215" s="790" t="s">
        <v>153</v>
      </c>
      <c r="E215" s="790" t="s">
        <v>141</v>
      </c>
      <c r="F215" s="791" t="s">
        <v>142</v>
      </c>
      <c r="G215" s="791" t="s">
        <v>1951</v>
      </c>
      <c r="H215" s="791" t="s">
        <v>30</v>
      </c>
      <c r="I215" s="792" t="s">
        <v>424</v>
      </c>
      <c r="J215" s="792" t="s">
        <v>424</v>
      </c>
      <c r="K215" s="793" t="s">
        <v>394</v>
      </c>
      <c r="L215" s="790">
        <v>2016</v>
      </c>
      <c r="M215" s="804">
        <v>3.4340854264225909E-2</v>
      </c>
      <c r="N215" s="795">
        <v>484</v>
      </c>
      <c r="O215" s="795">
        <v>14094</v>
      </c>
      <c r="P215" s="802">
        <v>2.4270826047422537E-2</v>
      </c>
      <c r="Q215" s="802">
        <v>2.2501747030048917E-2</v>
      </c>
      <c r="R215" s="802">
        <v>1.644697779361121E-2</v>
      </c>
      <c r="S215" s="796">
        <v>9.3696894941894288E-2</v>
      </c>
      <c r="T215" s="796">
        <v>9.3696894941894288E-2</v>
      </c>
      <c r="U215" s="796">
        <v>9.3696894941894288E-2</v>
      </c>
      <c r="V215" s="796">
        <v>0.28109068482568289</v>
      </c>
      <c r="W215" s="796">
        <v>0.19363911803621414</v>
      </c>
      <c r="X215" s="802">
        <v>1.1600237953599048E-2</v>
      </c>
      <c r="Y215" s="741">
        <v>9.3696894941894288E-2</v>
      </c>
      <c r="Z215" s="741">
        <v>9.3696894941894288E-2</v>
      </c>
      <c r="AA215" s="741">
        <v>9.3696894941894288E-2</v>
      </c>
      <c r="AB215" s="741">
        <v>0.28109068482568289</v>
      </c>
      <c r="AC215" s="741">
        <v>0.19363911803621414</v>
      </c>
      <c r="AD215" s="741">
        <v>0</v>
      </c>
      <c r="AE215" s="741">
        <v>0</v>
      </c>
      <c r="AF215" s="741">
        <v>16719</v>
      </c>
      <c r="AG215" s="798" t="s">
        <v>2043</v>
      </c>
      <c r="AH215" s="798" t="s">
        <v>2044</v>
      </c>
      <c r="AI215" s="798"/>
    </row>
    <row r="216" spans="1:35" ht="18.75" customHeight="1">
      <c r="A216" s="790">
        <v>211</v>
      </c>
      <c r="B216" s="790" t="s">
        <v>39</v>
      </c>
      <c r="C216" s="790" t="s">
        <v>422</v>
      </c>
      <c r="D216" s="790" t="s">
        <v>426</v>
      </c>
      <c r="E216" s="790" t="s">
        <v>252</v>
      </c>
      <c r="F216" s="791" t="s">
        <v>142</v>
      </c>
      <c r="G216" s="791" t="s">
        <v>760</v>
      </c>
      <c r="H216" s="791" t="s">
        <v>164</v>
      </c>
      <c r="I216" s="792" t="s">
        <v>2045</v>
      </c>
      <c r="J216" s="792" t="s">
        <v>428</v>
      </c>
      <c r="K216" s="793" t="s">
        <v>394</v>
      </c>
      <c r="L216" s="795" t="s">
        <v>59</v>
      </c>
      <c r="M216" s="795" t="s">
        <v>59</v>
      </c>
      <c r="N216" s="795" t="s">
        <v>59</v>
      </c>
      <c r="O216" s="795" t="s">
        <v>59</v>
      </c>
      <c r="P216" s="795" t="s">
        <v>1882</v>
      </c>
      <c r="Q216" s="802">
        <v>2.2501747030048917E-2</v>
      </c>
      <c r="R216" s="802">
        <v>1.644697779361121E-2</v>
      </c>
      <c r="S216" s="796" t="s">
        <v>1881</v>
      </c>
      <c r="T216" s="796" t="s">
        <v>1881</v>
      </c>
      <c r="U216" s="796" t="s">
        <v>1881</v>
      </c>
      <c r="V216" s="796" t="s">
        <v>1881</v>
      </c>
      <c r="W216" s="796" t="s">
        <v>1881</v>
      </c>
      <c r="X216" s="802">
        <v>1.1600237953599048E-2</v>
      </c>
      <c r="Y216" s="741" t="s">
        <v>1881</v>
      </c>
      <c r="Z216" s="741" t="s">
        <v>1881</v>
      </c>
      <c r="AA216" s="741" t="s">
        <v>1881</v>
      </c>
      <c r="AB216" s="741"/>
      <c r="AC216" s="741"/>
      <c r="AD216" s="741">
        <v>0</v>
      </c>
      <c r="AE216" s="741">
        <v>0</v>
      </c>
      <c r="AF216" s="741">
        <v>383968554</v>
      </c>
      <c r="AG216" s="798" t="s">
        <v>2046</v>
      </c>
      <c r="AH216" s="798"/>
      <c r="AI216" s="798"/>
    </row>
    <row r="217" spans="1:35" ht="18.75" customHeight="1">
      <c r="A217" s="790">
        <v>212</v>
      </c>
      <c r="B217" s="790" t="s">
        <v>39</v>
      </c>
      <c r="C217" s="790" t="s">
        <v>422</v>
      </c>
      <c r="D217" s="790" t="s">
        <v>426</v>
      </c>
      <c r="E217" s="790" t="s">
        <v>430</v>
      </c>
      <c r="F217" s="791" t="s">
        <v>142</v>
      </c>
      <c r="G217" s="791" t="s">
        <v>416</v>
      </c>
      <c r="H217" s="791" t="s">
        <v>164</v>
      </c>
      <c r="I217" s="792" t="s">
        <v>2047</v>
      </c>
      <c r="J217" s="792" t="s">
        <v>432</v>
      </c>
      <c r="K217" s="793" t="s">
        <v>394</v>
      </c>
      <c r="L217" s="795" t="s">
        <v>59</v>
      </c>
      <c r="M217" s="795" t="s">
        <v>59</v>
      </c>
      <c r="N217" s="795" t="s">
        <v>59</v>
      </c>
      <c r="O217" s="795" t="s">
        <v>59</v>
      </c>
      <c r="P217" s="795" t="s">
        <v>1882</v>
      </c>
      <c r="Q217" s="802">
        <v>0</v>
      </c>
      <c r="R217" s="802">
        <v>0</v>
      </c>
      <c r="S217" s="796" t="s">
        <v>1881</v>
      </c>
      <c r="T217" s="796" t="s">
        <v>1881</v>
      </c>
      <c r="U217" s="796" t="s">
        <v>1881</v>
      </c>
      <c r="V217" s="796" t="s">
        <v>1881</v>
      </c>
      <c r="W217" s="796" t="s">
        <v>1881</v>
      </c>
      <c r="X217" s="802">
        <v>0</v>
      </c>
      <c r="Y217" s="741" t="s">
        <v>1881</v>
      </c>
      <c r="Z217" s="741" t="s">
        <v>1881</v>
      </c>
      <c r="AA217" s="741" t="s">
        <v>1881</v>
      </c>
      <c r="AB217" s="741"/>
      <c r="AC217" s="741"/>
      <c r="AD217" s="741">
        <v>0</v>
      </c>
      <c r="AE217" s="741">
        <v>0</v>
      </c>
      <c r="AF217" s="741">
        <v>0</v>
      </c>
      <c r="AG217" s="798" t="s">
        <v>786</v>
      </c>
      <c r="AH217" s="798"/>
      <c r="AI217" s="798"/>
    </row>
    <row r="218" spans="1:35" ht="18.75" customHeight="1">
      <c r="A218" s="790">
        <v>213</v>
      </c>
      <c r="B218" s="790" t="s">
        <v>39</v>
      </c>
      <c r="C218" s="790" t="s">
        <v>422</v>
      </c>
      <c r="D218" s="790" t="s">
        <v>434</v>
      </c>
      <c r="E218" s="790" t="s">
        <v>91</v>
      </c>
      <c r="F218" s="791" t="s">
        <v>92</v>
      </c>
      <c r="G218" s="791" t="s">
        <v>93</v>
      </c>
      <c r="H218" s="791" t="s">
        <v>30</v>
      </c>
      <c r="I218" s="792" t="s">
        <v>1924</v>
      </c>
      <c r="J218" s="792" t="s">
        <v>92</v>
      </c>
      <c r="K218" s="793" t="s">
        <v>394</v>
      </c>
      <c r="L218" s="790">
        <v>2016</v>
      </c>
      <c r="M218" s="794">
        <v>252.79448034943113</v>
      </c>
      <c r="N218" s="795">
        <v>10553411.987121101</v>
      </c>
      <c r="O218" s="795">
        <v>41747.003227813359</v>
      </c>
      <c r="P218" s="796">
        <v>218.18298505594356</v>
      </c>
      <c r="Q218" s="796">
        <v>219.63457345377984</v>
      </c>
      <c r="R218" s="796">
        <v>259.84504371055107</v>
      </c>
      <c r="S218" s="796">
        <v>292.93386693769145</v>
      </c>
      <c r="T218" s="796">
        <v>292.93386693769145</v>
      </c>
      <c r="U218" s="796">
        <v>292.93386693769145</v>
      </c>
      <c r="V218" s="796">
        <v>878.8016008130744</v>
      </c>
      <c r="W218" s="796">
        <v>582.93839520600602</v>
      </c>
      <c r="X218" s="796">
        <v>331.3686375818254</v>
      </c>
      <c r="Y218" s="741">
        <v>292.93386693769145</v>
      </c>
      <c r="Z218" s="741">
        <v>292.93386693769145</v>
      </c>
      <c r="AA218" s="741">
        <v>292.93386693769145</v>
      </c>
      <c r="AB218" s="741">
        <v>878.8016008130744</v>
      </c>
      <c r="AC218" s="741">
        <v>582.93839520600602</v>
      </c>
      <c r="AD218" s="741">
        <v>0</v>
      </c>
      <c r="AE218" s="741">
        <v>0</v>
      </c>
      <c r="AF218" s="741">
        <v>0</v>
      </c>
      <c r="AG218" s="798" t="s">
        <v>1958</v>
      </c>
      <c r="AH218" s="798" t="s">
        <v>1959</v>
      </c>
      <c r="AI218" s="798"/>
    </row>
    <row r="219" spans="1:35" ht="18.75" customHeight="1">
      <c r="A219" s="790">
        <v>214</v>
      </c>
      <c r="B219" s="790" t="s">
        <v>39</v>
      </c>
      <c r="C219" s="790" t="s">
        <v>422</v>
      </c>
      <c r="D219" s="790" t="s">
        <v>434</v>
      </c>
      <c r="E219" s="790" t="s">
        <v>91</v>
      </c>
      <c r="F219" s="791" t="s">
        <v>95</v>
      </c>
      <c r="G219" s="791" t="s">
        <v>93</v>
      </c>
      <c r="H219" s="791" t="s">
        <v>30</v>
      </c>
      <c r="I219" s="792" t="s">
        <v>1924</v>
      </c>
      <c r="J219" s="792" t="s">
        <v>95</v>
      </c>
      <c r="K219" s="793" t="s">
        <v>394</v>
      </c>
      <c r="L219" s="790">
        <v>2016</v>
      </c>
      <c r="M219" s="799">
        <v>6.7807003324595175E-2</v>
      </c>
      <c r="N219" s="795">
        <v>10553411.987121101</v>
      </c>
      <c r="O219" s="795">
        <v>155638967.50607666</v>
      </c>
      <c r="P219" s="800">
        <v>4.1213434891709221E-2</v>
      </c>
      <c r="Q219" s="800">
        <v>3.6981760817995001E-2</v>
      </c>
      <c r="R219" s="800">
        <v>6.1047977558683082E-2</v>
      </c>
      <c r="S219" s="796">
        <v>6.2935963617522572E-2</v>
      </c>
      <c r="T219" s="796">
        <v>6.2935963617522572E-2</v>
      </c>
      <c r="U219" s="796">
        <v>6.2935963617522572E-2</v>
      </c>
      <c r="V219" s="796">
        <v>0.18880789085256772</v>
      </c>
      <c r="W219" s="796">
        <v>0.12524256759886992</v>
      </c>
      <c r="X219" s="800">
        <v>4.8496070942200147E-2</v>
      </c>
      <c r="Y219" s="741">
        <v>6.2935963617522572E-2</v>
      </c>
      <c r="Z219" s="741">
        <v>6.2935963617522572E-2</v>
      </c>
      <c r="AA219" s="741">
        <v>6.2935963617522572E-2</v>
      </c>
      <c r="AB219" s="741">
        <v>0.18880789085256772</v>
      </c>
      <c r="AC219" s="741">
        <v>0.12524256759886992</v>
      </c>
      <c r="AD219" s="741">
        <v>0</v>
      </c>
      <c r="AE219" s="741">
        <v>0</v>
      </c>
      <c r="AF219" s="741">
        <v>0</v>
      </c>
      <c r="AG219" s="798" t="s">
        <v>1961</v>
      </c>
      <c r="AH219" s="798" t="s">
        <v>1959</v>
      </c>
      <c r="AI219" s="798"/>
    </row>
    <row r="220" spans="1:35" ht="18.75" customHeight="1">
      <c r="A220" s="790">
        <v>215</v>
      </c>
      <c r="B220" s="790" t="s">
        <v>39</v>
      </c>
      <c r="C220" s="790" t="s">
        <v>422</v>
      </c>
      <c r="D220" s="790" t="s">
        <v>434</v>
      </c>
      <c r="E220" s="790" t="s">
        <v>91</v>
      </c>
      <c r="F220" s="791" t="s">
        <v>96</v>
      </c>
      <c r="G220" s="791" t="s">
        <v>93</v>
      </c>
      <c r="H220" s="791" t="s">
        <v>30</v>
      </c>
      <c r="I220" s="792" t="s">
        <v>1924</v>
      </c>
      <c r="J220" s="792" t="s">
        <v>96</v>
      </c>
      <c r="K220" s="793" t="s">
        <v>394</v>
      </c>
      <c r="L220" s="790">
        <v>2016</v>
      </c>
      <c r="M220" s="799">
        <v>0.47732983132924717</v>
      </c>
      <c r="N220" s="795">
        <v>2864378.7973788986</v>
      </c>
      <c r="O220" s="795">
        <v>6000837.5956774</v>
      </c>
      <c r="P220" s="800">
        <v>0.27974754402891922</v>
      </c>
      <c r="Q220" s="800">
        <v>0.41831196269124932</v>
      </c>
      <c r="R220" s="800">
        <v>0.78441307302490493</v>
      </c>
      <c r="S220" s="796">
        <v>0.46665993497270547</v>
      </c>
      <c r="T220" s="796">
        <v>0.46665993497270547</v>
      </c>
      <c r="U220" s="796">
        <v>0.46665993497270547</v>
      </c>
      <c r="V220" s="796">
        <v>1.3999798049181165</v>
      </c>
      <c r="W220" s="796">
        <v>0.92865327059568392</v>
      </c>
      <c r="X220" s="800">
        <v>0.68124918386781941</v>
      </c>
      <c r="Y220" s="741">
        <v>0.46665993497270547</v>
      </c>
      <c r="Z220" s="741">
        <v>0.46665993497270547</v>
      </c>
      <c r="AA220" s="741">
        <v>0.46665993497270547</v>
      </c>
      <c r="AB220" s="741">
        <v>1.3999798049181165</v>
      </c>
      <c r="AC220" s="741">
        <v>0.92865327059568392</v>
      </c>
      <c r="AD220" s="741">
        <v>0</v>
      </c>
      <c r="AE220" s="741">
        <v>0</v>
      </c>
      <c r="AF220" s="741">
        <v>0</v>
      </c>
      <c r="AG220" s="798" t="s">
        <v>2021</v>
      </c>
      <c r="AH220" s="798" t="s">
        <v>1959</v>
      </c>
      <c r="AI220" s="798"/>
    </row>
    <row r="221" spans="1:35" ht="18.75" customHeight="1">
      <c r="A221" s="790">
        <v>216</v>
      </c>
      <c r="B221" s="790" t="s">
        <v>39</v>
      </c>
      <c r="C221" s="790" t="s">
        <v>422</v>
      </c>
      <c r="D221" s="790" t="s">
        <v>434</v>
      </c>
      <c r="E221" s="790" t="s">
        <v>91</v>
      </c>
      <c r="F221" s="791" t="s">
        <v>97</v>
      </c>
      <c r="G221" s="791" t="s">
        <v>93</v>
      </c>
      <c r="H221" s="791" t="s">
        <v>30</v>
      </c>
      <c r="I221" s="792" t="s">
        <v>1924</v>
      </c>
      <c r="J221" s="792" t="s">
        <v>97</v>
      </c>
      <c r="K221" s="793" t="s">
        <v>394</v>
      </c>
      <c r="L221" s="790">
        <v>2016</v>
      </c>
      <c r="M221" s="794">
        <v>511.94720125703424</v>
      </c>
      <c r="N221" s="795">
        <v>21372261.463347424</v>
      </c>
      <c r="O221" s="795">
        <v>41747.003227813359</v>
      </c>
      <c r="P221" s="796">
        <v>611.31127848128483</v>
      </c>
      <c r="Q221" s="796">
        <v>587.01052905849212</v>
      </c>
      <c r="R221" s="796">
        <v>393.1078073186211</v>
      </c>
      <c r="S221" s="796">
        <v>409.87968010410589</v>
      </c>
      <c r="T221" s="796">
        <v>409.87968010410589</v>
      </c>
      <c r="U221" s="796">
        <v>409.87968010410589</v>
      </c>
      <c r="V221" s="796">
        <v>1229.6390403123178</v>
      </c>
      <c r="W221" s="796">
        <v>815.66056340717068</v>
      </c>
      <c r="X221" s="796">
        <v>472.99893304018002</v>
      </c>
      <c r="Y221" s="741">
        <v>409.87968010410589</v>
      </c>
      <c r="Z221" s="741">
        <v>409.87968010410589</v>
      </c>
      <c r="AA221" s="741">
        <v>409.87968010410589</v>
      </c>
      <c r="AB221" s="741">
        <v>1229.6390403123178</v>
      </c>
      <c r="AC221" s="741">
        <v>815.66056340717068</v>
      </c>
      <c r="AD221" s="741">
        <v>0</v>
      </c>
      <c r="AE221" s="741">
        <v>0</v>
      </c>
      <c r="AF221" s="741">
        <v>0</v>
      </c>
      <c r="AG221" s="798" t="s">
        <v>1962</v>
      </c>
      <c r="AH221" s="798" t="s">
        <v>1959</v>
      </c>
      <c r="AI221" s="798"/>
    </row>
    <row r="222" spans="1:35" ht="18.75" customHeight="1">
      <c r="A222" s="790">
        <v>217</v>
      </c>
      <c r="B222" s="790" t="s">
        <v>39</v>
      </c>
      <c r="C222" s="790" t="s">
        <v>422</v>
      </c>
      <c r="D222" s="790" t="s">
        <v>434</v>
      </c>
      <c r="E222" s="790" t="s">
        <v>91</v>
      </c>
      <c r="F222" s="791" t="s">
        <v>98</v>
      </c>
      <c r="G222" s="791" t="s">
        <v>93</v>
      </c>
      <c r="H222" s="791" t="s">
        <v>30</v>
      </c>
      <c r="I222" s="792" t="s">
        <v>1924</v>
      </c>
      <c r="J222" s="792" t="s">
        <v>98</v>
      </c>
      <c r="K222" s="793" t="s">
        <v>394</v>
      </c>
      <c r="L222" s="790">
        <v>2016</v>
      </c>
      <c r="M222" s="799">
        <v>0.1373194760014903</v>
      </c>
      <c r="N222" s="795">
        <v>21372261.463347424</v>
      </c>
      <c r="O222" s="795">
        <v>155638967.50607666</v>
      </c>
      <c r="P222" s="800">
        <v>0.11547297131257045</v>
      </c>
      <c r="Q222" s="800">
        <v>9.8840007936429303E-2</v>
      </c>
      <c r="R222" s="800">
        <v>9.2356722516758291E-2</v>
      </c>
      <c r="S222" s="796">
        <v>8.8061421181050301E-2</v>
      </c>
      <c r="T222" s="796">
        <v>8.8061421181050301E-2</v>
      </c>
      <c r="U222" s="796">
        <v>8.8061421181050301E-2</v>
      </c>
      <c r="V222" s="796">
        <v>0.26418426354315089</v>
      </c>
      <c r="W222" s="796">
        <v>0.17524222815029009</v>
      </c>
      <c r="X222" s="800">
        <v>6.9223780438899513E-2</v>
      </c>
      <c r="Y222" s="741">
        <v>8.8061421181050301E-2</v>
      </c>
      <c r="Z222" s="741">
        <v>8.8061421181050301E-2</v>
      </c>
      <c r="AA222" s="741">
        <v>8.8061421181050301E-2</v>
      </c>
      <c r="AB222" s="741">
        <v>0.26418426354315089</v>
      </c>
      <c r="AC222" s="741">
        <v>0.17524222815029009</v>
      </c>
      <c r="AD222" s="741">
        <v>0</v>
      </c>
      <c r="AE222" s="741">
        <v>0</v>
      </c>
      <c r="AF222" s="741">
        <v>0</v>
      </c>
      <c r="AG222" s="798" t="s">
        <v>2023</v>
      </c>
      <c r="AH222" s="798" t="s">
        <v>1959</v>
      </c>
      <c r="AI222" s="798"/>
    </row>
    <row r="223" spans="1:35" ht="18.75" customHeight="1">
      <c r="A223" s="790">
        <v>218</v>
      </c>
      <c r="B223" s="790" t="s">
        <v>39</v>
      </c>
      <c r="C223" s="790" t="s">
        <v>422</v>
      </c>
      <c r="D223" s="790" t="s">
        <v>434</v>
      </c>
      <c r="E223" s="790" t="s">
        <v>91</v>
      </c>
      <c r="F223" s="791" t="s">
        <v>99</v>
      </c>
      <c r="G223" s="791" t="s">
        <v>93</v>
      </c>
      <c r="H223" s="791" t="s">
        <v>30</v>
      </c>
      <c r="I223" s="792" t="s">
        <v>1924</v>
      </c>
      <c r="J223" s="792" t="s">
        <v>99</v>
      </c>
      <c r="K223" s="793" t="s">
        <v>394</v>
      </c>
      <c r="L223" s="790">
        <v>2016</v>
      </c>
      <c r="M223" s="799">
        <v>0.96666537531878627</v>
      </c>
      <c r="N223" s="795">
        <v>5800801.9266525768</v>
      </c>
      <c r="O223" s="795">
        <v>6000837.5956774</v>
      </c>
      <c r="P223" s="800">
        <v>0.78380460670876462</v>
      </c>
      <c r="Q223" s="800">
        <v>1.0248836267359509</v>
      </c>
      <c r="R223" s="800">
        <v>1.18670303949446</v>
      </c>
      <c r="S223" s="796">
        <v>0.65296111666289658</v>
      </c>
      <c r="T223" s="796">
        <v>0.65296111666289658</v>
      </c>
      <c r="U223" s="796">
        <v>0.65296111666289658</v>
      </c>
      <c r="V223" s="796">
        <v>1.9588833499886897</v>
      </c>
      <c r="W223" s="796">
        <v>1.2993926221591643</v>
      </c>
      <c r="X223" s="800">
        <v>0.9724219511401504</v>
      </c>
      <c r="Y223" s="741">
        <v>0.65296111666289658</v>
      </c>
      <c r="Z223" s="741">
        <v>0.65296111666289658</v>
      </c>
      <c r="AA223" s="741">
        <v>0.65296111666289658</v>
      </c>
      <c r="AB223" s="741">
        <v>1.9588833499886897</v>
      </c>
      <c r="AC223" s="741">
        <v>1.2993926221591643</v>
      </c>
      <c r="AD223" s="741">
        <v>0</v>
      </c>
      <c r="AE223" s="741">
        <v>0</v>
      </c>
      <c r="AF223" s="741">
        <v>0</v>
      </c>
      <c r="AG223" s="798" t="s">
        <v>2023</v>
      </c>
      <c r="AH223" s="798" t="s">
        <v>1959</v>
      </c>
      <c r="AI223" s="798"/>
    </row>
    <row r="224" spans="1:35" ht="18.75" customHeight="1">
      <c r="A224" s="790">
        <v>219</v>
      </c>
      <c r="B224" s="790" t="s">
        <v>39</v>
      </c>
      <c r="C224" s="790" t="s">
        <v>422</v>
      </c>
      <c r="D224" s="790" t="s">
        <v>436</v>
      </c>
      <c r="E224" s="790" t="s">
        <v>437</v>
      </c>
      <c r="F224" s="791" t="s">
        <v>438</v>
      </c>
      <c r="G224" s="791" t="s">
        <v>439</v>
      </c>
      <c r="H224" s="791" t="s">
        <v>164</v>
      </c>
      <c r="I224" s="792" t="s">
        <v>2048</v>
      </c>
      <c r="J224" s="792" t="s">
        <v>441</v>
      </c>
      <c r="K224" s="793" t="s">
        <v>394</v>
      </c>
      <c r="L224" s="795" t="s">
        <v>1882</v>
      </c>
      <c r="M224" s="795" t="s">
        <v>1882</v>
      </c>
      <c r="N224" s="795" t="s">
        <v>1882</v>
      </c>
      <c r="O224" s="795" t="s">
        <v>1882</v>
      </c>
      <c r="P224" s="795" t="s">
        <v>1882</v>
      </c>
      <c r="Q224" s="795" t="s">
        <v>1882</v>
      </c>
      <c r="R224" s="795" t="s">
        <v>1882</v>
      </c>
      <c r="S224" s="795" t="s">
        <v>1882</v>
      </c>
      <c r="T224" s="795" t="s">
        <v>1882</v>
      </c>
      <c r="U224" s="795" t="s">
        <v>1882</v>
      </c>
      <c r="V224" s="795" t="s">
        <v>1882</v>
      </c>
      <c r="W224" s="795" t="s">
        <v>1882</v>
      </c>
      <c r="X224" s="796" t="s">
        <v>1882</v>
      </c>
      <c r="Y224" s="741" t="s">
        <v>1882</v>
      </c>
      <c r="Z224" s="741" t="s">
        <v>1882</v>
      </c>
      <c r="AA224" s="741" t="s">
        <v>1882</v>
      </c>
      <c r="AB224" s="741"/>
      <c r="AC224" s="741"/>
      <c r="AD224" s="741">
        <v>0</v>
      </c>
      <c r="AE224" s="741">
        <v>0</v>
      </c>
      <c r="AF224" s="741">
        <v>0</v>
      </c>
      <c r="AG224" s="798" t="s">
        <v>2049</v>
      </c>
      <c r="AH224" s="798" t="s">
        <v>2050</v>
      </c>
      <c r="AI224" s="798"/>
    </row>
    <row r="225" spans="1:35" ht="18.75" customHeight="1">
      <c r="A225" s="790">
        <v>220</v>
      </c>
      <c r="B225" s="790" t="s">
        <v>39</v>
      </c>
      <c r="C225" s="790" t="s">
        <v>422</v>
      </c>
      <c r="D225" s="790" t="s">
        <v>444</v>
      </c>
      <c r="E225" s="790" t="s">
        <v>445</v>
      </c>
      <c r="F225" s="791" t="s">
        <v>142</v>
      </c>
      <c r="G225" s="791" t="s">
        <v>446</v>
      </c>
      <c r="H225" s="791" t="s">
        <v>30</v>
      </c>
      <c r="I225" s="792" t="s">
        <v>448</v>
      </c>
      <c r="J225" s="792" t="s">
        <v>448</v>
      </c>
      <c r="K225" s="793" t="s">
        <v>394</v>
      </c>
      <c r="L225" s="790">
        <v>2016</v>
      </c>
      <c r="M225" s="804">
        <v>1.4687100893997445E-2</v>
      </c>
      <c r="N225" s="795">
        <v>207</v>
      </c>
      <c r="O225" s="795">
        <v>14094</v>
      </c>
      <c r="P225" s="802">
        <v>1.4758340910680562E-2</v>
      </c>
      <c r="Q225" s="802">
        <v>1.4744933612858141E-2</v>
      </c>
      <c r="R225" s="802">
        <v>0.21392946205913788</v>
      </c>
      <c r="S225" s="796">
        <v>1.4186644883065102E-2</v>
      </c>
      <c r="T225" s="796">
        <v>1.4186644883065102E-2</v>
      </c>
      <c r="U225" s="796">
        <v>1.4186644883065102E-2</v>
      </c>
      <c r="V225" s="796">
        <v>4.2559934649195302E-2</v>
      </c>
      <c r="W225" s="796">
        <v>2.9318894769707064E-2</v>
      </c>
      <c r="X225" s="802">
        <v>4.164187983343248E-4</v>
      </c>
      <c r="Y225" s="741">
        <v>1.4186644883065102E-2</v>
      </c>
      <c r="Z225" s="741">
        <v>1.4186644883065102E-2</v>
      </c>
      <c r="AA225" s="741">
        <v>1.4186644883065102E-2</v>
      </c>
      <c r="AB225" s="741">
        <v>4.2559934649195302E-2</v>
      </c>
      <c r="AC225" s="741">
        <v>2.9318894769707064E-2</v>
      </c>
      <c r="AD225" s="741">
        <v>1.0646569770919313E-2</v>
      </c>
      <c r="AE225" s="741">
        <v>178</v>
      </c>
      <c r="AF225" s="741">
        <v>16719</v>
      </c>
      <c r="AG225" s="798" t="s">
        <v>2195</v>
      </c>
      <c r="AH225" s="798" t="s">
        <v>2016</v>
      </c>
      <c r="AI225" s="798" t="s">
        <v>2196</v>
      </c>
    </row>
    <row r="226" spans="1:35" ht="18.75" customHeight="1">
      <c r="A226" s="790">
        <v>221</v>
      </c>
      <c r="B226" s="790" t="s">
        <v>39</v>
      </c>
      <c r="C226" s="790" t="s">
        <v>422</v>
      </c>
      <c r="D226" s="790" t="s">
        <v>444</v>
      </c>
      <c r="E226" s="790" t="s">
        <v>450</v>
      </c>
      <c r="F226" s="791" t="s">
        <v>752</v>
      </c>
      <c r="G226" s="791" t="s">
        <v>2051</v>
      </c>
      <c r="H226" s="791" t="s">
        <v>30</v>
      </c>
      <c r="I226" s="792" t="s">
        <v>454</v>
      </c>
      <c r="J226" s="792" t="s">
        <v>2052</v>
      </c>
      <c r="K226" s="793" t="s">
        <v>394</v>
      </c>
      <c r="L226" s="790">
        <v>2016</v>
      </c>
      <c r="M226" s="794">
        <v>25.492516880921073</v>
      </c>
      <c r="N226" s="795">
        <v>8324671987.869771</v>
      </c>
      <c r="O226" s="795">
        <v>326553554</v>
      </c>
      <c r="P226" s="796">
        <v>24.237238356781308</v>
      </c>
      <c r="Q226" s="796">
        <v>20.415816246080006</v>
      </c>
      <c r="R226" s="796">
        <v>44.01682570672628</v>
      </c>
      <c r="S226" s="796">
        <v>51924.088203341635</v>
      </c>
      <c r="T226" s="796">
        <v>51924.088203341635</v>
      </c>
      <c r="U226" s="796">
        <v>51924.088203341635</v>
      </c>
      <c r="V226" s="796">
        <v>155772.2646100249</v>
      </c>
      <c r="W226" s="796">
        <v>107309.15523684045</v>
      </c>
      <c r="X226" s="796">
        <v>42.078878154197973</v>
      </c>
      <c r="Y226" s="741">
        <v>51924.088203341635</v>
      </c>
      <c r="Z226" s="741">
        <v>51924.088203341635</v>
      </c>
      <c r="AA226" s="741">
        <v>51924.088203341635</v>
      </c>
      <c r="AB226" s="741">
        <v>155772.2646100249</v>
      </c>
      <c r="AC226" s="741">
        <v>107309.15523684045</v>
      </c>
      <c r="AD226" s="741">
        <v>38.706905157743826</v>
      </c>
      <c r="AE226" s="741">
        <v>14862234403.234037</v>
      </c>
      <c r="AF226" s="741">
        <v>383968554</v>
      </c>
      <c r="AG226" s="798" t="s">
        <v>2197</v>
      </c>
      <c r="AH226" s="798"/>
      <c r="AI226" s="798"/>
    </row>
    <row r="227" spans="1:35" ht="18.75" customHeight="1">
      <c r="A227" s="790">
        <v>222</v>
      </c>
      <c r="B227" s="790" t="s">
        <v>39</v>
      </c>
      <c r="C227" s="790" t="s">
        <v>422</v>
      </c>
      <c r="D227" s="790" t="s">
        <v>456</v>
      </c>
      <c r="E227" s="790" t="s">
        <v>457</v>
      </c>
      <c r="F227" s="791" t="s">
        <v>142</v>
      </c>
      <c r="G227" s="791" t="s">
        <v>458</v>
      </c>
      <c r="H227" s="791" t="s">
        <v>164</v>
      </c>
      <c r="I227" s="792" t="s">
        <v>460</v>
      </c>
      <c r="J227" s="792" t="s">
        <v>460</v>
      </c>
      <c r="K227" s="793" t="s">
        <v>394</v>
      </c>
      <c r="L227" s="790">
        <v>2016</v>
      </c>
      <c r="M227" s="807">
        <v>0.02</v>
      </c>
      <c r="N227" s="795">
        <v>6978197</v>
      </c>
      <c r="O227" s="795">
        <v>323682804</v>
      </c>
      <c r="P227" s="795" t="s">
        <v>1882</v>
      </c>
      <c r="Q227" s="802">
        <v>6.1315466311120261E-2</v>
      </c>
      <c r="R227" s="802">
        <v>0.21392946205913788</v>
      </c>
      <c r="S227" s="796" t="s">
        <v>1881</v>
      </c>
      <c r="T227" s="796" t="s">
        <v>1881</v>
      </c>
      <c r="U227" s="796" t="s">
        <v>1881</v>
      </c>
      <c r="V227" s="796" t="s">
        <v>1881</v>
      </c>
      <c r="W227" s="796" t="s">
        <v>1881</v>
      </c>
      <c r="X227" s="802">
        <v>4.164187983343248E-4</v>
      </c>
      <c r="Y227" s="741" t="s">
        <v>1881</v>
      </c>
      <c r="Z227" s="741" t="s">
        <v>1881</v>
      </c>
      <c r="AA227" s="741" t="s">
        <v>1881</v>
      </c>
      <c r="AB227" s="741"/>
      <c r="AC227" s="741"/>
      <c r="AD227" s="741">
        <v>1.0646569770919313E-2</v>
      </c>
      <c r="AE227" s="741">
        <v>4087948</v>
      </c>
      <c r="AF227" s="741">
        <v>383968554</v>
      </c>
      <c r="AG227" s="798" t="s">
        <v>2053</v>
      </c>
      <c r="AH227" s="798" t="s">
        <v>2016</v>
      </c>
      <c r="AI227" s="798"/>
    </row>
    <row r="228" spans="1:35" ht="18.75" customHeight="1">
      <c r="A228" s="790">
        <v>223</v>
      </c>
      <c r="B228" s="790" t="s">
        <v>39</v>
      </c>
      <c r="C228" s="790" t="s">
        <v>462</v>
      </c>
      <c r="D228" s="790" t="s">
        <v>463</v>
      </c>
      <c r="E228" s="790" t="s">
        <v>51</v>
      </c>
      <c r="F228" s="791" t="s">
        <v>791</v>
      </c>
      <c r="G228" s="791" t="s">
        <v>53</v>
      </c>
      <c r="H228" s="791" t="s">
        <v>30</v>
      </c>
      <c r="I228" s="792" t="s">
        <v>2054</v>
      </c>
      <c r="J228" s="792" t="s">
        <v>52</v>
      </c>
      <c r="K228" s="793" t="s">
        <v>465</v>
      </c>
      <c r="L228" s="790">
        <v>2016</v>
      </c>
      <c r="M228" s="794">
        <v>646.382896032644</v>
      </c>
      <c r="N228" s="795" t="s">
        <v>59</v>
      </c>
      <c r="O228" s="795" t="s">
        <v>59</v>
      </c>
      <c r="P228" s="796">
        <v>47.503317920000001</v>
      </c>
      <c r="Q228" s="796">
        <v>302.2910458942402</v>
      </c>
      <c r="R228" s="796">
        <v>248.094280785423</v>
      </c>
      <c r="S228" s="796">
        <v>676.02408997536736</v>
      </c>
      <c r="T228" s="796">
        <v>676.02408997536736</v>
      </c>
      <c r="U228" s="796">
        <v>676.02408997536736</v>
      </c>
      <c r="V228" s="796">
        <v>2028.0722699261021</v>
      </c>
      <c r="W228" s="796">
        <v>1413.7852146493628</v>
      </c>
      <c r="X228" s="796">
        <v>1372.1801163610985</v>
      </c>
      <c r="Y228" s="741">
        <v>676.02408997536736</v>
      </c>
      <c r="Z228" s="741">
        <v>676.02408997536736</v>
      </c>
      <c r="AA228" s="741">
        <v>676.02408997536736</v>
      </c>
      <c r="AB228" s="741">
        <v>2028.0722699261021</v>
      </c>
      <c r="AC228" s="741">
        <v>1413.7852146493628</v>
      </c>
      <c r="AD228" s="741">
        <v>526.97448667001686</v>
      </c>
      <c r="AE228" s="741" t="s">
        <v>59</v>
      </c>
      <c r="AF228" s="741" t="s">
        <v>59</v>
      </c>
      <c r="AG228" s="798" t="s">
        <v>1997</v>
      </c>
      <c r="AH228" s="798" t="s">
        <v>49</v>
      </c>
      <c r="AI228" s="798"/>
    </row>
    <row r="229" spans="1:35" ht="18.75" customHeight="1">
      <c r="A229" s="790">
        <v>224</v>
      </c>
      <c r="B229" s="790" t="s">
        <v>39</v>
      </c>
      <c r="C229" s="790" t="s">
        <v>462</v>
      </c>
      <c r="D229" s="790" t="s">
        <v>463</v>
      </c>
      <c r="E229" s="790" t="s">
        <v>51</v>
      </c>
      <c r="F229" s="791" t="s">
        <v>791</v>
      </c>
      <c r="G229" s="791" t="s">
        <v>53</v>
      </c>
      <c r="H229" s="791" t="s">
        <v>30</v>
      </c>
      <c r="I229" s="792" t="s">
        <v>2054</v>
      </c>
      <c r="J229" s="792" t="s">
        <v>55</v>
      </c>
      <c r="K229" s="793" t="s">
        <v>465</v>
      </c>
      <c r="L229" s="790">
        <v>2016</v>
      </c>
      <c r="M229" s="794">
        <v>420.14889831378099</v>
      </c>
      <c r="N229" s="795" t="s">
        <v>59</v>
      </c>
      <c r="O229" s="795" t="s">
        <v>59</v>
      </c>
      <c r="P229" s="796">
        <v>35.609316123607819</v>
      </c>
      <c r="Q229" s="796">
        <v>212.64288722449444</v>
      </c>
      <c r="R229" s="796">
        <v>175.97140330581982</v>
      </c>
      <c r="S229" s="796">
        <v>406.57401239875924</v>
      </c>
      <c r="T229" s="796">
        <v>406.57401239875924</v>
      </c>
      <c r="U229" s="796">
        <v>406.57401239875924</v>
      </c>
      <c r="V229" s="796">
        <v>1219.7220371962776</v>
      </c>
      <c r="W229" s="796">
        <v>852.2893368082913</v>
      </c>
      <c r="X229" s="796">
        <v>987.68045846797577</v>
      </c>
      <c r="Y229" s="741">
        <v>406.57401239875924</v>
      </c>
      <c r="Z229" s="741">
        <v>406.57401239875924</v>
      </c>
      <c r="AA229" s="741">
        <v>406.57401239875924</v>
      </c>
      <c r="AB229" s="741">
        <v>1219.7220371962776</v>
      </c>
      <c r="AC229" s="741">
        <v>852.2893368082913</v>
      </c>
      <c r="AD229" s="741">
        <v>458.09941897824945</v>
      </c>
      <c r="AE229" s="741" t="s">
        <v>59</v>
      </c>
      <c r="AF229" s="741" t="s">
        <v>59</v>
      </c>
      <c r="AG229" s="798" t="s">
        <v>1997</v>
      </c>
      <c r="AH229" s="798" t="s">
        <v>49</v>
      </c>
      <c r="AI229" s="798"/>
    </row>
    <row r="230" spans="1:35" ht="18.75" customHeight="1">
      <c r="A230" s="790">
        <v>225</v>
      </c>
      <c r="B230" s="790" t="s">
        <v>39</v>
      </c>
      <c r="C230" s="790" t="s">
        <v>462</v>
      </c>
      <c r="D230" s="790" t="s">
        <v>463</v>
      </c>
      <c r="E230" s="790" t="s">
        <v>51</v>
      </c>
      <c r="F230" s="791" t="s">
        <v>792</v>
      </c>
      <c r="G230" s="791" t="s">
        <v>53</v>
      </c>
      <c r="H230" s="791" t="s">
        <v>30</v>
      </c>
      <c r="I230" s="792" t="s">
        <v>2054</v>
      </c>
      <c r="J230" s="792" t="s">
        <v>56</v>
      </c>
      <c r="K230" s="793" t="s">
        <v>465</v>
      </c>
      <c r="L230" s="790">
        <v>2016</v>
      </c>
      <c r="M230" s="794">
        <v>3264127.5240094699</v>
      </c>
      <c r="N230" s="795" t="s">
        <v>59</v>
      </c>
      <c r="O230" s="795" t="s">
        <v>59</v>
      </c>
      <c r="P230" s="796">
        <v>291761.2069689713</v>
      </c>
      <c r="Q230" s="796">
        <v>2474643.6614470836</v>
      </c>
      <c r="R230" s="796">
        <v>3813183.5491236742</v>
      </c>
      <c r="S230" s="796">
        <v>3443987.4168884717</v>
      </c>
      <c r="T230" s="796">
        <v>3443987.4168884717</v>
      </c>
      <c r="U230" s="796">
        <v>3443987.4168884717</v>
      </c>
      <c r="V230" s="796">
        <v>10331962.250665415</v>
      </c>
      <c r="W230" s="796">
        <v>7117532.4043307127</v>
      </c>
      <c r="X230" s="796">
        <v>9817484.3249429446</v>
      </c>
      <c r="Y230" s="741">
        <v>3443987.4168884717</v>
      </c>
      <c r="Z230" s="741">
        <v>3443987.4168884717</v>
      </c>
      <c r="AA230" s="741">
        <v>3443987.4168884717</v>
      </c>
      <c r="AB230" s="741">
        <v>10331962.250665415</v>
      </c>
      <c r="AC230" s="741">
        <v>7117532.4043307127</v>
      </c>
      <c r="AD230" s="741">
        <v>3936100.0098972721</v>
      </c>
      <c r="AE230" s="741" t="s">
        <v>59</v>
      </c>
      <c r="AF230" s="741" t="s">
        <v>59</v>
      </c>
      <c r="AG230" s="798" t="s">
        <v>1997</v>
      </c>
      <c r="AH230" s="798" t="s">
        <v>49</v>
      </c>
      <c r="AI230" s="798"/>
    </row>
    <row r="231" spans="1:35" ht="18.75" customHeight="1">
      <c r="A231" s="790">
        <v>226</v>
      </c>
      <c r="B231" s="790" t="s">
        <v>39</v>
      </c>
      <c r="C231" s="790" t="s">
        <v>462</v>
      </c>
      <c r="D231" s="790" t="s">
        <v>463</v>
      </c>
      <c r="E231" s="790" t="s">
        <v>51</v>
      </c>
      <c r="F231" s="791" t="s">
        <v>792</v>
      </c>
      <c r="G231" s="791" t="s">
        <v>53</v>
      </c>
      <c r="H231" s="791" t="s">
        <v>30</v>
      </c>
      <c r="I231" s="792" t="s">
        <v>2054</v>
      </c>
      <c r="J231" s="792" t="s">
        <v>57</v>
      </c>
      <c r="K231" s="793" t="s">
        <v>465</v>
      </c>
      <c r="L231" s="790">
        <v>2016</v>
      </c>
      <c r="M231" s="794">
        <v>2121682.97086098</v>
      </c>
      <c r="N231" s="795" t="s">
        <v>59</v>
      </c>
      <c r="O231" s="795" t="s">
        <v>59</v>
      </c>
      <c r="P231" s="796">
        <v>209409.92369477506</v>
      </c>
      <c r="Q231" s="796">
        <v>1679031.8749347455</v>
      </c>
      <c r="R231" s="796">
        <v>3619901.8057929631</v>
      </c>
      <c r="S231" s="796">
        <v>2067666.9880479064</v>
      </c>
      <c r="T231" s="796">
        <v>2067666.9880479064</v>
      </c>
      <c r="U231" s="796">
        <v>2067666.9880479064</v>
      </c>
      <c r="V231" s="796">
        <v>6203000.9641437195</v>
      </c>
      <c r="W231" s="796">
        <v>4275788.9566113846</v>
      </c>
      <c r="X231" s="796">
        <v>7125084.8235437535</v>
      </c>
      <c r="Y231" s="741">
        <v>2067666.9880479064</v>
      </c>
      <c r="Z231" s="741">
        <v>2067666.9880479064</v>
      </c>
      <c r="AA231" s="741">
        <v>2067666.9880479064</v>
      </c>
      <c r="AB231" s="741">
        <v>6203000.9641437195</v>
      </c>
      <c r="AC231" s="741">
        <v>4275788.9566113846</v>
      </c>
      <c r="AD231" s="741">
        <v>3456646.0931983329</v>
      </c>
      <c r="AE231" s="741" t="s">
        <v>59</v>
      </c>
      <c r="AF231" s="741" t="s">
        <v>59</v>
      </c>
      <c r="AG231" s="798" t="s">
        <v>1997</v>
      </c>
      <c r="AH231" s="798" t="s">
        <v>49</v>
      </c>
      <c r="AI231" s="798"/>
    </row>
    <row r="232" spans="1:35" ht="18.75" customHeight="1">
      <c r="A232" s="790">
        <v>227</v>
      </c>
      <c r="B232" s="790" t="s">
        <v>39</v>
      </c>
      <c r="C232" s="790" t="s">
        <v>462</v>
      </c>
      <c r="D232" s="790" t="s">
        <v>463</v>
      </c>
      <c r="E232" s="790" t="s">
        <v>51</v>
      </c>
      <c r="F232" s="791" t="s">
        <v>793</v>
      </c>
      <c r="G232" s="791" t="s">
        <v>53</v>
      </c>
      <c r="H232" s="791" t="s">
        <v>30</v>
      </c>
      <c r="I232" s="792" t="s">
        <v>2054</v>
      </c>
      <c r="J232" s="792" t="s">
        <v>58</v>
      </c>
      <c r="K232" s="793" t="s">
        <v>465</v>
      </c>
      <c r="L232" s="790">
        <v>2016</v>
      </c>
      <c r="M232" s="794">
        <v>48436.624184992601</v>
      </c>
      <c r="N232" s="795" t="s">
        <v>59</v>
      </c>
      <c r="O232" s="795" t="s">
        <v>59</v>
      </c>
      <c r="P232" s="796">
        <v>-1941.6546065559999</v>
      </c>
      <c r="Q232" s="796">
        <v>-4152.9136129688195</v>
      </c>
      <c r="R232" s="796">
        <v>20164.972400358296</v>
      </c>
      <c r="S232" s="796">
        <v>52361.373370805348</v>
      </c>
      <c r="T232" s="796">
        <v>52361.373370805348</v>
      </c>
      <c r="U232" s="796">
        <v>52361.373370805348</v>
      </c>
      <c r="V232" s="796">
        <v>157084.12011241604</v>
      </c>
      <c r="W232" s="796">
        <v>113213.99106190448</v>
      </c>
      <c r="X232" s="796">
        <v>292276.78967055894</v>
      </c>
      <c r="Y232" s="741">
        <v>52361.373370805348</v>
      </c>
      <c r="Z232" s="741">
        <v>52361.373370805348</v>
      </c>
      <c r="AA232" s="741">
        <v>52361.373370805348</v>
      </c>
      <c r="AB232" s="741">
        <v>157084.12011241604</v>
      </c>
      <c r="AC232" s="741">
        <v>113213.99106190448</v>
      </c>
      <c r="AD232" s="741">
        <v>115481.60817746399</v>
      </c>
      <c r="AE232" s="741" t="s">
        <v>59</v>
      </c>
      <c r="AF232" s="741" t="s">
        <v>59</v>
      </c>
      <c r="AG232" s="798" t="s">
        <v>1997</v>
      </c>
      <c r="AH232" s="798" t="s">
        <v>49</v>
      </c>
      <c r="AI232" s="798"/>
    </row>
    <row r="233" spans="1:35" ht="18.75" customHeight="1">
      <c r="A233" s="790">
        <v>228</v>
      </c>
      <c r="B233" s="790" t="s">
        <v>39</v>
      </c>
      <c r="C233" s="790" t="s">
        <v>462</v>
      </c>
      <c r="D233" s="790" t="s">
        <v>463</v>
      </c>
      <c r="E233" s="790" t="s">
        <v>51</v>
      </c>
      <c r="F233" s="791" t="s">
        <v>793</v>
      </c>
      <c r="G233" s="791" t="s">
        <v>53</v>
      </c>
      <c r="H233" s="791" t="s">
        <v>30</v>
      </c>
      <c r="I233" s="792" t="s">
        <v>2054</v>
      </c>
      <c r="J233" s="792" t="s">
        <v>60</v>
      </c>
      <c r="K233" s="793" t="s">
        <v>465</v>
      </c>
      <c r="L233" s="790">
        <v>2016</v>
      </c>
      <c r="M233" s="794">
        <v>31483.806911152398</v>
      </c>
      <c r="N233" s="795" t="s">
        <v>59</v>
      </c>
      <c r="O233" s="795" t="s">
        <v>59</v>
      </c>
      <c r="P233" s="796">
        <v>-1456.1893425801695</v>
      </c>
      <c r="Q233" s="796">
        <v>-3327.7555219824312</v>
      </c>
      <c r="R233" s="796">
        <v>24234.285731187785</v>
      </c>
      <c r="S233" s="796">
        <v>30819.674920961261</v>
      </c>
      <c r="T233" s="796">
        <v>30819.674920961261</v>
      </c>
      <c r="U233" s="796">
        <v>30819.674920961261</v>
      </c>
      <c r="V233" s="796">
        <v>92459.024762883782</v>
      </c>
      <c r="W233" s="796">
        <v>65370.661852309859</v>
      </c>
      <c r="X233" s="796">
        <v>210107.61719250251</v>
      </c>
      <c r="Y233" s="741">
        <v>30819.674920961261</v>
      </c>
      <c r="Z233" s="741">
        <v>30819.674920961261</v>
      </c>
      <c r="AA233" s="741">
        <v>30819.674920961261</v>
      </c>
      <c r="AB233" s="741">
        <v>92459.024762883782</v>
      </c>
      <c r="AC233" s="741">
        <v>65370.661852309859</v>
      </c>
      <c r="AD233" s="741">
        <v>87063.557028289157</v>
      </c>
      <c r="AE233" s="741" t="s">
        <v>59</v>
      </c>
      <c r="AF233" s="741" t="s">
        <v>59</v>
      </c>
      <c r="AG233" s="798" t="s">
        <v>1997</v>
      </c>
      <c r="AH233" s="798" t="s">
        <v>49</v>
      </c>
      <c r="AI233" s="798"/>
    </row>
    <row r="234" spans="1:35" ht="18.75" customHeight="1">
      <c r="A234" s="790">
        <v>229</v>
      </c>
      <c r="B234" s="790" t="s">
        <v>39</v>
      </c>
      <c r="C234" s="790" t="s">
        <v>462</v>
      </c>
      <c r="D234" s="790" t="s">
        <v>463</v>
      </c>
      <c r="E234" s="790" t="s">
        <v>51</v>
      </c>
      <c r="F234" s="791" t="s">
        <v>791</v>
      </c>
      <c r="G234" s="791" t="s">
        <v>53</v>
      </c>
      <c r="H234" s="791" t="s">
        <v>30</v>
      </c>
      <c r="I234" s="792" t="s">
        <v>2054</v>
      </c>
      <c r="J234" s="792" t="s">
        <v>61</v>
      </c>
      <c r="K234" s="793" t="s">
        <v>465</v>
      </c>
      <c r="L234" s="790">
        <v>2016</v>
      </c>
      <c r="M234" s="794">
        <v>7727.1798534766604</v>
      </c>
      <c r="N234" s="795" t="s">
        <v>59</v>
      </c>
      <c r="O234" s="795" t="s">
        <v>59</v>
      </c>
      <c r="P234" s="796">
        <v>489.68608959999995</v>
      </c>
      <c r="Q234" s="796">
        <v>1878.559677919385</v>
      </c>
      <c r="R234" s="796">
        <v>1677.5531917804171</v>
      </c>
      <c r="S234" s="796">
        <v>8081.5310417933315</v>
      </c>
      <c r="T234" s="796">
        <v>8081.5310417933315</v>
      </c>
      <c r="U234" s="796">
        <v>8081.5310417933315</v>
      </c>
      <c r="V234" s="796">
        <v>24244.593125379994</v>
      </c>
      <c r="W234" s="796">
        <v>16901.097561528604</v>
      </c>
      <c r="X234" s="796">
        <v>8754.3145610059328</v>
      </c>
      <c r="Y234" s="741">
        <v>8081.5310417933315</v>
      </c>
      <c r="Z234" s="741">
        <v>8081.5310417933315</v>
      </c>
      <c r="AA234" s="741">
        <v>8081.5310417933315</v>
      </c>
      <c r="AB234" s="741">
        <v>24244.593125379994</v>
      </c>
      <c r="AC234" s="741">
        <v>16901.097561528604</v>
      </c>
      <c r="AD234" s="741">
        <v>4795.1123763680444</v>
      </c>
      <c r="AE234" s="741" t="s">
        <v>59</v>
      </c>
      <c r="AF234" s="741" t="s">
        <v>59</v>
      </c>
      <c r="AG234" s="798" t="s">
        <v>1997</v>
      </c>
      <c r="AH234" s="798" t="s">
        <v>49</v>
      </c>
      <c r="AI234" s="798"/>
    </row>
    <row r="235" spans="1:35" ht="18.75" customHeight="1">
      <c r="A235" s="790">
        <v>230</v>
      </c>
      <c r="B235" s="790" t="s">
        <v>39</v>
      </c>
      <c r="C235" s="790" t="s">
        <v>462</v>
      </c>
      <c r="D235" s="790" t="s">
        <v>463</v>
      </c>
      <c r="E235" s="790" t="s">
        <v>51</v>
      </c>
      <c r="F235" s="791" t="s">
        <v>791</v>
      </c>
      <c r="G235" s="791" t="s">
        <v>53</v>
      </c>
      <c r="H235" s="791" t="s">
        <v>30</v>
      </c>
      <c r="I235" s="792" t="s">
        <v>2054</v>
      </c>
      <c r="J235" s="792" t="s">
        <v>62</v>
      </c>
      <c r="K235" s="793" t="s">
        <v>465</v>
      </c>
      <c r="L235" s="790">
        <v>2016</v>
      </c>
      <c r="M235" s="794">
        <v>5022.6670947473503</v>
      </c>
      <c r="N235" s="795" t="s">
        <v>59</v>
      </c>
      <c r="O235" s="795" t="s">
        <v>59</v>
      </c>
      <c r="P235" s="796">
        <v>367.17370279982521</v>
      </c>
      <c r="Q235" s="796">
        <v>1341.5709739246363</v>
      </c>
      <c r="R235" s="796">
        <v>1216.4466901061928</v>
      </c>
      <c r="S235" s="796">
        <v>4860.3896676326531</v>
      </c>
      <c r="T235" s="796">
        <v>4860.3896676326531</v>
      </c>
      <c r="U235" s="796">
        <v>4860.3896676326531</v>
      </c>
      <c r="V235" s="796">
        <v>14581.169002897959</v>
      </c>
      <c r="W235" s="796">
        <v>10188.694210966119</v>
      </c>
      <c r="X235" s="796">
        <v>5805.9411367620278</v>
      </c>
      <c r="Y235" s="741">
        <v>4860.3896676326531</v>
      </c>
      <c r="Z235" s="741">
        <v>4860.3896676326531</v>
      </c>
      <c r="AA235" s="741">
        <v>4860.3896676326531</v>
      </c>
      <c r="AB235" s="741">
        <v>14581.169002897959</v>
      </c>
      <c r="AC235" s="741">
        <v>10188.694210966119</v>
      </c>
      <c r="AD235" s="741">
        <v>3696.9631093570561</v>
      </c>
      <c r="AE235" s="741" t="s">
        <v>59</v>
      </c>
      <c r="AF235" s="741" t="s">
        <v>59</v>
      </c>
      <c r="AG235" s="798" t="s">
        <v>1997</v>
      </c>
      <c r="AH235" s="798" t="s">
        <v>49</v>
      </c>
      <c r="AI235" s="798"/>
    </row>
    <row r="236" spans="1:35" ht="18.75" customHeight="1">
      <c r="A236" s="790">
        <v>231</v>
      </c>
      <c r="B236" s="790" t="s">
        <v>39</v>
      </c>
      <c r="C236" s="790" t="s">
        <v>462</v>
      </c>
      <c r="D236" s="790" t="s">
        <v>463</v>
      </c>
      <c r="E236" s="790" t="s">
        <v>51</v>
      </c>
      <c r="F236" s="791" t="s">
        <v>792</v>
      </c>
      <c r="G236" s="791" t="s">
        <v>53</v>
      </c>
      <c r="H236" s="791" t="s">
        <v>30</v>
      </c>
      <c r="I236" s="792" t="s">
        <v>2054</v>
      </c>
      <c r="J236" s="792" t="s">
        <v>63</v>
      </c>
      <c r="K236" s="793" t="s">
        <v>465</v>
      </c>
      <c r="L236" s="790">
        <v>2016</v>
      </c>
      <c r="M236" s="794">
        <v>39626177.006536797</v>
      </c>
      <c r="N236" s="795" t="s">
        <v>59</v>
      </c>
      <c r="O236" s="795" t="s">
        <v>59</v>
      </c>
      <c r="P236" s="796">
        <v>3179336.26369166</v>
      </c>
      <c r="Q236" s="796">
        <v>19950472.589892048</v>
      </c>
      <c r="R236" s="796">
        <v>10966376.625013541</v>
      </c>
      <c r="S236" s="796">
        <v>41799714.521067731</v>
      </c>
      <c r="T236" s="796">
        <v>41799714.521067731</v>
      </c>
      <c r="U236" s="796">
        <v>41799714.521067731</v>
      </c>
      <c r="V236" s="796">
        <v>125399143.56320319</v>
      </c>
      <c r="W236" s="796">
        <v>86385571.891625479</v>
      </c>
      <c r="X236" s="796">
        <v>65312681.870597742</v>
      </c>
      <c r="Y236" s="741">
        <v>41799714.521067731</v>
      </c>
      <c r="Z236" s="741">
        <v>41799714.521067731</v>
      </c>
      <c r="AA236" s="741">
        <v>41799714.521067731</v>
      </c>
      <c r="AB236" s="741">
        <v>125399143.56320319</v>
      </c>
      <c r="AC236" s="741">
        <v>86385571.891625479</v>
      </c>
      <c r="AD236" s="741">
        <v>35235683.539573707</v>
      </c>
      <c r="AE236" s="741" t="s">
        <v>59</v>
      </c>
      <c r="AF236" s="741" t="s">
        <v>59</v>
      </c>
      <c r="AG236" s="798" t="s">
        <v>1997</v>
      </c>
      <c r="AH236" s="798" t="s">
        <v>49</v>
      </c>
      <c r="AI236" s="798"/>
    </row>
    <row r="237" spans="1:35" ht="18.75" customHeight="1">
      <c r="A237" s="790">
        <v>232</v>
      </c>
      <c r="B237" s="790" t="s">
        <v>39</v>
      </c>
      <c r="C237" s="790" t="s">
        <v>462</v>
      </c>
      <c r="D237" s="790" t="s">
        <v>463</v>
      </c>
      <c r="E237" s="790" t="s">
        <v>51</v>
      </c>
      <c r="F237" s="791" t="s">
        <v>792</v>
      </c>
      <c r="G237" s="791" t="s">
        <v>53</v>
      </c>
      <c r="H237" s="791" t="s">
        <v>30</v>
      </c>
      <c r="I237" s="792" t="s">
        <v>2054</v>
      </c>
      <c r="J237" s="792" t="s">
        <v>64</v>
      </c>
      <c r="K237" s="793" t="s">
        <v>465</v>
      </c>
      <c r="L237" s="790">
        <v>2016</v>
      </c>
      <c r="M237" s="794">
        <v>25757016.028534401</v>
      </c>
      <c r="N237" s="795" t="s">
        <v>59</v>
      </c>
      <c r="O237" s="795" t="s">
        <v>59</v>
      </c>
      <c r="P237" s="796">
        <v>2271941.1560426923</v>
      </c>
      <c r="Q237" s="796">
        <v>13511816.746513564</v>
      </c>
      <c r="R237" s="796">
        <v>8743089.0239656307</v>
      </c>
      <c r="S237" s="796">
        <v>25095297.793835469</v>
      </c>
      <c r="T237" s="796">
        <v>25095297.793835469</v>
      </c>
      <c r="U237" s="796">
        <v>25095297.793835469</v>
      </c>
      <c r="V237" s="796">
        <v>75285893.381506413</v>
      </c>
      <c r="W237" s="796">
        <v>51895299.286593646</v>
      </c>
      <c r="X237" s="796">
        <v>43343327.729591675</v>
      </c>
      <c r="Y237" s="741">
        <v>25095297.793835469</v>
      </c>
      <c r="Z237" s="741">
        <v>25095297.793835469</v>
      </c>
      <c r="AA237" s="741">
        <v>25095297.793835469</v>
      </c>
      <c r="AB237" s="741">
        <v>75285893.381506413</v>
      </c>
      <c r="AC237" s="741">
        <v>51895299.286593646</v>
      </c>
      <c r="AD237" s="741">
        <v>27414475.355412994</v>
      </c>
      <c r="AE237" s="741" t="s">
        <v>59</v>
      </c>
      <c r="AF237" s="741" t="s">
        <v>59</v>
      </c>
      <c r="AG237" s="798" t="s">
        <v>1997</v>
      </c>
      <c r="AH237" s="798" t="s">
        <v>49</v>
      </c>
      <c r="AI237" s="798"/>
    </row>
    <row r="238" spans="1:35" ht="18.75" customHeight="1">
      <c r="A238" s="790">
        <v>233</v>
      </c>
      <c r="B238" s="790" t="s">
        <v>39</v>
      </c>
      <c r="C238" s="790" t="s">
        <v>462</v>
      </c>
      <c r="D238" s="790" t="s">
        <v>463</v>
      </c>
      <c r="E238" s="790" t="s">
        <v>51</v>
      </c>
      <c r="F238" s="791" t="s">
        <v>793</v>
      </c>
      <c r="G238" s="791" t="s">
        <v>53</v>
      </c>
      <c r="H238" s="791" t="s">
        <v>30</v>
      </c>
      <c r="I238" s="792" t="s">
        <v>2054</v>
      </c>
      <c r="J238" s="792" t="s">
        <v>65</v>
      </c>
      <c r="K238" s="793" t="s">
        <v>465</v>
      </c>
      <c r="L238" s="790">
        <v>2016</v>
      </c>
      <c r="M238" s="794">
        <v>479625.92932918598</v>
      </c>
      <c r="N238" s="795" t="s">
        <v>59</v>
      </c>
      <c r="O238" s="795" t="s">
        <v>59</v>
      </c>
      <c r="P238" s="796">
        <v>-20172.72153278</v>
      </c>
      <c r="Q238" s="796">
        <v>-20162.196607501144</v>
      </c>
      <c r="R238" s="796">
        <v>-24820.18808390445</v>
      </c>
      <c r="S238" s="796">
        <v>518483.77764732618</v>
      </c>
      <c r="T238" s="796">
        <v>518483.77764732618</v>
      </c>
      <c r="U238" s="796">
        <v>518483.77764732618</v>
      </c>
      <c r="V238" s="796">
        <v>1555451.3329419785</v>
      </c>
      <c r="W238" s="796">
        <v>1121048.0930783886</v>
      </c>
      <c r="X238" s="796">
        <v>1856513.035534106</v>
      </c>
      <c r="Y238" s="741">
        <v>518483.77764732618</v>
      </c>
      <c r="Z238" s="741">
        <v>518483.77764732618</v>
      </c>
      <c r="AA238" s="741">
        <v>518483.77764732618</v>
      </c>
      <c r="AB238" s="741">
        <v>1555451.3329419785</v>
      </c>
      <c r="AC238" s="741">
        <v>1121048.0930783886</v>
      </c>
      <c r="AD238" s="741">
        <v>1418645.2185403905</v>
      </c>
      <c r="AE238" s="741" t="s">
        <v>59</v>
      </c>
      <c r="AF238" s="741" t="s">
        <v>59</v>
      </c>
      <c r="AG238" s="798" t="s">
        <v>1997</v>
      </c>
      <c r="AH238" s="798" t="s">
        <v>49</v>
      </c>
      <c r="AI238" s="798"/>
    </row>
    <row r="239" spans="1:35" ht="18.75" customHeight="1">
      <c r="A239" s="790">
        <v>234</v>
      </c>
      <c r="B239" s="790" t="s">
        <v>39</v>
      </c>
      <c r="C239" s="790" t="s">
        <v>462</v>
      </c>
      <c r="D239" s="790" t="s">
        <v>463</v>
      </c>
      <c r="E239" s="790" t="s">
        <v>51</v>
      </c>
      <c r="F239" s="791" t="s">
        <v>793</v>
      </c>
      <c r="G239" s="791" t="s">
        <v>53</v>
      </c>
      <c r="H239" s="791" t="s">
        <v>30</v>
      </c>
      <c r="I239" s="792" t="s">
        <v>2054</v>
      </c>
      <c r="J239" s="792" t="s">
        <v>66</v>
      </c>
      <c r="K239" s="793" t="s">
        <v>465</v>
      </c>
      <c r="L239" s="790">
        <v>2016</v>
      </c>
      <c r="M239" s="794">
        <v>311756.86585649301</v>
      </c>
      <c r="N239" s="795" t="s">
        <v>59</v>
      </c>
      <c r="O239" s="795" t="s">
        <v>59</v>
      </c>
      <c r="P239" s="796">
        <v>-15129.282970951517</v>
      </c>
      <c r="Q239" s="796">
        <v>-17678.491556422654</v>
      </c>
      <c r="R239" s="796">
        <v>-8735.7087914481344</v>
      </c>
      <c r="S239" s="796">
        <v>305177.27955149597</v>
      </c>
      <c r="T239" s="796">
        <v>305177.27955149597</v>
      </c>
      <c r="U239" s="796">
        <v>305177.27955149597</v>
      </c>
      <c r="V239" s="796">
        <v>915531.83865448786</v>
      </c>
      <c r="W239" s="796">
        <v>647302.1145657968</v>
      </c>
      <c r="X239" s="796">
        <v>1225721.3908956638</v>
      </c>
      <c r="Y239" s="741">
        <v>305177.27955149597</v>
      </c>
      <c r="Z239" s="741">
        <v>305177.27955149597</v>
      </c>
      <c r="AA239" s="741">
        <v>305177.27955149597</v>
      </c>
      <c r="AB239" s="741">
        <v>915531.83865448786</v>
      </c>
      <c r="AC239" s="741">
        <v>647302.1145657968</v>
      </c>
      <c r="AD239" s="741">
        <v>981539.22067260125</v>
      </c>
      <c r="AE239" s="741" t="s">
        <v>59</v>
      </c>
      <c r="AF239" s="741" t="s">
        <v>59</v>
      </c>
      <c r="AG239" s="798" t="s">
        <v>1997</v>
      </c>
      <c r="AH239" s="798" t="s">
        <v>49</v>
      </c>
      <c r="AI239" s="798"/>
    </row>
    <row r="240" spans="1:35" ht="18.75" customHeight="1">
      <c r="A240" s="790">
        <v>235</v>
      </c>
      <c r="B240" s="790" t="s">
        <v>39</v>
      </c>
      <c r="C240" s="790" t="s">
        <v>462</v>
      </c>
      <c r="D240" s="790" t="s">
        <v>466</v>
      </c>
      <c r="E240" s="790" t="s">
        <v>42</v>
      </c>
      <c r="F240" s="791" t="s">
        <v>43</v>
      </c>
      <c r="G240" s="791" t="s">
        <v>44</v>
      </c>
      <c r="H240" s="791" t="s">
        <v>30</v>
      </c>
      <c r="I240" s="792" t="s">
        <v>1899</v>
      </c>
      <c r="J240" s="792" t="s">
        <v>46</v>
      </c>
      <c r="K240" s="793" t="s">
        <v>465</v>
      </c>
      <c r="L240" s="790">
        <v>2016</v>
      </c>
      <c r="M240" s="794">
        <v>1666.8940370278206</v>
      </c>
      <c r="N240" s="795" t="s">
        <v>59</v>
      </c>
      <c r="O240" s="795" t="s">
        <v>59</v>
      </c>
      <c r="P240" s="796">
        <v>140.33501253653108</v>
      </c>
      <c r="Q240" s="796">
        <v>1169.438431312358</v>
      </c>
      <c r="R240" s="796">
        <v>2687.7122910709199</v>
      </c>
      <c r="S240" s="796">
        <v>6151.0053413656969</v>
      </c>
      <c r="T240" s="796">
        <v>1046.2355046550006</v>
      </c>
      <c r="U240" s="796">
        <v>1046.2355046550006</v>
      </c>
      <c r="V240" s="796">
        <v>3138.7065139650017</v>
      </c>
      <c r="W240" s="796">
        <v>2162.2074083159782</v>
      </c>
      <c r="X240" s="796">
        <v>6151</v>
      </c>
      <c r="Y240" s="741">
        <v>6151.0053413656969</v>
      </c>
      <c r="Z240" s="741">
        <v>1046.2355046550006</v>
      </c>
      <c r="AA240" s="741">
        <v>1046.2355046550006</v>
      </c>
      <c r="AB240" s="741">
        <v>3138.7065139650017</v>
      </c>
      <c r="AC240" s="741">
        <v>2162.2074083159782</v>
      </c>
      <c r="AD240" s="741">
        <v>698.3958442475863</v>
      </c>
      <c r="AE240" s="741" t="s">
        <v>59</v>
      </c>
      <c r="AF240" s="741" t="s">
        <v>59</v>
      </c>
      <c r="AG240" s="798" t="s">
        <v>1999</v>
      </c>
      <c r="AH240" s="798" t="s">
        <v>1937</v>
      </c>
      <c r="AI240" s="798"/>
    </row>
    <row r="241" spans="1:35" ht="18.75" customHeight="1">
      <c r="A241" s="790">
        <v>236</v>
      </c>
      <c r="B241" s="790" t="s">
        <v>39</v>
      </c>
      <c r="C241" s="790" t="s">
        <v>462</v>
      </c>
      <c r="D241" s="790" t="s">
        <v>468</v>
      </c>
      <c r="E241" s="790" t="s">
        <v>325</v>
      </c>
      <c r="F241" s="791" t="s">
        <v>142</v>
      </c>
      <c r="G241" s="791" t="s">
        <v>1951</v>
      </c>
      <c r="H241" s="791" t="s">
        <v>30</v>
      </c>
      <c r="I241" s="792" t="s">
        <v>2055</v>
      </c>
      <c r="J241" s="792" t="s">
        <v>327</v>
      </c>
      <c r="K241" s="793" t="s">
        <v>465</v>
      </c>
      <c r="L241" s="790">
        <v>2016</v>
      </c>
      <c r="M241" s="804">
        <v>7.1428571428571425E-2</v>
      </c>
      <c r="N241" s="795">
        <v>39</v>
      </c>
      <c r="O241" s="795">
        <v>546</v>
      </c>
      <c r="P241" s="802">
        <v>1.8761726078799251E-2</v>
      </c>
      <c r="Q241" s="802">
        <v>3.2015065913370999E-2</v>
      </c>
      <c r="R241" s="802">
        <v>0.06</v>
      </c>
      <c r="S241" s="796" t="s">
        <v>1881</v>
      </c>
      <c r="T241" s="796" t="s">
        <v>1881</v>
      </c>
      <c r="U241" s="796" t="s">
        <v>1881</v>
      </c>
      <c r="V241" s="796" t="s">
        <v>1881</v>
      </c>
      <c r="W241" s="796" t="s">
        <v>1881</v>
      </c>
      <c r="X241" s="802">
        <v>8.1081081081081086E-2</v>
      </c>
      <c r="Y241" s="741" t="s">
        <v>1881</v>
      </c>
      <c r="Z241" s="741" t="s">
        <v>1881</v>
      </c>
      <c r="AA241" s="741" t="s">
        <v>1881</v>
      </c>
      <c r="AB241" s="741"/>
      <c r="AC241" s="741"/>
      <c r="AD241" s="741">
        <v>1.5438054805094559E-3</v>
      </c>
      <c r="AE241" s="741">
        <v>16</v>
      </c>
      <c r="AF241" s="741">
        <v>27424839.355412994</v>
      </c>
      <c r="AG241" s="798" t="s">
        <v>2007</v>
      </c>
      <c r="AH241" s="798" t="s">
        <v>2008</v>
      </c>
      <c r="AI241" s="798"/>
    </row>
    <row r="242" spans="1:35" ht="18.75" customHeight="1">
      <c r="A242" s="790">
        <v>237</v>
      </c>
      <c r="B242" s="790" t="s">
        <v>39</v>
      </c>
      <c r="C242" s="790" t="s">
        <v>462</v>
      </c>
      <c r="D242" s="790" t="s">
        <v>468</v>
      </c>
      <c r="E242" s="790" t="s">
        <v>329</v>
      </c>
      <c r="F242" s="791" t="s">
        <v>142</v>
      </c>
      <c r="G242" s="791" t="s">
        <v>1951</v>
      </c>
      <c r="H242" s="791" t="s">
        <v>30</v>
      </c>
      <c r="I242" s="792" t="s">
        <v>2055</v>
      </c>
      <c r="J242" s="792" t="s">
        <v>330</v>
      </c>
      <c r="K242" s="793" t="s">
        <v>465</v>
      </c>
      <c r="L242" s="790">
        <v>2016</v>
      </c>
      <c r="M242" s="804">
        <v>0</v>
      </c>
      <c r="N242" s="795" t="s">
        <v>59</v>
      </c>
      <c r="O242" s="795" t="s">
        <v>59</v>
      </c>
      <c r="P242" s="802">
        <v>0</v>
      </c>
      <c r="Q242" s="802">
        <v>0</v>
      </c>
      <c r="R242" s="802">
        <v>0</v>
      </c>
      <c r="S242" s="796">
        <v>0</v>
      </c>
      <c r="T242" s="796">
        <v>0</v>
      </c>
      <c r="U242" s="796">
        <v>0</v>
      </c>
      <c r="V242" s="796">
        <v>0</v>
      </c>
      <c r="W242" s="796">
        <v>0</v>
      </c>
      <c r="X242" s="802" t="s">
        <v>1882</v>
      </c>
      <c r="Y242" s="741">
        <v>0</v>
      </c>
      <c r="Z242" s="741">
        <v>0</v>
      </c>
      <c r="AA242" s="741">
        <v>0</v>
      </c>
      <c r="AB242" s="741">
        <v>0</v>
      </c>
      <c r="AC242" s="741">
        <v>0</v>
      </c>
      <c r="AD242" s="741" t="s">
        <v>59</v>
      </c>
      <c r="AE242" s="741" t="s">
        <v>59</v>
      </c>
      <c r="AF242" s="741" t="s">
        <v>59</v>
      </c>
      <c r="AG242" s="798" t="s">
        <v>2009</v>
      </c>
      <c r="AH242" s="798" t="s">
        <v>2010</v>
      </c>
      <c r="AI242" s="798"/>
    </row>
    <row r="243" spans="1:35" ht="18.75" customHeight="1">
      <c r="A243" s="790">
        <v>238</v>
      </c>
      <c r="B243" s="790" t="s">
        <v>39</v>
      </c>
      <c r="C243" s="790" t="s">
        <v>462</v>
      </c>
      <c r="D243" s="790" t="s">
        <v>468</v>
      </c>
      <c r="E243" s="790" t="s">
        <v>331</v>
      </c>
      <c r="F243" s="791" t="s">
        <v>142</v>
      </c>
      <c r="G243" s="791" t="s">
        <v>1951</v>
      </c>
      <c r="H243" s="791" t="s">
        <v>30</v>
      </c>
      <c r="I243" s="792" t="s">
        <v>2055</v>
      </c>
      <c r="J243" s="792" t="s">
        <v>333</v>
      </c>
      <c r="K243" s="793" t="s">
        <v>465</v>
      </c>
      <c r="L243" s="790">
        <v>2016</v>
      </c>
      <c r="M243" s="804">
        <v>0</v>
      </c>
      <c r="N243" s="795" t="s">
        <v>59</v>
      </c>
      <c r="O243" s="795" t="s">
        <v>59</v>
      </c>
      <c r="P243" s="802">
        <v>0</v>
      </c>
      <c r="Q243" s="802">
        <v>0</v>
      </c>
      <c r="R243" s="802">
        <v>0</v>
      </c>
      <c r="S243" s="796">
        <v>0.49279394107471564</v>
      </c>
      <c r="T243" s="796">
        <v>0.49279394107471564</v>
      </c>
      <c r="U243" s="796">
        <v>0.49279394107471564</v>
      </c>
      <c r="V243" s="796">
        <v>1.4783818232241468</v>
      </c>
      <c r="W243" s="796">
        <v>1.0184348604345417</v>
      </c>
      <c r="X243" s="802" t="s">
        <v>1882</v>
      </c>
      <c r="Y243" s="741">
        <v>0.49279394107471564</v>
      </c>
      <c r="Z243" s="741">
        <v>0.49279394107471564</v>
      </c>
      <c r="AA243" s="741">
        <v>0.49279394107471564</v>
      </c>
      <c r="AB243" s="741">
        <v>1.4783818232241468</v>
      </c>
      <c r="AC243" s="741">
        <v>1.0184348604345417</v>
      </c>
      <c r="AD243" s="741" t="s">
        <v>59</v>
      </c>
      <c r="AE243" s="741" t="s">
        <v>59</v>
      </c>
      <c r="AF243" s="741" t="s">
        <v>59</v>
      </c>
      <c r="AG243" s="798" t="s">
        <v>2012</v>
      </c>
      <c r="AH243" s="798" t="s">
        <v>2056</v>
      </c>
      <c r="AI243" s="798"/>
    </row>
    <row r="244" spans="1:35" ht="18.75" customHeight="1">
      <c r="A244" s="790">
        <v>239</v>
      </c>
      <c r="B244" s="790" t="s">
        <v>39</v>
      </c>
      <c r="C244" s="790" t="s">
        <v>462</v>
      </c>
      <c r="D244" s="790" t="s">
        <v>472</v>
      </c>
      <c r="E244" s="790" t="s">
        <v>473</v>
      </c>
      <c r="F244" s="791" t="s">
        <v>142</v>
      </c>
      <c r="G244" s="791" t="s">
        <v>474</v>
      </c>
      <c r="H244" s="791" t="s">
        <v>164</v>
      </c>
      <c r="I244" s="792" t="s">
        <v>2057</v>
      </c>
      <c r="J244" s="792" t="s">
        <v>476</v>
      </c>
      <c r="K244" s="793" t="s">
        <v>465</v>
      </c>
      <c r="L244" s="790" t="s">
        <v>59</v>
      </c>
      <c r="M244" s="808" t="s">
        <v>59</v>
      </c>
      <c r="N244" s="808" t="s">
        <v>59</v>
      </c>
      <c r="O244" s="808" t="s">
        <v>59</v>
      </c>
      <c r="P244" s="795" t="s">
        <v>1882</v>
      </c>
      <c r="Q244" s="795" t="s">
        <v>1882</v>
      </c>
      <c r="R244" s="795" t="s">
        <v>1882</v>
      </c>
      <c r="S244" s="795" t="s">
        <v>1882</v>
      </c>
      <c r="T244" s="795" t="s">
        <v>1882</v>
      </c>
      <c r="U244" s="795" t="s">
        <v>1882</v>
      </c>
      <c r="V244" s="795" t="s">
        <v>1882</v>
      </c>
      <c r="W244" s="795" t="s">
        <v>1882</v>
      </c>
      <c r="X244" s="795" t="s">
        <v>1882</v>
      </c>
      <c r="Y244" s="741" t="s">
        <v>1882</v>
      </c>
      <c r="Z244" s="741" t="s">
        <v>1882</v>
      </c>
      <c r="AA244" s="741" t="s">
        <v>1882</v>
      </c>
      <c r="AB244" s="741"/>
      <c r="AC244" s="741"/>
      <c r="AD244" s="741" t="s">
        <v>1809</v>
      </c>
      <c r="AE244" s="741" t="s">
        <v>59</v>
      </c>
      <c r="AF244" s="741" t="s">
        <v>59</v>
      </c>
      <c r="AG244" s="798" t="s">
        <v>2058</v>
      </c>
      <c r="AH244" s="798" t="s">
        <v>2059</v>
      </c>
      <c r="AI244" s="798"/>
    </row>
    <row r="245" spans="1:35" ht="18.75" customHeight="1">
      <c r="A245" s="790">
        <v>240</v>
      </c>
      <c r="B245" s="790" t="s">
        <v>39</v>
      </c>
      <c r="C245" s="790" t="s">
        <v>462</v>
      </c>
      <c r="D245" s="790" t="s">
        <v>472</v>
      </c>
      <c r="E245" s="790" t="s">
        <v>479</v>
      </c>
      <c r="F245" s="791" t="s">
        <v>142</v>
      </c>
      <c r="G245" s="791" t="s">
        <v>474</v>
      </c>
      <c r="H245" s="791" t="s">
        <v>164</v>
      </c>
      <c r="I245" s="792" t="s">
        <v>2057</v>
      </c>
      <c r="J245" s="792" t="s">
        <v>481</v>
      </c>
      <c r="K245" s="793" t="s">
        <v>465</v>
      </c>
      <c r="L245" s="790" t="s">
        <v>59</v>
      </c>
      <c r="M245" s="808" t="s">
        <v>59</v>
      </c>
      <c r="N245" s="808" t="s">
        <v>59</v>
      </c>
      <c r="O245" s="808" t="s">
        <v>59</v>
      </c>
      <c r="P245" s="795" t="s">
        <v>1882</v>
      </c>
      <c r="Q245" s="795" t="s">
        <v>1882</v>
      </c>
      <c r="R245" s="795" t="s">
        <v>1882</v>
      </c>
      <c r="S245" s="795" t="s">
        <v>1882</v>
      </c>
      <c r="T245" s="795" t="s">
        <v>1882</v>
      </c>
      <c r="U245" s="795" t="s">
        <v>1882</v>
      </c>
      <c r="V245" s="795" t="s">
        <v>1882</v>
      </c>
      <c r="W245" s="795" t="s">
        <v>1882</v>
      </c>
      <c r="X245" s="795" t="s">
        <v>1882</v>
      </c>
      <c r="Y245" s="741" t="s">
        <v>1882</v>
      </c>
      <c r="Z245" s="741" t="s">
        <v>1882</v>
      </c>
      <c r="AA245" s="741" t="s">
        <v>1882</v>
      </c>
      <c r="AB245" s="741"/>
      <c r="AC245" s="741"/>
      <c r="AD245" s="741" t="s">
        <v>1809</v>
      </c>
      <c r="AE245" s="741" t="s">
        <v>59</v>
      </c>
      <c r="AF245" s="741" t="s">
        <v>59</v>
      </c>
      <c r="AG245" s="798" t="s">
        <v>2060</v>
      </c>
      <c r="AH245" s="798" t="s">
        <v>2061</v>
      </c>
      <c r="AI245" s="798"/>
    </row>
    <row r="246" spans="1:35" ht="18.75" customHeight="1">
      <c r="A246" s="790">
        <v>241</v>
      </c>
      <c r="B246" s="790" t="s">
        <v>39</v>
      </c>
      <c r="C246" s="790" t="s">
        <v>462</v>
      </c>
      <c r="D246" s="790" t="s">
        <v>472</v>
      </c>
      <c r="E246" s="790" t="s">
        <v>483</v>
      </c>
      <c r="F246" s="791" t="s">
        <v>142</v>
      </c>
      <c r="G246" s="791" t="s">
        <v>474</v>
      </c>
      <c r="H246" s="791" t="s">
        <v>164</v>
      </c>
      <c r="I246" s="792" t="s">
        <v>2057</v>
      </c>
      <c r="J246" s="792" t="s">
        <v>485</v>
      </c>
      <c r="K246" s="793" t="s">
        <v>465</v>
      </c>
      <c r="L246" s="790" t="s">
        <v>59</v>
      </c>
      <c r="M246" s="808" t="s">
        <v>59</v>
      </c>
      <c r="N246" s="808" t="s">
        <v>59</v>
      </c>
      <c r="O246" s="808" t="s">
        <v>59</v>
      </c>
      <c r="P246" s="795" t="s">
        <v>1882</v>
      </c>
      <c r="Q246" s="795" t="s">
        <v>1882</v>
      </c>
      <c r="R246" s="795" t="s">
        <v>1882</v>
      </c>
      <c r="S246" s="795" t="s">
        <v>1882</v>
      </c>
      <c r="T246" s="795" t="s">
        <v>1882</v>
      </c>
      <c r="U246" s="795" t="s">
        <v>1882</v>
      </c>
      <c r="V246" s="795" t="s">
        <v>1882</v>
      </c>
      <c r="W246" s="795" t="s">
        <v>1882</v>
      </c>
      <c r="X246" s="795" t="s">
        <v>1882</v>
      </c>
      <c r="Y246" s="741" t="s">
        <v>1882</v>
      </c>
      <c r="Z246" s="741" t="s">
        <v>1882</v>
      </c>
      <c r="AA246" s="741" t="s">
        <v>1882</v>
      </c>
      <c r="AB246" s="741"/>
      <c r="AC246" s="741"/>
      <c r="AD246" s="741" t="s">
        <v>1809</v>
      </c>
      <c r="AE246" s="741" t="s">
        <v>59</v>
      </c>
      <c r="AF246" s="741" t="s">
        <v>59</v>
      </c>
      <c r="AG246" s="798" t="s">
        <v>2062</v>
      </c>
      <c r="AH246" s="798" t="s">
        <v>2063</v>
      </c>
      <c r="AI246" s="798"/>
    </row>
    <row r="247" spans="1:35" ht="18.75" customHeight="1">
      <c r="A247" s="790">
        <v>242</v>
      </c>
      <c r="B247" s="790" t="s">
        <v>39</v>
      </c>
      <c r="C247" s="790" t="s">
        <v>462</v>
      </c>
      <c r="D247" s="790" t="s">
        <v>487</v>
      </c>
      <c r="E247" s="790" t="s">
        <v>91</v>
      </c>
      <c r="F247" s="791" t="s">
        <v>797</v>
      </c>
      <c r="G247" s="791" t="s">
        <v>93</v>
      </c>
      <c r="H247" s="791" t="s">
        <v>30</v>
      </c>
      <c r="I247" s="792" t="s">
        <v>2064</v>
      </c>
      <c r="J247" s="792" t="s">
        <v>92</v>
      </c>
      <c r="K247" s="793" t="s">
        <v>465</v>
      </c>
      <c r="L247" s="790">
        <v>2016</v>
      </c>
      <c r="M247" s="794">
        <v>642.94933091567736</v>
      </c>
      <c r="N247" s="795">
        <v>3229320.4479800011</v>
      </c>
      <c r="O247" s="795">
        <v>5022.6670947473549</v>
      </c>
      <c r="P247" s="796">
        <v>2279.073617715474</v>
      </c>
      <c r="Q247" s="796">
        <v>219.63457345377984</v>
      </c>
      <c r="R247" s="796">
        <v>1087.7047566259882</v>
      </c>
      <c r="S247" s="796">
        <v>645.8541665847365</v>
      </c>
      <c r="T247" s="796">
        <v>645.8541665847365</v>
      </c>
      <c r="U247" s="796">
        <v>645.8541665847365</v>
      </c>
      <c r="V247" s="796">
        <v>1937.5624997542095</v>
      </c>
      <c r="W247" s="796">
        <v>1285.2497915036256</v>
      </c>
      <c r="X247" s="796">
        <v>384.1424812936512</v>
      </c>
      <c r="Y247" s="741">
        <v>645.8541665847365</v>
      </c>
      <c r="Z247" s="741">
        <v>645.8541665847365</v>
      </c>
      <c r="AA247" s="741">
        <v>645.8541665847365</v>
      </c>
      <c r="AB247" s="741">
        <v>1937.5624997542095</v>
      </c>
      <c r="AC247" s="741">
        <v>1285.2497915036256</v>
      </c>
      <c r="AD247" s="741">
        <v>237.86750549205007</v>
      </c>
      <c r="AE247" s="741">
        <v>879387.39271889604</v>
      </c>
      <c r="AF247" s="741">
        <v>3696.9631093570561</v>
      </c>
      <c r="AG247" s="798" t="s">
        <v>1958</v>
      </c>
      <c r="AH247" s="798" t="s">
        <v>1959</v>
      </c>
      <c r="AI247" s="798"/>
    </row>
    <row r="248" spans="1:35" ht="18.75" customHeight="1">
      <c r="A248" s="790">
        <v>243</v>
      </c>
      <c r="B248" s="790" t="s">
        <v>39</v>
      </c>
      <c r="C248" s="790" t="s">
        <v>462</v>
      </c>
      <c r="D248" s="790" t="s">
        <v>487</v>
      </c>
      <c r="E248" s="790" t="s">
        <v>91</v>
      </c>
      <c r="F248" s="791" t="s">
        <v>798</v>
      </c>
      <c r="G248" s="791" t="s">
        <v>93</v>
      </c>
      <c r="H248" s="791" t="s">
        <v>30</v>
      </c>
      <c r="I248" s="792" t="s">
        <v>2064</v>
      </c>
      <c r="J248" s="792" t="s">
        <v>95</v>
      </c>
      <c r="K248" s="793" t="s">
        <v>465</v>
      </c>
      <c r="L248" s="790">
        <v>2016</v>
      </c>
      <c r="M248" s="799">
        <v>0.12537634190243419</v>
      </c>
      <c r="N248" s="795">
        <v>3229320.4479800011</v>
      </c>
      <c r="O248" s="795">
        <v>25757016.02853436</v>
      </c>
      <c r="P248" s="800">
        <v>0.36832639654609944</v>
      </c>
      <c r="Q248" s="800">
        <v>3.6981760817995001E-2</v>
      </c>
      <c r="R248" s="800">
        <v>0.15133493978885609</v>
      </c>
      <c r="S248" s="796">
        <v>0.12339609867903148</v>
      </c>
      <c r="T248" s="796">
        <v>0.12339609867903148</v>
      </c>
      <c r="U248" s="796">
        <v>0.12339609867903148</v>
      </c>
      <c r="V248" s="796">
        <v>0.37018829603709447</v>
      </c>
      <c r="W248" s="796">
        <v>0.24555823637127264</v>
      </c>
      <c r="X248" s="800">
        <v>5.145679280638054E-2</v>
      </c>
      <c r="Y248" s="741">
        <v>0.12339609867903148</v>
      </c>
      <c r="Z248" s="741">
        <v>0.12339609867903148</v>
      </c>
      <c r="AA248" s="741">
        <v>0.12339609867903148</v>
      </c>
      <c r="AB248" s="741">
        <v>0.37018829603709447</v>
      </c>
      <c r="AC248" s="741">
        <v>0.24555823637127264</v>
      </c>
      <c r="AD248" s="741">
        <v>3.2077483932052009E-2</v>
      </c>
      <c r="AE248" s="741">
        <v>879387.39271889604</v>
      </c>
      <c r="AF248" s="741">
        <v>27414475.355412994</v>
      </c>
      <c r="AG248" s="798" t="s">
        <v>1961</v>
      </c>
      <c r="AH248" s="798" t="s">
        <v>1959</v>
      </c>
      <c r="AI248" s="798"/>
    </row>
    <row r="249" spans="1:35" ht="18.75" customHeight="1">
      <c r="A249" s="790">
        <v>244</v>
      </c>
      <c r="B249" s="790" t="s">
        <v>39</v>
      </c>
      <c r="C249" s="790" t="s">
        <v>462</v>
      </c>
      <c r="D249" s="790" t="s">
        <v>487</v>
      </c>
      <c r="E249" s="790" t="s">
        <v>91</v>
      </c>
      <c r="F249" s="791" t="s">
        <v>799</v>
      </c>
      <c r="G249" s="791" t="s">
        <v>93</v>
      </c>
      <c r="H249" s="791" t="s">
        <v>30</v>
      </c>
      <c r="I249" s="792" t="s">
        <v>2064</v>
      </c>
      <c r="J249" s="792" t="s">
        <v>96</v>
      </c>
      <c r="K249" s="793" t="s">
        <v>465</v>
      </c>
      <c r="L249" s="790">
        <v>2016</v>
      </c>
      <c r="M249" s="799">
        <v>0.93905945941463409</v>
      </c>
      <c r="N249" s="795">
        <v>292758.23391999915</v>
      </c>
      <c r="O249" s="795">
        <v>311756.86585649324</v>
      </c>
      <c r="P249" s="800">
        <v>2.8731189213291426</v>
      </c>
      <c r="Q249" s="800">
        <v>0.41831196269124932</v>
      </c>
      <c r="R249" s="800">
        <v>0.31540465908446702</v>
      </c>
      <c r="S249" s="796">
        <v>0.9242388365030243</v>
      </c>
      <c r="T249" s="796">
        <v>0.9242388365030243</v>
      </c>
      <c r="U249" s="796">
        <v>0.9242388365030243</v>
      </c>
      <c r="V249" s="796">
        <v>2.7727165095090731</v>
      </c>
      <c r="W249" s="796">
        <v>1.8392352846410183</v>
      </c>
      <c r="X249" s="800">
        <v>0.73082070892054685</v>
      </c>
      <c r="Y249" s="741">
        <v>0.9242388365030243</v>
      </c>
      <c r="Z249" s="741">
        <v>0.9242388365030243</v>
      </c>
      <c r="AA249" s="741">
        <v>0.9242388365030243</v>
      </c>
      <c r="AB249" s="741">
        <v>2.7727165095090731</v>
      </c>
      <c r="AC249" s="741">
        <v>1.8392352846410183</v>
      </c>
      <c r="AD249" s="741">
        <v>0.39160901698294409</v>
      </c>
      <c r="AE249" s="741">
        <v>384379.60933780239</v>
      </c>
      <c r="AF249" s="741">
        <v>981539.22067260125</v>
      </c>
      <c r="AG249" s="798" t="s">
        <v>2021</v>
      </c>
      <c r="AH249" s="798" t="s">
        <v>1959</v>
      </c>
      <c r="AI249" s="798"/>
    </row>
    <row r="250" spans="1:35" ht="18.75" customHeight="1">
      <c r="A250" s="790">
        <v>245</v>
      </c>
      <c r="B250" s="790" t="s">
        <v>39</v>
      </c>
      <c r="C250" s="790" t="s">
        <v>462</v>
      </c>
      <c r="D250" s="790" t="s">
        <v>487</v>
      </c>
      <c r="E250" s="790" t="s">
        <v>91</v>
      </c>
      <c r="F250" s="791" t="s">
        <v>797</v>
      </c>
      <c r="G250" s="791" t="s">
        <v>93</v>
      </c>
      <c r="H250" s="791" t="s">
        <v>30</v>
      </c>
      <c r="I250" s="792" t="s">
        <v>2064</v>
      </c>
      <c r="J250" s="792" t="s">
        <v>97</v>
      </c>
      <c r="K250" s="793" t="s">
        <v>465</v>
      </c>
      <c r="L250" s="790">
        <v>2016</v>
      </c>
      <c r="M250" s="794">
        <v>762.10704985271639</v>
      </c>
      <c r="N250" s="795">
        <v>3827810.0019702204</v>
      </c>
      <c r="O250" s="795">
        <v>5022.6670947473549</v>
      </c>
      <c r="P250" s="796">
        <v>2496.4886004839304</v>
      </c>
      <c r="Q250" s="796">
        <v>587.01052905849212</v>
      </c>
      <c r="R250" s="796">
        <v>1168.1836618815444</v>
      </c>
      <c r="S250" s="796">
        <v>787.61683518185328</v>
      </c>
      <c r="T250" s="796">
        <v>787.61683518185328</v>
      </c>
      <c r="U250" s="796">
        <v>787.61683518185328</v>
      </c>
      <c r="V250" s="796">
        <v>2362.8505055455598</v>
      </c>
      <c r="W250" s="796">
        <v>1567.3575020118881</v>
      </c>
      <c r="X250" s="796">
        <v>634.57457503020896</v>
      </c>
      <c r="Y250" s="741">
        <v>787.61683518185328</v>
      </c>
      <c r="Z250" s="741">
        <v>787.61683518185328</v>
      </c>
      <c r="AA250" s="741">
        <v>787.61683518185328</v>
      </c>
      <c r="AB250" s="741">
        <v>2362.8505055455598</v>
      </c>
      <c r="AC250" s="741">
        <v>1567.3575020118881</v>
      </c>
      <c r="AD250" s="741">
        <v>387.03783924478273</v>
      </c>
      <c r="AE250" s="741">
        <v>1430864.6136132283</v>
      </c>
      <c r="AF250" s="741">
        <v>3696.9631093570561</v>
      </c>
      <c r="AG250" s="798" t="s">
        <v>1962</v>
      </c>
      <c r="AH250" s="798" t="s">
        <v>1959</v>
      </c>
      <c r="AI250" s="798"/>
    </row>
    <row r="251" spans="1:35" ht="18.75" customHeight="1">
      <c r="A251" s="790">
        <v>246</v>
      </c>
      <c r="B251" s="790" t="s">
        <v>39</v>
      </c>
      <c r="C251" s="790" t="s">
        <v>462</v>
      </c>
      <c r="D251" s="790" t="s">
        <v>487</v>
      </c>
      <c r="E251" s="790" t="s">
        <v>91</v>
      </c>
      <c r="F251" s="791" t="s">
        <v>798</v>
      </c>
      <c r="G251" s="791" t="s">
        <v>93</v>
      </c>
      <c r="H251" s="791" t="s">
        <v>30</v>
      </c>
      <c r="I251" s="792" t="s">
        <v>2064</v>
      </c>
      <c r="J251" s="792" t="s">
        <v>98</v>
      </c>
      <c r="K251" s="793" t="s">
        <v>465</v>
      </c>
      <c r="L251" s="790">
        <v>2016</v>
      </c>
      <c r="M251" s="799">
        <v>0.14861232363755425</v>
      </c>
      <c r="N251" s="795">
        <v>3827810.0019702204</v>
      </c>
      <c r="O251" s="795">
        <v>25757016.02853436</v>
      </c>
      <c r="P251" s="800">
        <v>0.40346333838763115</v>
      </c>
      <c r="Q251" s="800">
        <v>9.8840007936429303E-2</v>
      </c>
      <c r="R251" s="800">
        <v>0.16253216054837744</v>
      </c>
      <c r="S251" s="796">
        <v>0.15048109889775743</v>
      </c>
      <c r="T251" s="796">
        <v>0.15048109889775743</v>
      </c>
      <c r="U251" s="796">
        <v>0.15048109889775743</v>
      </c>
      <c r="V251" s="796">
        <v>0.45144329669327232</v>
      </c>
      <c r="W251" s="796">
        <v>0.29945738680653727</v>
      </c>
      <c r="X251" s="800">
        <v>8.5002763343336882E-2</v>
      </c>
      <c r="Y251" s="741">
        <v>0.15048109889775743</v>
      </c>
      <c r="Z251" s="741">
        <v>0.15048109889775743</v>
      </c>
      <c r="AA251" s="741">
        <v>0.15048109889775743</v>
      </c>
      <c r="AB251" s="741">
        <v>0.45144329669327232</v>
      </c>
      <c r="AC251" s="741">
        <v>0.29945738680653727</v>
      </c>
      <c r="AD251" s="741">
        <v>5.2193762421599794E-2</v>
      </c>
      <c r="AE251" s="741">
        <v>1430864.6136132283</v>
      </c>
      <c r="AF251" s="741">
        <v>0</v>
      </c>
      <c r="AG251" s="798" t="s">
        <v>2023</v>
      </c>
      <c r="AH251" s="798" t="s">
        <v>1959</v>
      </c>
      <c r="AI251" s="798"/>
    </row>
    <row r="252" spans="1:35" ht="18.75" customHeight="1">
      <c r="A252" s="790">
        <v>247</v>
      </c>
      <c r="B252" s="790" t="s">
        <v>39</v>
      </c>
      <c r="C252" s="790" t="s">
        <v>462</v>
      </c>
      <c r="D252" s="790" t="s">
        <v>487</v>
      </c>
      <c r="E252" s="790" t="s">
        <v>91</v>
      </c>
      <c r="F252" s="791" t="s">
        <v>799</v>
      </c>
      <c r="G252" s="791" t="s">
        <v>93</v>
      </c>
      <c r="H252" s="791" t="s">
        <v>30</v>
      </c>
      <c r="I252" s="792" t="s">
        <v>2064</v>
      </c>
      <c r="J252" s="792" t="s">
        <v>99</v>
      </c>
      <c r="K252" s="793" t="s">
        <v>465</v>
      </c>
      <c r="L252" s="790">
        <v>2016</v>
      </c>
      <c r="M252" s="799">
        <v>1.1130952313637799</v>
      </c>
      <c r="N252" s="795">
        <v>347015.08072978019</v>
      </c>
      <c r="O252" s="795">
        <v>311756.86585649324</v>
      </c>
      <c r="P252" s="800">
        <v>3.1472035739340263</v>
      </c>
      <c r="Q252" s="800">
        <v>1.0248836267359509</v>
      </c>
      <c r="R252" s="800">
        <v>0.3387413426109398</v>
      </c>
      <c r="S252" s="796">
        <v>1.1271059397325469</v>
      </c>
      <c r="T252" s="796">
        <v>1.1271059397325469</v>
      </c>
      <c r="U252" s="796">
        <v>1.1271059397325469</v>
      </c>
      <c r="V252" s="796">
        <v>3.3813178191976405</v>
      </c>
      <c r="W252" s="796">
        <v>2.2429408200677683</v>
      </c>
      <c r="X252" s="800">
        <v>1.2072610121764127</v>
      </c>
      <c r="Y252" s="741">
        <v>1.1271059397325469</v>
      </c>
      <c r="Z252" s="741">
        <v>1.1271059397325469</v>
      </c>
      <c r="AA252" s="741">
        <v>1.1271059397325469</v>
      </c>
      <c r="AB252" s="741">
        <v>3.3813178191976405</v>
      </c>
      <c r="AC252" s="741">
        <v>2.2429408200677683</v>
      </c>
      <c r="AD252" s="741">
        <v>0.63719299299970056</v>
      </c>
      <c r="AE252" s="741">
        <v>625429.9137669683</v>
      </c>
      <c r="AF252" s="741">
        <v>981539.22067260125</v>
      </c>
      <c r="AG252" s="798" t="s">
        <v>2023</v>
      </c>
      <c r="AH252" s="798" t="s">
        <v>1959</v>
      </c>
      <c r="AI252" s="798"/>
    </row>
    <row r="253" spans="1:35" ht="18.75" customHeight="1">
      <c r="A253" s="790">
        <v>248</v>
      </c>
      <c r="B253" s="790" t="s">
        <v>39</v>
      </c>
      <c r="C253" s="790" t="s">
        <v>462</v>
      </c>
      <c r="D253" s="790" t="s">
        <v>489</v>
      </c>
      <c r="E253" s="790" t="s">
        <v>296</v>
      </c>
      <c r="F253" s="791" t="s">
        <v>297</v>
      </c>
      <c r="G253" s="791" t="s">
        <v>298</v>
      </c>
      <c r="H253" s="791" t="s">
        <v>30</v>
      </c>
      <c r="I253" s="792" t="s">
        <v>2065</v>
      </c>
      <c r="J253" s="792" t="s">
        <v>297</v>
      </c>
      <c r="K253" s="793" t="s">
        <v>465</v>
      </c>
      <c r="L253" s="790">
        <v>2016</v>
      </c>
      <c r="M253" s="804">
        <v>9.6619766678112263E-4</v>
      </c>
      <c r="N253" s="795">
        <v>646.382896032644</v>
      </c>
      <c r="O253" s="795">
        <v>668996.54</v>
      </c>
      <c r="P253" s="802">
        <v>7.3983662364915303E-5</v>
      </c>
      <c r="Q253" s="802">
        <v>5.10399338113581E-4</v>
      </c>
      <c r="R253" s="802">
        <v>3.805093740521333E-4</v>
      </c>
      <c r="S253" s="796">
        <v>9.9858476131225223E-4</v>
      </c>
      <c r="T253" s="796">
        <v>9.9858476131225223E-4</v>
      </c>
      <c r="U253" s="796">
        <v>9.9858476131225223E-4</v>
      </c>
      <c r="V253" s="796">
        <v>2.9957542839367567E-3</v>
      </c>
      <c r="W253" s="796">
        <v>2.0637297808515686E-3</v>
      </c>
      <c r="X253" s="802">
        <v>2.8264866281909121E-3</v>
      </c>
      <c r="Y253" s="741">
        <v>9.9858476131225223E-4</v>
      </c>
      <c r="Z253" s="741">
        <v>9.9858476131225223E-4</v>
      </c>
      <c r="AA253" s="741">
        <v>9.9858476131225223E-4</v>
      </c>
      <c r="AB253" s="741">
        <v>2.9957542839367567E-3</v>
      </c>
      <c r="AC253" s="741">
        <v>2.0637297808515686E-3</v>
      </c>
      <c r="AD253" s="741">
        <v>5.039499796822939E-4</v>
      </c>
      <c r="AE253" s="741">
        <v>526.97448667001686</v>
      </c>
      <c r="AF253" s="741">
        <v>1045688.08</v>
      </c>
      <c r="AG253" s="806" t="s">
        <v>2198</v>
      </c>
      <c r="AH253" s="798" t="s">
        <v>2066</v>
      </c>
      <c r="AI253" s="798"/>
    </row>
    <row r="254" spans="1:35" ht="18.75" customHeight="1">
      <c r="A254" s="790">
        <v>249</v>
      </c>
      <c r="B254" s="790" t="s">
        <v>39</v>
      </c>
      <c r="C254" s="790" t="s">
        <v>462</v>
      </c>
      <c r="D254" s="790" t="s">
        <v>489</v>
      </c>
      <c r="E254" s="790" t="s">
        <v>296</v>
      </c>
      <c r="F254" s="791" t="s">
        <v>300</v>
      </c>
      <c r="G254" s="791" t="s">
        <v>298</v>
      </c>
      <c r="H254" s="791" t="s">
        <v>30</v>
      </c>
      <c r="I254" s="792" t="s">
        <v>2065</v>
      </c>
      <c r="J254" s="792" t="s">
        <v>300</v>
      </c>
      <c r="K254" s="793" t="s">
        <v>465</v>
      </c>
      <c r="L254" s="790">
        <v>2016</v>
      </c>
      <c r="M254" s="804">
        <v>6.2802850716355116E-4</v>
      </c>
      <c r="N254" s="795">
        <v>420.14889831378099</v>
      </c>
      <c r="O254" s="795">
        <v>668996.54</v>
      </c>
      <c r="P254" s="802">
        <v>5.5459444444939428E-5</v>
      </c>
      <c r="Q254" s="802">
        <v>3.5903408442972476E-4</v>
      </c>
      <c r="R254" s="802">
        <v>2.6989243085730668E-4</v>
      </c>
      <c r="S254" s="796">
        <v>5.9915088059546754E-4</v>
      </c>
      <c r="T254" s="796">
        <v>5.9915088059546754E-4</v>
      </c>
      <c r="U254" s="796">
        <v>5.9915088059546754E-4</v>
      </c>
      <c r="V254" s="796">
        <v>1.7974526417864026E-3</v>
      </c>
      <c r="W254" s="796">
        <v>1.2382379177140938E-3</v>
      </c>
      <c r="X254" s="802">
        <v>2.0344746112401454E-3</v>
      </c>
      <c r="Y254" s="741">
        <v>5.9915088059546754E-4</v>
      </c>
      <c r="Z254" s="741">
        <v>5.9915088059546754E-4</v>
      </c>
      <c r="AA254" s="741">
        <v>5.9915088059546754E-4</v>
      </c>
      <c r="AB254" s="741">
        <v>1.7974526417864026E-3</v>
      </c>
      <c r="AC254" s="741">
        <v>1.2382379177140938E-3</v>
      </c>
      <c r="AD254" s="741">
        <v>4.3808419330767303E-4</v>
      </c>
      <c r="AE254" s="741">
        <v>458.09941897824945</v>
      </c>
      <c r="AF254" s="741">
        <v>1045688.08</v>
      </c>
      <c r="AG254" s="806" t="s">
        <v>2198</v>
      </c>
      <c r="AH254" s="798" t="s">
        <v>2066</v>
      </c>
      <c r="AI254" s="798"/>
    </row>
    <row r="255" spans="1:35" ht="18.75" customHeight="1">
      <c r="A255" s="790">
        <v>250</v>
      </c>
      <c r="B255" s="790" t="s">
        <v>39</v>
      </c>
      <c r="C255" s="790" t="s">
        <v>462</v>
      </c>
      <c r="D255" s="790" t="s">
        <v>489</v>
      </c>
      <c r="E255" s="790" t="s">
        <v>296</v>
      </c>
      <c r="F255" s="791" t="s">
        <v>301</v>
      </c>
      <c r="G255" s="791" t="s">
        <v>298</v>
      </c>
      <c r="H255" s="791" t="s">
        <v>30</v>
      </c>
      <c r="I255" s="792" t="s">
        <v>2065</v>
      </c>
      <c r="J255" s="792" t="s">
        <v>301</v>
      </c>
      <c r="K255" s="793" t="s">
        <v>465</v>
      </c>
      <c r="L255" s="790">
        <v>2016</v>
      </c>
      <c r="M255" s="804">
        <v>7.2796534293688669E-4</v>
      </c>
      <c r="N255" s="795">
        <v>3264127.5240094699</v>
      </c>
      <c r="O255" s="795">
        <v>4483905114</v>
      </c>
      <c r="P255" s="802">
        <v>9.7088945714961247E-5</v>
      </c>
      <c r="Q255" s="802">
        <v>8.1704607597687267E-4</v>
      </c>
      <c r="R255" s="802">
        <v>1.3776113514909569E-3</v>
      </c>
      <c r="S255" s="796">
        <v>7.765318394133612E-4</v>
      </c>
      <c r="T255" s="796">
        <v>7.765318394133612E-4</v>
      </c>
      <c r="U255" s="796">
        <v>7.765318394133612E-4</v>
      </c>
      <c r="V255" s="796">
        <v>2.3295955182400835E-3</v>
      </c>
      <c r="W255" s="796">
        <v>1.6048230905014698E-3</v>
      </c>
      <c r="X255" s="802">
        <v>3.9128989842017684E-3</v>
      </c>
      <c r="Y255" s="741">
        <v>7.765318394133612E-4</v>
      </c>
      <c r="Z255" s="741">
        <v>7.765318394133612E-4</v>
      </c>
      <c r="AA255" s="741">
        <v>7.765318394133612E-4</v>
      </c>
      <c r="AB255" s="741">
        <v>2.3295955182400835E-3</v>
      </c>
      <c r="AC255" s="741">
        <v>1.6048230905014698E-3</v>
      </c>
      <c r="AD255" s="741">
        <v>4.145190655787708E-3</v>
      </c>
      <c r="AE255" s="741">
        <v>3936100.0098972721</v>
      </c>
      <c r="AF255" s="741">
        <v>949558256</v>
      </c>
      <c r="AG255" s="806" t="s">
        <v>2198</v>
      </c>
      <c r="AH255" s="798" t="s">
        <v>2066</v>
      </c>
      <c r="AI255" s="798"/>
    </row>
    <row r="256" spans="1:35" ht="18.75" customHeight="1">
      <c r="A256" s="790">
        <v>251</v>
      </c>
      <c r="B256" s="790" t="s">
        <v>39</v>
      </c>
      <c r="C256" s="790" t="s">
        <v>462</v>
      </c>
      <c r="D256" s="790" t="s">
        <v>489</v>
      </c>
      <c r="E256" s="790" t="s">
        <v>296</v>
      </c>
      <c r="F256" s="791" t="s">
        <v>302</v>
      </c>
      <c r="G256" s="791" t="s">
        <v>298</v>
      </c>
      <c r="H256" s="791" t="s">
        <v>30</v>
      </c>
      <c r="I256" s="792" t="s">
        <v>2065</v>
      </c>
      <c r="J256" s="792" t="s">
        <v>302</v>
      </c>
      <c r="K256" s="793" t="s">
        <v>465</v>
      </c>
      <c r="L256" s="790">
        <v>2016</v>
      </c>
      <c r="M256" s="804">
        <v>4.7317749080739801E-4</v>
      </c>
      <c r="N256" s="795">
        <v>2121682.97086098</v>
      </c>
      <c r="O256" s="795">
        <v>4483905114</v>
      </c>
      <c r="P256" s="802">
        <v>6.9685030868200473E-5</v>
      </c>
      <c r="Q256" s="802">
        <v>5.5436118994737105E-4</v>
      </c>
      <c r="R256" s="802">
        <v>1.3077833140471415E-3</v>
      </c>
      <c r="S256" s="796">
        <v>4.6591912216197826E-4</v>
      </c>
      <c r="T256" s="796">
        <v>4.6591912216197826E-4</v>
      </c>
      <c r="U256" s="796">
        <v>4.6591912216197826E-4</v>
      </c>
      <c r="V256" s="796">
        <v>1.3977573664859348E-3</v>
      </c>
      <c r="W256" s="796">
        <v>9.628938925628455E-4</v>
      </c>
      <c r="X256" s="802">
        <v>2.8398046022403826E-3</v>
      </c>
      <c r="Y256" s="741">
        <v>4.6591912216197826E-4</v>
      </c>
      <c r="Z256" s="741">
        <v>4.6591912216197826E-4</v>
      </c>
      <c r="AA256" s="741">
        <v>4.6591912216197826E-4</v>
      </c>
      <c r="AB256" s="741">
        <v>1.3977573664859348E-3</v>
      </c>
      <c r="AC256" s="741">
        <v>9.628938925628455E-4</v>
      </c>
      <c r="AD256" s="741">
        <v>3.640267536358857E-3</v>
      </c>
      <c r="AE256" s="741">
        <v>3456646.0931983329</v>
      </c>
      <c r="AF256" s="741">
        <v>949558256</v>
      </c>
      <c r="AG256" s="806" t="s">
        <v>2198</v>
      </c>
      <c r="AH256" s="798" t="s">
        <v>2066</v>
      </c>
      <c r="AI256" s="798"/>
    </row>
    <row r="257" spans="1:35" ht="18.75" customHeight="1">
      <c r="A257" s="790">
        <v>252</v>
      </c>
      <c r="B257" s="790" t="s">
        <v>39</v>
      </c>
      <c r="C257" s="790" t="s">
        <v>462</v>
      </c>
      <c r="D257" s="790" t="s">
        <v>489</v>
      </c>
      <c r="E257" s="790" t="s">
        <v>296</v>
      </c>
      <c r="F257" s="791" t="s">
        <v>303</v>
      </c>
      <c r="G257" s="791" t="s">
        <v>298</v>
      </c>
      <c r="H257" s="791" t="s">
        <v>30</v>
      </c>
      <c r="I257" s="792" t="s">
        <v>2065</v>
      </c>
      <c r="J257" s="792" t="s">
        <v>303</v>
      </c>
      <c r="K257" s="793" t="s">
        <v>465</v>
      </c>
      <c r="L257" s="790">
        <v>2016</v>
      </c>
      <c r="M257" s="804">
        <v>1.7724245040813888E-4</v>
      </c>
      <c r="N257" s="795">
        <v>48436.624184992601</v>
      </c>
      <c r="O257" s="795">
        <v>273278913</v>
      </c>
      <c r="P257" s="802">
        <v>-6.2256861275032305E-6</v>
      </c>
      <c r="Q257" s="802">
        <v>-1.7515103085964824E-5</v>
      </c>
      <c r="R257" s="802">
        <v>1.1987473801171199E-4</v>
      </c>
      <c r="S257" s="796">
        <v>1.8314022057511656E-4</v>
      </c>
      <c r="T257" s="796">
        <v>1.8314022057511656E-4</v>
      </c>
      <c r="U257" s="796">
        <v>1.8314022057511656E-4</v>
      </c>
      <c r="V257" s="796">
        <v>5.4942066172534965E-4</v>
      </c>
      <c r="W257" s="796">
        <v>3.7848757753515294E-4</v>
      </c>
      <c r="X257" s="802">
        <v>8.3530389254277246E-4</v>
      </c>
      <c r="Y257" s="741">
        <v>1.8314022057511656E-4</v>
      </c>
      <c r="Z257" s="741">
        <v>1.8314022057511656E-4</v>
      </c>
      <c r="AA257" s="741">
        <v>1.8314022057511656E-4</v>
      </c>
      <c r="AB257" s="741">
        <v>5.4942066172534965E-4</v>
      </c>
      <c r="AC257" s="741">
        <v>3.7848757753515294E-4</v>
      </c>
      <c r="AD257" s="741">
        <v>3.0810051781206792E-4</v>
      </c>
      <c r="AE257" s="741">
        <v>115481.60817746399</v>
      </c>
      <c r="AF257" s="741">
        <v>374817962</v>
      </c>
      <c r="AG257" s="806" t="s">
        <v>2198</v>
      </c>
      <c r="AH257" s="798" t="s">
        <v>2066</v>
      </c>
      <c r="AI257" s="798"/>
    </row>
    <row r="258" spans="1:35" ht="18.75" customHeight="1">
      <c r="A258" s="790">
        <v>253</v>
      </c>
      <c r="B258" s="790" t="s">
        <v>39</v>
      </c>
      <c r="C258" s="790" t="s">
        <v>462</v>
      </c>
      <c r="D258" s="790" t="s">
        <v>489</v>
      </c>
      <c r="E258" s="790" t="s">
        <v>296</v>
      </c>
      <c r="F258" s="791" t="s">
        <v>305</v>
      </c>
      <c r="G258" s="791" t="s">
        <v>298</v>
      </c>
      <c r="H258" s="791" t="s">
        <v>30</v>
      </c>
      <c r="I258" s="792" t="s">
        <v>2065</v>
      </c>
      <c r="J258" s="792" t="s">
        <v>305</v>
      </c>
      <c r="K258" s="793" t="s">
        <v>465</v>
      </c>
      <c r="L258" s="790">
        <v>2016</v>
      </c>
      <c r="M258" s="804">
        <v>1.1520759712313551E-4</v>
      </c>
      <c r="N258" s="795">
        <v>31483.806911152398</v>
      </c>
      <c r="O258" s="795">
        <v>273278913</v>
      </c>
      <c r="P258" s="802">
        <v>-4.6690991067663614E-6</v>
      </c>
      <c r="Q258" s="802">
        <v>-1.4034961100658147E-5</v>
      </c>
      <c r="R258" s="802">
        <v>1.4406559033403328E-4</v>
      </c>
      <c r="S258" s="796">
        <v>1.0988413671147334E-4</v>
      </c>
      <c r="T258" s="796">
        <v>1.0988413671147334E-4</v>
      </c>
      <c r="U258" s="796">
        <v>1.0988413671147334E-4</v>
      </c>
      <c r="V258" s="796">
        <v>3.2965241013442002E-4</v>
      </c>
      <c r="W258" s="796">
        <v>2.270925555449394E-4</v>
      </c>
      <c r="X258" s="802">
        <v>6.0047091215010217E-4</v>
      </c>
      <c r="Y258" s="741">
        <v>1.0988413671147334E-4</v>
      </c>
      <c r="Z258" s="741">
        <v>1.0988413671147334E-4</v>
      </c>
      <c r="AA258" s="741">
        <v>1.0988413671147334E-4</v>
      </c>
      <c r="AB258" s="741">
        <v>3.2965241013442002E-4</v>
      </c>
      <c r="AC258" s="741">
        <v>2.270925555449394E-4</v>
      </c>
      <c r="AD258" s="741">
        <v>2.3228224326210162E-4</v>
      </c>
      <c r="AE258" s="741">
        <v>87063.557028289157</v>
      </c>
      <c r="AF258" s="741">
        <v>374817962</v>
      </c>
      <c r="AG258" s="806" t="s">
        <v>2198</v>
      </c>
      <c r="AH258" s="798" t="s">
        <v>2066</v>
      </c>
      <c r="AI258" s="798"/>
    </row>
    <row r="259" spans="1:35" ht="18.75" customHeight="1">
      <c r="A259" s="790">
        <v>254</v>
      </c>
      <c r="B259" s="790" t="s">
        <v>39</v>
      </c>
      <c r="C259" s="790" t="s">
        <v>462</v>
      </c>
      <c r="D259" s="790" t="s">
        <v>489</v>
      </c>
      <c r="E259" s="790" t="s">
        <v>296</v>
      </c>
      <c r="F259" s="791" t="s">
        <v>306</v>
      </c>
      <c r="G259" s="791" t="s">
        <v>298</v>
      </c>
      <c r="H259" s="791" t="s">
        <v>30</v>
      </c>
      <c r="I259" s="792" t="s">
        <v>2065</v>
      </c>
      <c r="J259" s="792" t="s">
        <v>306</v>
      </c>
      <c r="K259" s="793" t="s">
        <v>465</v>
      </c>
      <c r="L259" s="790">
        <v>2016</v>
      </c>
      <c r="M259" s="804">
        <v>1.1550403315204979E-2</v>
      </c>
      <c r="N259" s="795">
        <v>7727.1798534766604</v>
      </c>
      <c r="O259" s="795">
        <v>668996.54</v>
      </c>
      <c r="P259" s="802">
        <v>7.6265768169656435E-4</v>
      </c>
      <c r="Q259" s="802">
        <v>3.1718293652414878E-3</v>
      </c>
      <c r="R259" s="802">
        <v>2.5729118499737305E-3</v>
      </c>
      <c r="S259" s="796">
        <v>1.1937583092195435E-2</v>
      </c>
      <c r="T259" s="796">
        <v>1.1937583092195435E-2</v>
      </c>
      <c r="U259" s="796">
        <v>1.1937583092195435E-2</v>
      </c>
      <c r="V259" s="796">
        <v>3.5812749276586307E-2</v>
      </c>
      <c r="W259" s="796">
        <v>2.4670860895553304E-2</v>
      </c>
      <c r="X259" s="802">
        <v>1.8032583879206077E-2</v>
      </c>
      <c r="Y259" s="741">
        <v>1.1937583092195435E-2</v>
      </c>
      <c r="Z259" s="741">
        <v>1.1937583092195435E-2</v>
      </c>
      <c r="AA259" s="741">
        <v>1.1937583092195435E-2</v>
      </c>
      <c r="AB259" s="741">
        <v>3.5812749276586307E-2</v>
      </c>
      <c r="AC259" s="741">
        <v>2.4670860895553304E-2</v>
      </c>
      <c r="AD259" s="741">
        <v>4.5856048931609168E-3</v>
      </c>
      <c r="AE259" s="741">
        <v>4795.1123763680444</v>
      </c>
      <c r="AF259" s="741">
        <v>1045688.08</v>
      </c>
      <c r="AG259" s="806" t="s">
        <v>2198</v>
      </c>
      <c r="AH259" s="798" t="s">
        <v>2066</v>
      </c>
      <c r="AI259" s="798"/>
    </row>
    <row r="260" spans="1:35" ht="18.75" customHeight="1">
      <c r="A260" s="790">
        <v>255</v>
      </c>
      <c r="B260" s="790" t="s">
        <v>39</v>
      </c>
      <c r="C260" s="790" t="s">
        <v>462</v>
      </c>
      <c r="D260" s="790" t="s">
        <v>489</v>
      </c>
      <c r="E260" s="790" t="s">
        <v>296</v>
      </c>
      <c r="F260" s="791" t="s">
        <v>307</v>
      </c>
      <c r="G260" s="791" t="s">
        <v>298</v>
      </c>
      <c r="H260" s="791" t="s">
        <v>30</v>
      </c>
      <c r="I260" s="792" t="s">
        <v>2065</v>
      </c>
      <c r="J260" s="792" t="s">
        <v>307</v>
      </c>
      <c r="K260" s="793" t="s">
        <v>465</v>
      </c>
      <c r="L260" s="790">
        <v>2016</v>
      </c>
      <c r="M260" s="804">
        <v>7.507762438872031E-3</v>
      </c>
      <c r="N260" s="795">
        <v>5022.6670947473503</v>
      </c>
      <c r="O260" s="795">
        <v>668996.54</v>
      </c>
      <c r="P260" s="802">
        <v>5.7185174523948336E-4</v>
      </c>
      <c r="Q260" s="802">
        <v>2.2651578550662342E-3</v>
      </c>
      <c r="R260" s="802">
        <v>1.8656994718085945E-3</v>
      </c>
      <c r="S260" s="796">
        <v>7.1625501399314312E-3</v>
      </c>
      <c r="T260" s="796">
        <v>7.1625501399314312E-3</v>
      </c>
      <c r="U260" s="796">
        <v>7.1625501399314312E-3</v>
      </c>
      <c r="V260" s="796">
        <v>2.1487650419794294E-2</v>
      </c>
      <c r="W260" s="796">
        <v>1.4802517125531163E-2</v>
      </c>
      <c r="X260" s="802">
        <v>1.1959373839813683E-2</v>
      </c>
      <c r="Y260" s="741">
        <v>7.1625501399314312E-3</v>
      </c>
      <c r="Z260" s="741">
        <v>7.1625501399314312E-3</v>
      </c>
      <c r="AA260" s="741">
        <v>7.1625501399314312E-3</v>
      </c>
      <c r="AB260" s="741">
        <v>2.1487650419794294E-2</v>
      </c>
      <c r="AC260" s="741">
        <v>1.4802517125531163E-2</v>
      </c>
      <c r="AD260" s="741">
        <v>3.5354358341323508E-3</v>
      </c>
      <c r="AE260" s="741">
        <v>3696.9631093570561</v>
      </c>
      <c r="AF260" s="741">
        <v>1045688.08</v>
      </c>
      <c r="AG260" s="806" t="s">
        <v>2198</v>
      </c>
      <c r="AH260" s="798" t="s">
        <v>2066</v>
      </c>
      <c r="AI260" s="798"/>
    </row>
    <row r="261" spans="1:35" ht="18.75" customHeight="1">
      <c r="A261" s="790">
        <v>256</v>
      </c>
      <c r="B261" s="790" t="s">
        <v>39</v>
      </c>
      <c r="C261" s="790" t="s">
        <v>462</v>
      </c>
      <c r="D261" s="790" t="s">
        <v>489</v>
      </c>
      <c r="E261" s="790" t="s">
        <v>296</v>
      </c>
      <c r="F261" s="791" t="s">
        <v>308</v>
      </c>
      <c r="G261" s="791" t="s">
        <v>298</v>
      </c>
      <c r="H261" s="791" t="s">
        <v>30</v>
      </c>
      <c r="I261" s="792" t="s">
        <v>2065</v>
      </c>
      <c r="J261" s="792" t="s">
        <v>308</v>
      </c>
      <c r="K261" s="793" t="s">
        <v>465</v>
      </c>
      <c r="L261" s="790">
        <v>2016</v>
      </c>
      <c r="M261" s="804">
        <v>8.8374254135781868E-3</v>
      </c>
      <c r="N261" s="795">
        <v>39626177.006536797</v>
      </c>
      <c r="O261" s="795">
        <v>4483905114</v>
      </c>
      <c r="P261" s="802">
        <v>1.0579830304444659E-3</v>
      </c>
      <c r="Q261" s="802">
        <v>6.5869909261697729E-3</v>
      </c>
      <c r="R261" s="802">
        <v>3.9618876796045262E-3</v>
      </c>
      <c r="S261" s="796">
        <v>9.4247757831018922E-3</v>
      </c>
      <c r="T261" s="796">
        <v>9.4247757831018922E-3</v>
      </c>
      <c r="U261" s="796">
        <v>9.4247757831018922E-3</v>
      </c>
      <c r="V261" s="796">
        <v>2.8274327349305677E-2</v>
      </c>
      <c r="W261" s="796">
        <v>1.9477756135469471E-2</v>
      </c>
      <c r="X261" s="802">
        <v>2.6031304770984739E-2</v>
      </c>
      <c r="Y261" s="741">
        <v>9.4247757831018922E-3</v>
      </c>
      <c r="Z261" s="741">
        <v>9.4247757831018922E-3</v>
      </c>
      <c r="AA261" s="741">
        <v>9.4247757831018922E-3</v>
      </c>
      <c r="AB261" s="741">
        <v>2.8274327349305677E-2</v>
      </c>
      <c r="AC261" s="741">
        <v>1.9477756135469471E-2</v>
      </c>
      <c r="AD261" s="741">
        <v>3.710744792847518E-2</v>
      </c>
      <c r="AE261" s="741">
        <v>35235683.539573707</v>
      </c>
      <c r="AF261" s="741">
        <v>1899116512</v>
      </c>
      <c r="AG261" s="806" t="s">
        <v>2198</v>
      </c>
      <c r="AH261" s="798" t="s">
        <v>2066</v>
      </c>
      <c r="AI261" s="798"/>
    </row>
    <row r="262" spans="1:35" ht="18.75" customHeight="1">
      <c r="A262" s="790">
        <v>257</v>
      </c>
      <c r="B262" s="790" t="s">
        <v>39</v>
      </c>
      <c r="C262" s="790" t="s">
        <v>462</v>
      </c>
      <c r="D262" s="790" t="s">
        <v>489</v>
      </c>
      <c r="E262" s="790" t="s">
        <v>296</v>
      </c>
      <c r="F262" s="791" t="s">
        <v>309</v>
      </c>
      <c r="G262" s="791" t="s">
        <v>298</v>
      </c>
      <c r="H262" s="791" t="s">
        <v>30</v>
      </c>
      <c r="I262" s="792" t="s">
        <v>2065</v>
      </c>
      <c r="J262" s="792" t="s">
        <v>309</v>
      </c>
      <c r="K262" s="793" t="s">
        <v>465</v>
      </c>
      <c r="L262" s="790">
        <v>2016</v>
      </c>
      <c r="M262" s="804">
        <v>5.7443267361108573E-3</v>
      </c>
      <c r="N262" s="795">
        <v>25757016.028534401</v>
      </c>
      <c r="O262" s="795">
        <v>4483905114</v>
      </c>
      <c r="P262" s="802">
        <v>7.5603050130675499E-4</v>
      </c>
      <c r="Q262" s="802">
        <v>4.4611581958437906E-3</v>
      </c>
      <c r="R262" s="802">
        <v>3.1586674313852704E-3</v>
      </c>
      <c r="S262" s="796">
        <v>5.6548656945652927E-3</v>
      </c>
      <c r="T262" s="796">
        <v>5.6548656945652927E-3</v>
      </c>
      <c r="U262" s="796">
        <v>5.6548656945652927E-3</v>
      </c>
      <c r="V262" s="796">
        <v>1.6964597083695878E-2</v>
      </c>
      <c r="W262" s="796">
        <v>1.1686654145667561E-2</v>
      </c>
      <c r="X262" s="802">
        <v>1.7275104031910869E-2</v>
      </c>
      <c r="Y262" s="741">
        <v>5.6548656945652927E-3</v>
      </c>
      <c r="Z262" s="741">
        <v>5.6548656945652927E-3</v>
      </c>
      <c r="AA262" s="741">
        <v>5.6548656945652927E-3</v>
      </c>
      <c r="AB262" s="741">
        <v>1.6964597083695878E-2</v>
      </c>
      <c r="AC262" s="741">
        <v>1.1686654145667561E-2</v>
      </c>
      <c r="AD262" s="741">
        <v>2.8870767203790174E-2</v>
      </c>
      <c r="AE262" s="741">
        <v>27414475.355412994</v>
      </c>
      <c r="AF262" s="741">
        <v>0</v>
      </c>
      <c r="AG262" s="806" t="s">
        <v>2198</v>
      </c>
      <c r="AH262" s="798" t="s">
        <v>2066</v>
      </c>
      <c r="AI262" s="798"/>
    </row>
    <row r="263" spans="1:35" ht="18.75" customHeight="1">
      <c r="A263" s="790">
        <v>258</v>
      </c>
      <c r="B263" s="790" t="s">
        <v>39</v>
      </c>
      <c r="C263" s="790" t="s">
        <v>462</v>
      </c>
      <c r="D263" s="790" t="s">
        <v>489</v>
      </c>
      <c r="E263" s="790" t="s">
        <v>296</v>
      </c>
      <c r="F263" s="791" t="s">
        <v>310</v>
      </c>
      <c r="G263" s="791" t="s">
        <v>298</v>
      </c>
      <c r="H263" s="791" t="s">
        <v>30</v>
      </c>
      <c r="I263" s="792" t="s">
        <v>2065</v>
      </c>
      <c r="J263" s="792" t="s">
        <v>310</v>
      </c>
      <c r="K263" s="793" t="s">
        <v>465</v>
      </c>
      <c r="L263" s="790">
        <v>2016</v>
      </c>
      <c r="M263" s="804">
        <v>1.7550784437187291E-3</v>
      </c>
      <c r="N263" s="795">
        <v>479625.92932918598</v>
      </c>
      <c r="O263" s="795">
        <v>273278913</v>
      </c>
      <c r="P263" s="802">
        <v>-6.4681448583369343E-5</v>
      </c>
      <c r="Q263" s="802">
        <v>-8.5034986260506396E-5</v>
      </c>
      <c r="R263" s="802">
        <v>-1.4754860482261783E-4</v>
      </c>
      <c r="S263" s="796">
        <v>1.8134595655180871E-3</v>
      </c>
      <c r="T263" s="796">
        <v>1.8134595655180871E-3</v>
      </c>
      <c r="U263" s="796">
        <v>1.8134595655180871E-3</v>
      </c>
      <c r="V263" s="796">
        <v>5.4403786965542614E-3</v>
      </c>
      <c r="W263" s="796">
        <v>3.747794535550263E-3</v>
      </c>
      <c r="X263" s="802">
        <v>5.3057670671898876E-3</v>
      </c>
      <c r="Y263" s="741">
        <v>1.8134595655180871E-3</v>
      </c>
      <c r="Z263" s="741">
        <v>1.8134595655180871E-3</v>
      </c>
      <c r="AA263" s="741">
        <v>1.8134595655180871E-3</v>
      </c>
      <c r="AB263" s="741">
        <v>5.4403786965542614E-3</v>
      </c>
      <c r="AC263" s="741">
        <v>3.747794535550263E-3</v>
      </c>
      <c r="AD263" s="741">
        <v>3.7848912335220223E-3</v>
      </c>
      <c r="AE263" s="741">
        <v>1418645.2185403905</v>
      </c>
      <c r="AF263" s="741">
        <v>374817962</v>
      </c>
      <c r="AG263" s="806" t="s">
        <v>2198</v>
      </c>
      <c r="AH263" s="798" t="s">
        <v>2066</v>
      </c>
      <c r="AI263" s="798"/>
    </row>
    <row r="264" spans="1:35" ht="18.75" customHeight="1">
      <c r="A264" s="790">
        <v>259</v>
      </c>
      <c r="B264" s="790" t="s">
        <v>39</v>
      </c>
      <c r="C264" s="790" t="s">
        <v>462</v>
      </c>
      <c r="D264" s="790" t="s">
        <v>489</v>
      </c>
      <c r="E264" s="790" t="s">
        <v>296</v>
      </c>
      <c r="F264" s="791" t="s">
        <v>311</v>
      </c>
      <c r="G264" s="791" t="s">
        <v>298</v>
      </c>
      <c r="H264" s="791" t="s">
        <v>30</v>
      </c>
      <c r="I264" s="792" t="s">
        <v>2065</v>
      </c>
      <c r="J264" s="792" t="s">
        <v>311</v>
      </c>
      <c r="K264" s="793" t="s">
        <v>465</v>
      </c>
      <c r="L264" s="790">
        <v>2016</v>
      </c>
      <c r="M264" s="804">
        <v>1.1408010315691391E-3</v>
      </c>
      <c r="N264" s="795">
        <v>311756.86585649301</v>
      </c>
      <c r="O264" s="795">
        <v>273278913</v>
      </c>
      <c r="P264" s="802">
        <v>-4.851025861823749E-5</v>
      </c>
      <c r="Q264" s="802">
        <v>-7.4559846621453352E-5</v>
      </c>
      <c r="R264" s="802">
        <v>-5.1931179568728174E-5</v>
      </c>
      <c r="S264" s="796">
        <v>1.0880757825470985E-3</v>
      </c>
      <c r="T264" s="796">
        <v>1.0880757825470985E-3</v>
      </c>
      <c r="U264" s="796">
        <v>1.0880757825470985E-3</v>
      </c>
      <c r="V264" s="796">
        <v>3.2642273476412957E-3</v>
      </c>
      <c r="W264" s="796">
        <v>2.2486768106845445E-3</v>
      </c>
      <c r="X264" s="802">
        <v>3.5030145573383569E-3</v>
      </c>
      <c r="Y264" s="741">
        <v>1.0880757825470985E-3</v>
      </c>
      <c r="Z264" s="741">
        <v>1.0880757825470985E-3</v>
      </c>
      <c r="AA264" s="741">
        <v>1.0880757825470985E-3</v>
      </c>
      <c r="AB264" s="741">
        <v>3.2642273476412957E-3</v>
      </c>
      <c r="AC264" s="741">
        <v>2.2486768106845445E-3</v>
      </c>
      <c r="AD264" s="741">
        <v>2.6187091339891582E-3</v>
      </c>
      <c r="AE264" s="741">
        <v>981539.22067260125</v>
      </c>
      <c r="AF264" s="741">
        <v>374817962</v>
      </c>
      <c r="AG264" s="806" t="s">
        <v>2198</v>
      </c>
      <c r="AH264" s="798" t="s">
        <v>2066</v>
      </c>
      <c r="AI264" s="798"/>
    </row>
    <row r="265" spans="1:35" ht="18.75" customHeight="1">
      <c r="A265" s="790">
        <v>260</v>
      </c>
      <c r="B265" s="790" t="s">
        <v>39</v>
      </c>
      <c r="C265" s="790" t="s">
        <v>492</v>
      </c>
      <c r="D265" s="790" t="s">
        <v>493</v>
      </c>
      <c r="E265" s="790" t="s">
        <v>51</v>
      </c>
      <c r="F265" s="791" t="s">
        <v>791</v>
      </c>
      <c r="G265" s="791" t="s">
        <v>53</v>
      </c>
      <c r="H265" s="791" t="s">
        <v>30</v>
      </c>
      <c r="I265" s="792" t="s">
        <v>2199</v>
      </c>
      <c r="J265" s="805" t="s">
        <v>52</v>
      </c>
      <c r="K265" s="793" t="s">
        <v>495</v>
      </c>
      <c r="L265" s="790">
        <v>2016</v>
      </c>
      <c r="M265" s="799">
        <v>64.026501473039502</v>
      </c>
      <c r="N265" s="795" t="s">
        <v>1882</v>
      </c>
      <c r="O265" s="795" t="s">
        <v>1882</v>
      </c>
      <c r="P265" s="800">
        <v>1.3709999620914499</v>
      </c>
      <c r="Q265" s="800">
        <v>7.3199999999999807</v>
      </c>
      <c r="R265" s="800">
        <v>1.0720000000000001</v>
      </c>
      <c r="S265" s="796">
        <v>68.078653473838287</v>
      </c>
      <c r="T265" s="796">
        <v>68.078653473838287</v>
      </c>
      <c r="U265" s="796">
        <v>68.078653473838287</v>
      </c>
      <c r="V265" s="796">
        <v>204.23596042151485</v>
      </c>
      <c r="W265" s="796">
        <v>148.21470265499826</v>
      </c>
      <c r="X265" s="800">
        <v>0.9</v>
      </c>
      <c r="Y265" s="741">
        <v>68.078653473838287</v>
      </c>
      <c r="Z265" s="741">
        <v>68.078653473838287</v>
      </c>
      <c r="AA265" s="741">
        <v>68.078653473838287</v>
      </c>
      <c r="AB265" s="741">
        <v>204.23596042151485</v>
      </c>
      <c r="AC265" s="741">
        <v>148.21470265499826</v>
      </c>
      <c r="AD265" s="741">
        <v>2.96999992132187</v>
      </c>
      <c r="AE265" s="741" t="s">
        <v>59</v>
      </c>
      <c r="AF265" s="741" t="s">
        <v>59</v>
      </c>
      <c r="AG265" s="798" t="s">
        <v>1997</v>
      </c>
      <c r="AH265" s="798" t="s">
        <v>49</v>
      </c>
      <c r="AI265" s="798"/>
    </row>
    <row r="266" spans="1:35" ht="18.75" customHeight="1">
      <c r="A266" s="790">
        <v>261</v>
      </c>
      <c r="B266" s="790" t="s">
        <v>39</v>
      </c>
      <c r="C266" s="790" t="s">
        <v>492</v>
      </c>
      <c r="D266" s="790" t="s">
        <v>493</v>
      </c>
      <c r="E266" s="790" t="s">
        <v>51</v>
      </c>
      <c r="F266" s="791" t="s">
        <v>791</v>
      </c>
      <c r="G266" s="791" t="s">
        <v>53</v>
      </c>
      <c r="H266" s="791" t="s">
        <v>30</v>
      </c>
      <c r="I266" s="792" t="s">
        <v>2199</v>
      </c>
      <c r="J266" s="805" t="s">
        <v>55</v>
      </c>
      <c r="K266" s="793" t="s">
        <v>495</v>
      </c>
      <c r="L266" s="790">
        <v>2016</v>
      </c>
      <c r="M266" s="799">
        <v>41.617227531689799</v>
      </c>
      <c r="N266" s="795" t="s">
        <v>1882</v>
      </c>
      <c r="O266" s="795" t="s">
        <v>1882</v>
      </c>
      <c r="P266" s="800">
        <v>1.3161600005851699</v>
      </c>
      <c r="Q266" s="800">
        <v>5.489999912738786</v>
      </c>
      <c r="R266" s="800">
        <v>1.02912002811432</v>
      </c>
      <c r="S266" s="796">
        <v>40.943823913984609</v>
      </c>
      <c r="T266" s="796">
        <v>40.943823913984609</v>
      </c>
      <c r="U266" s="796">
        <v>40.943823913984609</v>
      </c>
      <c r="V266" s="796">
        <v>122.83147174195383</v>
      </c>
      <c r="W266" s="796">
        <v>89.249896612492691</v>
      </c>
      <c r="X266" s="800">
        <v>0.58500002145767205</v>
      </c>
      <c r="Y266" s="741">
        <v>40.943823913984609</v>
      </c>
      <c r="Z266" s="741">
        <v>40.943823913984609</v>
      </c>
      <c r="AA266" s="741">
        <v>40.943823913984609</v>
      </c>
      <c r="AB266" s="741">
        <v>122.83147174195383</v>
      </c>
      <c r="AC266" s="741">
        <v>89.249896612492691</v>
      </c>
      <c r="AD266" s="741">
        <v>1.9305000196695301</v>
      </c>
      <c r="AE266" s="741" t="s">
        <v>59</v>
      </c>
      <c r="AF266" s="741" t="s">
        <v>59</v>
      </c>
      <c r="AG266" s="798" t="s">
        <v>1997</v>
      </c>
      <c r="AH266" s="798" t="s">
        <v>49</v>
      </c>
      <c r="AI266" s="798"/>
    </row>
    <row r="267" spans="1:35" ht="18.75" customHeight="1">
      <c r="A267" s="790">
        <v>262</v>
      </c>
      <c r="B267" s="790" t="s">
        <v>39</v>
      </c>
      <c r="C267" s="790" t="s">
        <v>492</v>
      </c>
      <c r="D267" s="790" t="s">
        <v>493</v>
      </c>
      <c r="E267" s="790" t="s">
        <v>51</v>
      </c>
      <c r="F267" s="791" t="s">
        <v>792</v>
      </c>
      <c r="G267" s="791" t="s">
        <v>53</v>
      </c>
      <c r="H267" s="791" t="s">
        <v>30</v>
      </c>
      <c r="I267" s="792" t="s">
        <v>2199</v>
      </c>
      <c r="J267" s="805" t="s">
        <v>56</v>
      </c>
      <c r="K267" s="793" t="s">
        <v>495</v>
      </c>
      <c r="L267" s="790">
        <v>2016</v>
      </c>
      <c r="M267" s="794">
        <v>312333.68990855297</v>
      </c>
      <c r="N267" s="795" t="s">
        <v>1882</v>
      </c>
      <c r="O267" s="795" t="s">
        <v>1882</v>
      </c>
      <c r="P267" s="796">
        <v>33246.484862297773</v>
      </c>
      <c r="Q267" s="796">
        <v>13598.999999999964</v>
      </c>
      <c r="R267" s="796">
        <v>159660.47617571798</v>
      </c>
      <c r="S267" s="796">
        <v>332009.16967821243</v>
      </c>
      <c r="T267" s="796">
        <v>332009.16967821243</v>
      </c>
      <c r="U267" s="796">
        <v>332009.16967821243</v>
      </c>
      <c r="V267" s="796">
        <v>996027.50903463736</v>
      </c>
      <c r="W267" s="796">
        <v>702989.38755218836</v>
      </c>
      <c r="X267" s="796">
        <v>9260.58</v>
      </c>
      <c r="Y267" s="741">
        <v>332009.16967821243</v>
      </c>
      <c r="Z267" s="741">
        <v>332009.16967821243</v>
      </c>
      <c r="AA267" s="741">
        <v>332009.16967821243</v>
      </c>
      <c r="AB267" s="741">
        <v>996027.50903463736</v>
      </c>
      <c r="AC267" s="741">
        <v>702989.38755218836</v>
      </c>
      <c r="AD267" s="741">
        <v>12751.4696622014</v>
      </c>
      <c r="AE267" s="741" t="s">
        <v>59</v>
      </c>
      <c r="AF267" s="741" t="s">
        <v>59</v>
      </c>
      <c r="AG267" s="798" t="s">
        <v>1997</v>
      </c>
      <c r="AH267" s="798" t="s">
        <v>49</v>
      </c>
      <c r="AI267" s="798"/>
    </row>
    <row r="268" spans="1:35" ht="18.75" customHeight="1">
      <c r="A268" s="790">
        <v>263</v>
      </c>
      <c r="B268" s="790" t="s">
        <v>39</v>
      </c>
      <c r="C268" s="790" t="s">
        <v>492</v>
      </c>
      <c r="D268" s="790" t="s">
        <v>493</v>
      </c>
      <c r="E268" s="790" t="s">
        <v>51</v>
      </c>
      <c r="F268" s="791" t="s">
        <v>792</v>
      </c>
      <c r="G268" s="791" t="s">
        <v>53</v>
      </c>
      <c r="H268" s="791" t="s">
        <v>30</v>
      </c>
      <c r="I268" s="792" t="s">
        <v>2199</v>
      </c>
      <c r="J268" s="805" t="s">
        <v>57</v>
      </c>
      <c r="K268" s="793" t="s">
        <v>495</v>
      </c>
      <c r="L268" s="790">
        <v>2016</v>
      </c>
      <c r="M268" s="794">
        <v>204017.36924985301</v>
      </c>
      <c r="N268" s="795" t="s">
        <v>1882</v>
      </c>
      <c r="O268" s="795" t="s">
        <v>1882</v>
      </c>
      <c r="P268" s="796">
        <v>24144.809678673868</v>
      </c>
      <c r="Q268" s="796">
        <v>10199.249837887273</v>
      </c>
      <c r="R268" s="796">
        <v>105501.6334229674</v>
      </c>
      <c r="S268" s="796">
        <v>200452.24778073607</v>
      </c>
      <c r="T268" s="796">
        <v>200452.24778073607</v>
      </c>
      <c r="U268" s="796">
        <v>200452.24778073607</v>
      </c>
      <c r="V268" s="796">
        <v>601356.74334220821</v>
      </c>
      <c r="W268" s="796">
        <v>423250.44733447523</v>
      </c>
      <c r="X268" s="796">
        <v>6239.1444112029094</v>
      </c>
      <c r="Y268" s="741">
        <v>200452.24778073607</v>
      </c>
      <c r="Z268" s="741">
        <v>200452.24778073607</v>
      </c>
      <c r="AA268" s="741">
        <v>200452.24778073607</v>
      </c>
      <c r="AB268" s="741">
        <v>601356.74334220821</v>
      </c>
      <c r="AC268" s="741">
        <v>423250.44733447523</v>
      </c>
      <c r="AD268" s="741">
        <v>8288.4555844496408</v>
      </c>
      <c r="AE268" s="741" t="s">
        <v>59</v>
      </c>
      <c r="AF268" s="741" t="s">
        <v>59</v>
      </c>
      <c r="AG268" s="798" t="s">
        <v>1997</v>
      </c>
      <c r="AH268" s="798" t="s">
        <v>49</v>
      </c>
      <c r="AI268" s="798"/>
    </row>
    <row r="269" spans="1:35" ht="18.75" customHeight="1">
      <c r="A269" s="790">
        <v>264</v>
      </c>
      <c r="B269" s="790" t="s">
        <v>39</v>
      </c>
      <c r="C269" s="790" t="s">
        <v>492</v>
      </c>
      <c r="D269" s="790" t="s">
        <v>493</v>
      </c>
      <c r="E269" s="790" t="s">
        <v>51</v>
      </c>
      <c r="F269" s="791" t="s">
        <v>793</v>
      </c>
      <c r="G269" s="791" t="s">
        <v>53</v>
      </c>
      <c r="H269" s="791" t="s">
        <v>30</v>
      </c>
      <c r="I269" s="792" t="s">
        <v>2199</v>
      </c>
      <c r="J269" s="805" t="s">
        <v>58</v>
      </c>
      <c r="K269" s="793" t="s">
        <v>495</v>
      </c>
      <c r="L269" s="790">
        <v>2016</v>
      </c>
      <c r="M269" s="794">
        <v>118404.87186440801</v>
      </c>
      <c r="N269" s="795" t="s">
        <v>1882</v>
      </c>
      <c r="O269" s="795" t="s">
        <v>1882</v>
      </c>
      <c r="P269" s="796">
        <v>66514.941511273457</v>
      </c>
      <c r="Q269" s="796">
        <v>0</v>
      </c>
      <c r="R269" s="796">
        <v>35025.523743103979</v>
      </c>
      <c r="S269" s="796">
        <v>128951.32745688046</v>
      </c>
      <c r="T269" s="796">
        <v>128951.32745688046</v>
      </c>
      <c r="U269" s="796">
        <v>128951.32745688046</v>
      </c>
      <c r="V269" s="796">
        <v>386853.98237064137</v>
      </c>
      <c r="W269" s="796">
        <v>274571.47507425369</v>
      </c>
      <c r="X269" s="796">
        <v>17210.7</v>
      </c>
      <c r="Y269" s="741">
        <v>128951.32745688046</v>
      </c>
      <c r="Z269" s="741">
        <v>128951.32745688046</v>
      </c>
      <c r="AA269" s="741">
        <v>128951.32745688046</v>
      </c>
      <c r="AB269" s="741">
        <v>386853.98237064137</v>
      </c>
      <c r="AC269" s="741">
        <v>274571.47507425369</v>
      </c>
      <c r="AD269" s="741">
        <v>0</v>
      </c>
      <c r="AE269" s="741" t="s">
        <v>59</v>
      </c>
      <c r="AF269" s="741" t="s">
        <v>59</v>
      </c>
      <c r="AG269" s="798" t="s">
        <v>1997</v>
      </c>
      <c r="AH269" s="798" t="s">
        <v>49</v>
      </c>
      <c r="AI269" s="798"/>
    </row>
    <row r="270" spans="1:35" ht="18.75" customHeight="1">
      <c r="A270" s="790">
        <v>265</v>
      </c>
      <c r="B270" s="790" t="s">
        <v>39</v>
      </c>
      <c r="C270" s="790" t="s">
        <v>492</v>
      </c>
      <c r="D270" s="790" t="s">
        <v>493</v>
      </c>
      <c r="E270" s="790" t="s">
        <v>51</v>
      </c>
      <c r="F270" s="791" t="s">
        <v>793</v>
      </c>
      <c r="G270" s="791" t="s">
        <v>53</v>
      </c>
      <c r="H270" s="791" t="s">
        <v>30</v>
      </c>
      <c r="I270" s="792" t="s">
        <v>2199</v>
      </c>
      <c r="J270" s="805" t="s">
        <v>60</v>
      </c>
      <c r="K270" s="793" t="s">
        <v>495</v>
      </c>
      <c r="L270" s="790">
        <v>2016</v>
      </c>
      <c r="M270" s="794">
        <v>77582.157315912904</v>
      </c>
      <c r="N270" s="795" t="s">
        <v>1882</v>
      </c>
      <c r="O270" s="795" t="s">
        <v>1882</v>
      </c>
      <c r="P270" s="796">
        <v>45224.473159542111</v>
      </c>
      <c r="Q270" s="796">
        <v>0</v>
      </c>
      <c r="R270" s="796">
        <v>23522.461983011202</v>
      </c>
      <c r="S270" s="796">
        <v>76793.762680266504</v>
      </c>
      <c r="T270" s="796">
        <v>76793.762680266504</v>
      </c>
      <c r="U270" s="796">
        <v>76793.762680266504</v>
      </c>
      <c r="V270" s="796">
        <v>230381.2880407995</v>
      </c>
      <c r="W270" s="796">
        <v>162838.2830469413</v>
      </c>
      <c r="X270" s="796">
        <v>11703.275917933001</v>
      </c>
      <c r="Y270" s="741">
        <v>76793.762680266504</v>
      </c>
      <c r="Z270" s="741">
        <v>76793.762680266504</v>
      </c>
      <c r="AA270" s="741">
        <v>76793.762680266504</v>
      </c>
      <c r="AB270" s="741">
        <v>230381.2880407995</v>
      </c>
      <c r="AC270" s="741">
        <v>162838.2830469413</v>
      </c>
      <c r="AD270" s="741">
        <v>0</v>
      </c>
      <c r="AE270" s="741" t="s">
        <v>59</v>
      </c>
      <c r="AF270" s="741" t="s">
        <v>59</v>
      </c>
      <c r="AG270" s="798" t="s">
        <v>1997</v>
      </c>
      <c r="AH270" s="798" t="s">
        <v>49</v>
      </c>
      <c r="AI270" s="798"/>
    </row>
    <row r="271" spans="1:35" ht="18.75" customHeight="1">
      <c r="A271" s="790">
        <v>266</v>
      </c>
      <c r="B271" s="790" t="s">
        <v>39</v>
      </c>
      <c r="C271" s="790" t="s">
        <v>492</v>
      </c>
      <c r="D271" s="790" t="s">
        <v>493</v>
      </c>
      <c r="E271" s="790" t="s">
        <v>51</v>
      </c>
      <c r="F271" s="791" t="s">
        <v>791</v>
      </c>
      <c r="G271" s="791" t="s">
        <v>53</v>
      </c>
      <c r="H271" s="791" t="s">
        <v>30</v>
      </c>
      <c r="I271" s="792" t="s">
        <v>2199</v>
      </c>
      <c r="J271" s="805" t="s">
        <v>61</v>
      </c>
      <c r="K271" s="793" t="s">
        <v>495</v>
      </c>
      <c r="L271" s="790">
        <v>2016</v>
      </c>
      <c r="M271" s="794">
        <v>707.90726606825797</v>
      </c>
      <c r="N271" s="795" t="s">
        <v>1882</v>
      </c>
      <c r="O271" s="795" t="s">
        <v>1882</v>
      </c>
      <c r="P271" s="796">
        <v>12.8873991206646</v>
      </c>
      <c r="Q271" s="796">
        <v>73.199999999999804</v>
      </c>
      <c r="R271" s="796">
        <v>12.864000000000001</v>
      </c>
      <c r="S271" s="796">
        <v>753.56745623509482</v>
      </c>
      <c r="T271" s="796">
        <v>753.56745623509482</v>
      </c>
      <c r="U271" s="796">
        <v>753.56745623509482</v>
      </c>
      <c r="V271" s="796">
        <v>2260.7023687052842</v>
      </c>
      <c r="W271" s="796">
        <v>1640.59908293117</v>
      </c>
      <c r="X271" s="796">
        <v>9</v>
      </c>
      <c r="Y271" s="741">
        <v>753.56745623509482</v>
      </c>
      <c r="Z271" s="741">
        <v>753.56745623509482</v>
      </c>
      <c r="AA271" s="741">
        <v>753.56745623509482</v>
      </c>
      <c r="AB271" s="741">
        <v>2260.7023687052842</v>
      </c>
      <c r="AC271" s="741">
        <v>1640.59908293117</v>
      </c>
      <c r="AD271" s="741">
        <v>8.9099997639655992</v>
      </c>
      <c r="AE271" s="741" t="s">
        <v>59</v>
      </c>
      <c r="AF271" s="741" t="s">
        <v>59</v>
      </c>
      <c r="AG271" s="798" t="s">
        <v>1997</v>
      </c>
      <c r="AH271" s="798" t="s">
        <v>49</v>
      </c>
      <c r="AI271" s="798"/>
    </row>
    <row r="272" spans="1:35" ht="18.75" customHeight="1">
      <c r="A272" s="790">
        <v>267</v>
      </c>
      <c r="B272" s="790" t="s">
        <v>39</v>
      </c>
      <c r="C272" s="790" t="s">
        <v>492</v>
      </c>
      <c r="D272" s="790" t="s">
        <v>493</v>
      </c>
      <c r="E272" s="790" t="s">
        <v>51</v>
      </c>
      <c r="F272" s="791" t="s">
        <v>791</v>
      </c>
      <c r="G272" s="791" t="s">
        <v>53</v>
      </c>
      <c r="H272" s="791" t="s">
        <v>30</v>
      </c>
      <c r="I272" s="792" t="s">
        <v>2199</v>
      </c>
      <c r="J272" s="805" t="s">
        <v>62</v>
      </c>
      <c r="K272" s="793" t="s">
        <v>495</v>
      </c>
      <c r="L272" s="790">
        <v>2016</v>
      </c>
      <c r="M272" s="794">
        <v>460.13974034962399</v>
      </c>
      <c r="N272" s="795" t="s">
        <v>1882</v>
      </c>
      <c r="O272" s="795" t="s">
        <v>1882</v>
      </c>
      <c r="P272" s="796">
        <v>12.371903503425401</v>
      </c>
      <c r="Q272" s="796">
        <v>54.899999127387851</v>
      </c>
      <c r="R272" s="796">
        <v>12.349440337371799</v>
      </c>
      <c r="S272" s="796">
        <v>453.21009833509379</v>
      </c>
      <c r="T272" s="796">
        <v>453.21009833509379</v>
      </c>
      <c r="U272" s="796">
        <v>453.21009833509379</v>
      </c>
      <c r="V272" s="796">
        <v>1359.6302950052814</v>
      </c>
      <c r="W272" s="796">
        <v>987.91345198046304</v>
      </c>
      <c r="X272" s="796">
        <v>5.8500002145767196</v>
      </c>
      <c r="Y272" s="741">
        <v>453.21009833509379</v>
      </c>
      <c r="Z272" s="741">
        <v>453.21009833509379</v>
      </c>
      <c r="AA272" s="741">
        <v>453.21009833509379</v>
      </c>
      <c r="AB272" s="741">
        <v>1359.6302950052814</v>
      </c>
      <c r="AC272" s="741">
        <v>987.91345198046304</v>
      </c>
      <c r="AD272" s="741">
        <v>5.7915000590085901</v>
      </c>
      <c r="AE272" s="741" t="s">
        <v>59</v>
      </c>
      <c r="AF272" s="741" t="s">
        <v>59</v>
      </c>
      <c r="AG272" s="798" t="s">
        <v>1997</v>
      </c>
      <c r="AH272" s="798" t="s">
        <v>49</v>
      </c>
      <c r="AI272" s="798"/>
    </row>
    <row r="273" spans="1:35" ht="18.75" customHeight="1">
      <c r="A273" s="790">
        <v>268</v>
      </c>
      <c r="B273" s="790" t="s">
        <v>39</v>
      </c>
      <c r="C273" s="790" t="s">
        <v>492</v>
      </c>
      <c r="D273" s="790" t="s">
        <v>493</v>
      </c>
      <c r="E273" s="790" t="s">
        <v>51</v>
      </c>
      <c r="F273" s="791" t="s">
        <v>792</v>
      </c>
      <c r="G273" s="791" t="s">
        <v>53</v>
      </c>
      <c r="H273" s="791" t="s">
        <v>30</v>
      </c>
      <c r="I273" s="792" t="s">
        <v>2199</v>
      </c>
      <c r="J273" s="805" t="s">
        <v>63</v>
      </c>
      <c r="K273" s="793" t="s">
        <v>495</v>
      </c>
      <c r="L273" s="790">
        <v>2016</v>
      </c>
      <c r="M273" s="794">
        <v>3201579.9480787599</v>
      </c>
      <c r="N273" s="795" t="s">
        <v>1882</v>
      </c>
      <c r="O273" s="795" t="s">
        <v>1882</v>
      </c>
      <c r="P273" s="796">
        <v>98792.021732779656</v>
      </c>
      <c r="Q273" s="796">
        <v>135989.99999999965</v>
      </c>
      <c r="R273" s="796">
        <v>2314097.0415604399</v>
      </c>
      <c r="S273" s="796">
        <v>3416127.574048162</v>
      </c>
      <c r="T273" s="796">
        <v>3416127.574048162</v>
      </c>
      <c r="U273" s="796">
        <v>3416127.574048162</v>
      </c>
      <c r="V273" s="796">
        <v>10248382.722144486</v>
      </c>
      <c r="W273" s="796">
        <v>7233238.2669063825</v>
      </c>
      <c r="X273" s="796">
        <v>55977.9</v>
      </c>
      <c r="Y273" s="741">
        <v>3416127.574048162</v>
      </c>
      <c r="Z273" s="741">
        <v>3416127.574048162</v>
      </c>
      <c r="AA273" s="741">
        <v>3416127.574048162</v>
      </c>
      <c r="AB273" s="741">
        <v>10248382.722144486</v>
      </c>
      <c r="AC273" s="741">
        <v>7233238.2669063825</v>
      </c>
      <c r="AD273" s="741">
        <v>38254.408986604198</v>
      </c>
      <c r="AE273" s="741" t="s">
        <v>59</v>
      </c>
      <c r="AF273" s="741" t="s">
        <v>59</v>
      </c>
      <c r="AG273" s="798" t="s">
        <v>1997</v>
      </c>
      <c r="AH273" s="798" t="s">
        <v>49</v>
      </c>
      <c r="AI273" s="798"/>
    </row>
    <row r="274" spans="1:35" ht="18.75" customHeight="1">
      <c r="A274" s="790">
        <v>269</v>
      </c>
      <c r="B274" s="790" t="s">
        <v>39</v>
      </c>
      <c r="C274" s="790" t="s">
        <v>492</v>
      </c>
      <c r="D274" s="790" t="s">
        <v>493</v>
      </c>
      <c r="E274" s="790" t="s">
        <v>51</v>
      </c>
      <c r="F274" s="791" t="s">
        <v>792</v>
      </c>
      <c r="G274" s="791" t="s">
        <v>53</v>
      </c>
      <c r="H274" s="791" t="s">
        <v>30</v>
      </c>
      <c r="I274" s="792" t="s">
        <v>2199</v>
      </c>
      <c r="J274" s="805" t="s">
        <v>64</v>
      </c>
      <c r="K274" s="793" t="s">
        <v>495</v>
      </c>
      <c r="L274" s="790">
        <v>2016</v>
      </c>
      <c r="M274" s="794">
        <v>2086029.36061803</v>
      </c>
      <c r="N274" s="795" t="s">
        <v>1882</v>
      </c>
      <c r="O274" s="795" t="s">
        <v>1882</v>
      </c>
      <c r="P274" s="796">
        <v>81628.25479150434</v>
      </c>
      <c r="Q274" s="796">
        <v>101992.49837887273</v>
      </c>
      <c r="R274" s="796">
        <v>1522565.7727726984</v>
      </c>
      <c r="S274" s="796">
        <v>2056560.1584205988</v>
      </c>
      <c r="T274" s="796">
        <v>2056560.1584205988</v>
      </c>
      <c r="U274" s="796">
        <v>2056560.1584205988</v>
      </c>
      <c r="V274" s="796">
        <v>6169680.4752617963</v>
      </c>
      <c r="W274" s="796">
        <v>4342380.8745407797</v>
      </c>
      <c r="X274" s="796">
        <v>37484.472286684599</v>
      </c>
      <c r="Y274" s="741">
        <v>2056560.1584205988</v>
      </c>
      <c r="Z274" s="741">
        <v>2056560.1584205988</v>
      </c>
      <c r="AA274" s="741">
        <v>2056560.1584205988</v>
      </c>
      <c r="AB274" s="741">
        <v>6169680.4752617963</v>
      </c>
      <c r="AC274" s="741">
        <v>4342380.8745407797</v>
      </c>
      <c r="AD274" s="741">
        <v>24865.366753348899</v>
      </c>
      <c r="AE274" s="741" t="s">
        <v>59</v>
      </c>
      <c r="AF274" s="741" t="s">
        <v>59</v>
      </c>
      <c r="AG274" s="798" t="s">
        <v>1997</v>
      </c>
      <c r="AH274" s="798" t="s">
        <v>49</v>
      </c>
      <c r="AI274" s="798"/>
    </row>
    <row r="275" spans="1:35" ht="18.75" customHeight="1">
      <c r="A275" s="790">
        <v>270</v>
      </c>
      <c r="B275" s="790" t="s">
        <v>39</v>
      </c>
      <c r="C275" s="790" t="s">
        <v>492</v>
      </c>
      <c r="D275" s="790" t="s">
        <v>493</v>
      </c>
      <c r="E275" s="790" t="s">
        <v>51</v>
      </c>
      <c r="F275" s="791" t="s">
        <v>793</v>
      </c>
      <c r="G275" s="791" t="s">
        <v>53</v>
      </c>
      <c r="H275" s="791" t="s">
        <v>30</v>
      </c>
      <c r="I275" s="792" t="s">
        <v>2199</v>
      </c>
      <c r="J275" s="805" t="s">
        <v>65</v>
      </c>
      <c r="K275" s="793" t="s">
        <v>495</v>
      </c>
      <c r="L275" s="790">
        <v>2016</v>
      </c>
      <c r="M275" s="794">
        <v>586854.62541833404</v>
      </c>
      <c r="N275" s="795" t="s">
        <v>1882</v>
      </c>
      <c r="O275" s="795" t="s">
        <v>1882</v>
      </c>
      <c r="P275" s="796">
        <v>112919.01675275473</v>
      </c>
      <c r="Q275" s="796">
        <v>0</v>
      </c>
      <c r="R275" s="796">
        <v>223515.88543103979</v>
      </c>
      <c r="S275" s="796">
        <v>639024.85504376807</v>
      </c>
      <c r="T275" s="796">
        <v>639024.85504376807</v>
      </c>
      <c r="U275" s="796">
        <v>639024.85504376807</v>
      </c>
      <c r="V275" s="796">
        <v>1917074.5651313043</v>
      </c>
      <c r="W275" s="796">
        <v>1360652.8953115994</v>
      </c>
      <c r="X275" s="796">
        <v>86053.5</v>
      </c>
      <c r="Y275" s="741">
        <v>639024.85504376807</v>
      </c>
      <c r="Z275" s="741">
        <v>639024.85504376807</v>
      </c>
      <c r="AA275" s="741">
        <v>639024.85504376807</v>
      </c>
      <c r="AB275" s="741">
        <v>1917074.5651313043</v>
      </c>
      <c r="AC275" s="741">
        <v>1360652.8953115994</v>
      </c>
      <c r="AD275" s="741">
        <v>0</v>
      </c>
      <c r="AE275" s="741" t="s">
        <v>59</v>
      </c>
      <c r="AF275" s="741" t="s">
        <v>59</v>
      </c>
      <c r="AG275" s="798" t="s">
        <v>1997</v>
      </c>
      <c r="AH275" s="798" t="s">
        <v>49</v>
      </c>
      <c r="AI275" s="798"/>
    </row>
    <row r="276" spans="1:35" ht="18.75" customHeight="1">
      <c r="A276" s="790">
        <v>271</v>
      </c>
      <c r="B276" s="790" t="s">
        <v>39</v>
      </c>
      <c r="C276" s="790" t="s">
        <v>492</v>
      </c>
      <c r="D276" s="790" t="s">
        <v>493</v>
      </c>
      <c r="E276" s="790" t="s">
        <v>51</v>
      </c>
      <c r="F276" s="791" t="s">
        <v>793</v>
      </c>
      <c r="G276" s="791" t="s">
        <v>53</v>
      </c>
      <c r="H276" s="791" t="s">
        <v>30</v>
      </c>
      <c r="I276" s="792" t="s">
        <v>2199</v>
      </c>
      <c r="J276" s="805" t="s">
        <v>66</v>
      </c>
      <c r="K276" s="793" t="s">
        <v>495</v>
      </c>
      <c r="L276" s="790">
        <v>2016</v>
      </c>
      <c r="M276" s="794">
        <v>384550.45941504597</v>
      </c>
      <c r="N276" s="795" t="s">
        <v>1882</v>
      </c>
      <c r="O276" s="795" t="s">
        <v>1882</v>
      </c>
      <c r="P276" s="796">
        <v>76731.475014908487</v>
      </c>
      <c r="Q276" s="796">
        <v>0</v>
      </c>
      <c r="R276" s="796">
        <v>149033.92251357349</v>
      </c>
      <c r="S276" s="796">
        <v>380595.1114908976</v>
      </c>
      <c r="T276" s="796">
        <v>380595.1114908976</v>
      </c>
      <c r="U276" s="796">
        <v>380595.1114908976</v>
      </c>
      <c r="V276" s="796">
        <v>1141785.3344726928</v>
      </c>
      <c r="W276" s="796">
        <v>807037.60732852644</v>
      </c>
      <c r="X276" s="796">
        <v>58516.379589664903</v>
      </c>
      <c r="Y276" s="741">
        <v>380595.1114908976</v>
      </c>
      <c r="Z276" s="741">
        <v>380595.1114908976</v>
      </c>
      <c r="AA276" s="741">
        <v>380595.1114908976</v>
      </c>
      <c r="AB276" s="741">
        <v>1141785.3344726928</v>
      </c>
      <c r="AC276" s="741">
        <v>807037.60732852644</v>
      </c>
      <c r="AD276" s="741">
        <v>0</v>
      </c>
      <c r="AE276" s="741" t="s">
        <v>59</v>
      </c>
      <c r="AF276" s="741" t="s">
        <v>59</v>
      </c>
      <c r="AG276" s="798" t="s">
        <v>1997</v>
      </c>
      <c r="AH276" s="798" t="s">
        <v>49</v>
      </c>
      <c r="AI276" s="798"/>
    </row>
    <row r="277" spans="1:35" ht="18.75" customHeight="1">
      <c r="A277" s="790">
        <v>272</v>
      </c>
      <c r="B277" s="790" t="s">
        <v>39</v>
      </c>
      <c r="C277" s="790" t="s">
        <v>492</v>
      </c>
      <c r="D277" s="790" t="s">
        <v>496</v>
      </c>
      <c r="E277" s="790" t="s">
        <v>42</v>
      </c>
      <c r="F277" s="791" t="s">
        <v>43</v>
      </c>
      <c r="G277" s="791" t="s">
        <v>44</v>
      </c>
      <c r="H277" s="791" t="s">
        <v>30</v>
      </c>
      <c r="I277" s="792" t="s">
        <v>1899</v>
      </c>
      <c r="J277" s="792" t="s">
        <v>46</v>
      </c>
      <c r="K277" s="793" t="s">
        <v>495</v>
      </c>
      <c r="L277" s="790">
        <v>2016</v>
      </c>
      <c r="M277" s="794">
        <v>555.42571383398445</v>
      </c>
      <c r="N277" s="795" t="s">
        <v>1882</v>
      </c>
      <c r="O277" s="795" t="s">
        <v>1882</v>
      </c>
      <c r="P277" s="796">
        <v>256.76008818839563</v>
      </c>
      <c r="Q277" s="796">
        <v>7.2108696353863015</v>
      </c>
      <c r="R277" s="796">
        <v>199</v>
      </c>
      <c r="S277" s="796">
        <v>101.67043606130515</v>
      </c>
      <c r="T277" s="796">
        <v>101.67043606130515</v>
      </c>
      <c r="U277" s="796">
        <v>101.67043606130515</v>
      </c>
      <c r="V277" s="796">
        <v>305.01130818391545</v>
      </c>
      <c r="W277" s="796">
        <v>210.11767339224494</v>
      </c>
      <c r="X277" s="796">
        <v>66</v>
      </c>
      <c r="Y277" s="741">
        <v>101.67043606130515</v>
      </c>
      <c r="Z277" s="741">
        <v>101.67043606130515</v>
      </c>
      <c r="AA277" s="741">
        <v>101.67043606130515</v>
      </c>
      <c r="AB277" s="741">
        <v>305.01130818391545</v>
      </c>
      <c r="AC277" s="741">
        <v>210.11767339224494</v>
      </c>
      <c r="AD277" s="741">
        <v>1.8062420433562247</v>
      </c>
      <c r="AE277" s="741" t="s">
        <v>59</v>
      </c>
      <c r="AF277" s="741" t="s">
        <v>59</v>
      </c>
      <c r="AG277" s="798" t="s">
        <v>1999</v>
      </c>
      <c r="AH277" s="798" t="s">
        <v>2000</v>
      </c>
      <c r="AI277" s="798"/>
    </row>
    <row r="278" spans="1:35" ht="18.75" customHeight="1">
      <c r="A278" s="790">
        <v>273</v>
      </c>
      <c r="B278" s="790" t="s">
        <v>39</v>
      </c>
      <c r="C278" s="790" t="s">
        <v>492</v>
      </c>
      <c r="D278" s="790" t="s">
        <v>498</v>
      </c>
      <c r="E278" s="790" t="s">
        <v>499</v>
      </c>
      <c r="F278" s="791" t="s">
        <v>142</v>
      </c>
      <c r="G278" s="791" t="s">
        <v>1951</v>
      </c>
      <c r="H278" s="791" t="s">
        <v>30</v>
      </c>
      <c r="I278" s="792" t="s">
        <v>2055</v>
      </c>
      <c r="J278" s="792" t="s">
        <v>327</v>
      </c>
      <c r="K278" s="793" t="s">
        <v>495</v>
      </c>
      <c r="L278" s="790">
        <v>2016</v>
      </c>
      <c r="M278" s="804">
        <v>0.12121212121212122</v>
      </c>
      <c r="N278" s="795">
        <v>4</v>
      </c>
      <c r="O278" s="795">
        <v>33</v>
      </c>
      <c r="P278" s="802">
        <v>3.0303030303030304E-2</v>
      </c>
      <c r="Q278" s="802">
        <v>3.4482758620689655E-2</v>
      </c>
      <c r="R278" s="802">
        <v>0</v>
      </c>
      <c r="S278" s="796">
        <v>1.0432380567299792E-2</v>
      </c>
      <c r="T278" s="796">
        <v>1.0432380567299792E-2</v>
      </c>
      <c r="U278" s="796">
        <v>1.0432380567299792E-2</v>
      </c>
      <c r="V278" s="796">
        <v>3.1297141701899373E-2</v>
      </c>
      <c r="W278" s="796">
        <v>2.1560127188023016E-2</v>
      </c>
      <c r="X278" s="802">
        <v>0</v>
      </c>
      <c r="Y278" s="741">
        <v>1.0432380567299792E-2</v>
      </c>
      <c r="Z278" s="741">
        <v>1.0432380567299792E-2</v>
      </c>
      <c r="AA278" s="741">
        <v>1.0432380567299792E-2</v>
      </c>
      <c r="AB278" s="741">
        <v>3.1297141701899373E-2</v>
      </c>
      <c r="AC278" s="741">
        <v>2.1560127188023016E-2</v>
      </c>
      <c r="AD278" s="741">
        <v>1.2500000000000001E-2</v>
      </c>
      <c r="AE278" s="741">
        <v>1</v>
      </c>
      <c r="AF278" s="741">
        <v>80</v>
      </c>
      <c r="AG278" s="798" t="s">
        <v>2007</v>
      </c>
      <c r="AH278" s="798" t="s">
        <v>2008</v>
      </c>
      <c r="AI278" s="798"/>
    </row>
    <row r="279" spans="1:35" ht="18.75" customHeight="1">
      <c r="A279" s="790">
        <v>274</v>
      </c>
      <c r="B279" s="790" t="s">
        <v>39</v>
      </c>
      <c r="C279" s="790" t="s">
        <v>492</v>
      </c>
      <c r="D279" s="790" t="s">
        <v>498</v>
      </c>
      <c r="E279" s="790" t="s">
        <v>499</v>
      </c>
      <c r="F279" s="791" t="s">
        <v>142</v>
      </c>
      <c r="G279" s="791" t="s">
        <v>1951</v>
      </c>
      <c r="H279" s="791" t="s">
        <v>30</v>
      </c>
      <c r="I279" s="792" t="s">
        <v>2055</v>
      </c>
      <c r="J279" s="792" t="s">
        <v>330</v>
      </c>
      <c r="K279" s="793" t="s">
        <v>495</v>
      </c>
      <c r="L279" s="790">
        <v>2016</v>
      </c>
      <c r="M279" s="804">
        <v>2.7027027027027029E-2</v>
      </c>
      <c r="N279" s="795">
        <v>18</v>
      </c>
      <c r="O279" s="795">
        <v>666</v>
      </c>
      <c r="P279" s="802">
        <v>4.4910179640718561E-3</v>
      </c>
      <c r="Q279" s="802">
        <v>6.024096385542169E-3</v>
      </c>
      <c r="R279" s="802">
        <v>4.9019607843137254E-3</v>
      </c>
      <c r="S279" s="796">
        <v>1.0432380567299792E-2</v>
      </c>
      <c r="T279" s="796">
        <v>1.0432380567299792E-2</v>
      </c>
      <c r="U279" s="796">
        <v>1.0432380567299792E-2</v>
      </c>
      <c r="V279" s="796">
        <v>3.1297141701899373E-2</v>
      </c>
      <c r="W279" s="796">
        <v>2.1560127188023016E-2</v>
      </c>
      <c r="X279" s="802">
        <v>7.0175438596491229E-3</v>
      </c>
      <c r="Y279" s="741">
        <v>1.0432380567299792E-2</v>
      </c>
      <c r="Z279" s="741">
        <v>1.0432380567299792E-2</v>
      </c>
      <c r="AA279" s="741">
        <v>1.0432380567299792E-2</v>
      </c>
      <c r="AB279" s="741">
        <v>3.1297141701899373E-2</v>
      </c>
      <c r="AC279" s="741">
        <v>2.1560127188023016E-2</v>
      </c>
      <c r="AD279" s="741">
        <v>0</v>
      </c>
      <c r="AE279" s="741">
        <v>0</v>
      </c>
      <c r="AF279" s="741">
        <v>796</v>
      </c>
      <c r="AG279" s="798" t="s">
        <v>2009</v>
      </c>
      <c r="AH279" s="798" t="s">
        <v>2010</v>
      </c>
      <c r="AI279" s="798"/>
    </row>
    <row r="280" spans="1:35" ht="18.75" customHeight="1">
      <c r="A280" s="790">
        <v>275</v>
      </c>
      <c r="B280" s="790" t="s">
        <v>39</v>
      </c>
      <c r="C280" s="790" t="s">
        <v>492</v>
      </c>
      <c r="D280" s="790" t="s">
        <v>498</v>
      </c>
      <c r="E280" s="790" t="s">
        <v>499</v>
      </c>
      <c r="F280" s="791" t="s">
        <v>142</v>
      </c>
      <c r="G280" s="791" t="s">
        <v>1951</v>
      </c>
      <c r="H280" s="791" t="s">
        <v>30</v>
      </c>
      <c r="I280" s="792" t="s">
        <v>2055</v>
      </c>
      <c r="J280" s="792" t="s">
        <v>333</v>
      </c>
      <c r="K280" s="793" t="s">
        <v>495</v>
      </c>
      <c r="L280" s="790">
        <v>2016</v>
      </c>
      <c r="M280" s="804">
        <v>2.2650056625141564E-3</v>
      </c>
      <c r="N280" s="795">
        <v>6</v>
      </c>
      <c r="O280" s="795">
        <v>2649</v>
      </c>
      <c r="P280" s="802">
        <v>1.128668171557562E-3</v>
      </c>
      <c r="Q280" s="802">
        <v>0</v>
      </c>
      <c r="R280" s="802">
        <v>1.2432656444260257E-3</v>
      </c>
      <c r="S280" s="796">
        <v>1.0432380567299792E-2</v>
      </c>
      <c r="T280" s="796">
        <v>1.0432380567299792E-2</v>
      </c>
      <c r="U280" s="796">
        <v>1.0432380567299792E-2</v>
      </c>
      <c r="V280" s="796">
        <v>3.1297141701899373E-2</v>
      </c>
      <c r="W280" s="796">
        <v>2.1560127188023012E-2</v>
      </c>
      <c r="X280" s="802">
        <v>4.2789901583226359E-4</v>
      </c>
      <c r="Y280" s="741">
        <v>1.0432380567299792E-2</v>
      </c>
      <c r="Z280" s="741">
        <v>1.0432380567299792E-2</v>
      </c>
      <c r="AA280" s="741">
        <v>1.0432380567299792E-2</v>
      </c>
      <c r="AB280" s="741">
        <v>3.1297141701899373E-2</v>
      </c>
      <c r="AC280" s="741">
        <v>2.1560127188023012E-2</v>
      </c>
      <c r="AD280" s="741">
        <v>0</v>
      </c>
      <c r="AE280" s="741">
        <v>0</v>
      </c>
      <c r="AF280" s="741">
        <v>2460</v>
      </c>
      <c r="AG280" s="798" t="s">
        <v>2012</v>
      </c>
      <c r="AH280" s="798" t="s">
        <v>2056</v>
      </c>
      <c r="AI280" s="798"/>
    </row>
    <row r="281" spans="1:35" ht="18.75" customHeight="1">
      <c r="A281" s="790">
        <v>276</v>
      </c>
      <c r="B281" s="790" t="s">
        <v>39</v>
      </c>
      <c r="C281" s="790" t="s">
        <v>492</v>
      </c>
      <c r="D281" s="790" t="s">
        <v>507</v>
      </c>
      <c r="E281" s="790" t="s">
        <v>91</v>
      </c>
      <c r="F281" s="791" t="s">
        <v>797</v>
      </c>
      <c r="G281" s="791" t="s">
        <v>93</v>
      </c>
      <c r="H281" s="791" t="s">
        <v>30</v>
      </c>
      <c r="I281" s="792" t="s">
        <v>1924</v>
      </c>
      <c r="J281" s="792" t="s">
        <v>92</v>
      </c>
      <c r="K281" s="793" t="s">
        <v>495</v>
      </c>
      <c r="L281" s="790">
        <v>2016</v>
      </c>
      <c r="M281" s="794">
        <v>557.7382705950638</v>
      </c>
      <c r="N281" s="795">
        <v>256637.543014661</v>
      </c>
      <c r="O281" s="795">
        <v>460.13974034962399</v>
      </c>
      <c r="P281" s="796">
        <v>2178.6779948029844</v>
      </c>
      <c r="Q281" s="796">
        <v>3080.0977961489493</v>
      </c>
      <c r="R281" s="796">
        <v>15387.456834716677</v>
      </c>
      <c r="S281" s="796">
        <v>560.7661096516083</v>
      </c>
      <c r="T281" s="796">
        <v>560.7661096516083</v>
      </c>
      <c r="U281" s="796">
        <v>560.7661096516083</v>
      </c>
      <c r="V281" s="796">
        <v>1682.2983289548249</v>
      </c>
      <c r="W281" s="796">
        <v>1115.9245582067006</v>
      </c>
      <c r="X281" s="796">
        <v>3281.7059405459745</v>
      </c>
      <c r="Y281" s="741">
        <v>560.7661096516083</v>
      </c>
      <c r="Z281" s="741">
        <v>560.7661096516083</v>
      </c>
      <c r="AA281" s="741">
        <v>560.7661096516083</v>
      </c>
      <c r="AB281" s="741">
        <v>1682.2983289548249</v>
      </c>
      <c r="AC281" s="741">
        <v>1115.9245582067006</v>
      </c>
      <c r="AD281" s="741">
        <v>14177.448866483524</v>
      </c>
      <c r="AE281" s="741">
        <v>82108.695946830601</v>
      </c>
      <c r="AF281" s="741">
        <v>5.7915000590085901</v>
      </c>
      <c r="AG281" s="798" t="s">
        <v>1958</v>
      </c>
      <c r="AH281" s="798" t="s">
        <v>1959</v>
      </c>
      <c r="AI281" s="798"/>
    </row>
    <row r="282" spans="1:35" ht="18.75" customHeight="1">
      <c r="A282" s="790">
        <v>277</v>
      </c>
      <c r="B282" s="790" t="s">
        <v>39</v>
      </c>
      <c r="C282" s="790" t="s">
        <v>492</v>
      </c>
      <c r="D282" s="790" t="s">
        <v>507</v>
      </c>
      <c r="E282" s="790" t="s">
        <v>91</v>
      </c>
      <c r="F282" s="791" t="s">
        <v>798</v>
      </c>
      <c r="G282" s="791" t="s">
        <v>93</v>
      </c>
      <c r="H282" s="791" t="s">
        <v>30</v>
      </c>
      <c r="I282" s="792" t="s">
        <v>1924</v>
      </c>
      <c r="J282" s="792" t="s">
        <v>95</v>
      </c>
      <c r="K282" s="793" t="s">
        <v>495</v>
      </c>
      <c r="L282" s="790">
        <v>2016</v>
      </c>
      <c r="M282" s="799">
        <v>0.12302681249827986</v>
      </c>
      <c r="N282" s="795">
        <v>256637.543014661</v>
      </c>
      <c r="O282" s="795">
        <v>2086029.36061803</v>
      </c>
      <c r="P282" s="800">
        <v>0.33020911675235559</v>
      </c>
      <c r="Q282" s="800">
        <v>1.6579392505191763</v>
      </c>
      <c r="R282" s="800">
        <v>0.12480674629784042</v>
      </c>
      <c r="S282" s="796">
        <v>0.12193248907846088</v>
      </c>
      <c r="T282" s="796">
        <v>0.12193248907846088</v>
      </c>
      <c r="U282" s="796">
        <v>0.12193248907846088</v>
      </c>
      <c r="V282" s="796">
        <v>0.36579746723538265</v>
      </c>
      <c r="W282" s="796">
        <v>0.24264565326613716</v>
      </c>
      <c r="X282" s="800">
        <v>0.52529079073738127</v>
      </c>
      <c r="Y282" s="741">
        <v>0.12193248907846088</v>
      </c>
      <c r="Z282" s="741">
        <v>0.12193248907846088</v>
      </c>
      <c r="AA282" s="741">
        <v>0.12193248907846088</v>
      </c>
      <c r="AB282" s="741">
        <v>0.36579746723538265</v>
      </c>
      <c r="AC282" s="741">
        <v>0.24264565326613716</v>
      </c>
      <c r="AD282" s="741">
        <v>3.3021309020415757</v>
      </c>
      <c r="AE282" s="741">
        <v>82108.695946830601</v>
      </c>
      <c r="AF282" s="741">
        <v>24865.366753348899</v>
      </c>
      <c r="AG282" s="798" t="s">
        <v>2021</v>
      </c>
      <c r="AH282" s="798" t="s">
        <v>1959</v>
      </c>
      <c r="AI282" s="798"/>
    </row>
    <row r="283" spans="1:35" ht="18.75" customHeight="1">
      <c r="A283" s="790">
        <v>278</v>
      </c>
      <c r="B283" s="790" t="s">
        <v>39</v>
      </c>
      <c r="C283" s="790" t="s">
        <v>492</v>
      </c>
      <c r="D283" s="790" t="s">
        <v>507</v>
      </c>
      <c r="E283" s="790" t="s">
        <v>91</v>
      </c>
      <c r="F283" s="791" t="s">
        <v>799</v>
      </c>
      <c r="G283" s="791" t="s">
        <v>93</v>
      </c>
      <c r="H283" s="791" t="s">
        <v>30</v>
      </c>
      <c r="I283" s="792" t="s">
        <v>1924</v>
      </c>
      <c r="J283" s="792" t="s">
        <v>96</v>
      </c>
      <c r="K283" s="793" t="s">
        <v>495</v>
      </c>
      <c r="L283" s="790">
        <v>2016</v>
      </c>
      <c r="M283" s="799">
        <v>0.95781217306466115</v>
      </c>
      <c r="N283" s="795">
        <v>368327.11118533899</v>
      </c>
      <c r="O283" s="795">
        <v>384550.45941504597</v>
      </c>
      <c r="P283" s="796">
        <v>2.438699452172707</v>
      </c>
      <c r="Q283" s="796">
        <v>0</v>
      </c>
      <c r="R283" s="796">
        <v>1.7285575259055532</v>
      </c>
      <c r="S283" s="796">
        <v>0.95029347729776137</v>
      </c>
      <c r="T283" s="796">
        <v>0.95029347729776137</v>
      </c>
      <c r="U283" s="796">
        <v>0.95029347729776137</v>
      </c>
      <c r="V283" s="796">
        <v>2.8508804318932839</v>
      </c>
      <c r="W283" s="796">
        <v>1.8910840198225451</v>
      </c>
      <c r="X283" s="800">
        <v>5.7328319341210303</v>
      </c>
      <c r="Y283" s="741">
        <v>0.95029347729776137</v>
      </c>
      <c r="Z283" s="741">
        <v>0.95029347729776137</v>
      </c>
      <c r="AA283" s="741">
        <v>0.95029347729776137</v>
      </c>
      <c r="AB283" s="741">
        <v>2.8508804318932839</v>
      </c>
      <c r="AC283" s="741">
        <v>1.8910840198225451</v>
      </c>
      <c r="AD283" s="741">
        <v>0</v>
      </c>
      <c r="AE283" s="741">
        <v>0</v>
      </c>
      <c r="AF283" s="741">
        <v>0</v>
      </c>
      <c r="AG283" s="798" t="s">
        <v>1961</v>
      </c>
      <c r="AH283" s="798" t="s">
        <v>1959</v>
      </c>
      <c r="AI283" s="798"/>
    </row>
    <row r="284" spans="1:35" ht="18.75" customHeight="1">
      <c r="A284" s="790">
        <v>279</v>
      </c>
      <c r="B284" s="790" t="s">
        <v>39</v>
      </c>
      <c r="C284" s="790" t="s">
        <v>492</v>
      </c>
      <c r="D284" s="790" t="s">
        <v>507</v>
      </c>
      <c r="E284" s="790" t="s">
        <v>91</v>
      </c>
      <c r="F284" s="791" t="s">
        <v>797</v>
      </c>
      <c r="G284" s="791" t="s">
        <v>93</v>
      </c>
      <c r="H284" s="791" t="s">
        <v>30</v>
      </c>
      <c r="I284" s="792" t="s">
        <v>1924</v>
      </c>
      <c r="J284" s="792" t="s">
        <v>97</v>
      </c>
      <c r="K284" s="793" t="s">
        <v>495</v>
      </c>
      <c r="L284" s="790">
        <v>2016</v>
      </c>
      <c r="M284" s="794">
        <v>446.3922208493741</v>
      </c>
      <c r="N284" s="795">
        <v>205402.80059572301</v>
      </c>
      <c r="O284" s="795">
        <v>460.13974034962399</v>
      </c>
      <c r="P284" s="796">
        <v>2469.3221680112347</v>
      </c>
      <c r="Q284" s="796">
        <v>3245.1410695622044</v>
      </c>
      <c r="R284" s="796">
        <v>16855.870276583322</v>
      </c>
      <c r="S284" s="796">
        <v>455.63153795905856</v>
      </c>
      <c r="T284" s="796">
        <v>455.63153795905856</v>
      </c>
      <c r="U284" s="796">
        <v>455.63153795905856</v>
      </c>
      <c r="V284" s="796">
        <v>1366.8946138771757</v>
      </c>
      <c r="W284" s="796">
        <v>906.70676053852651</v>
      </c>
      <c r="X284" s="796">
        <v>3300.2432569697903</v>
      </c>
      <c r="Y284" s="741">
        <v>455.63153795905856</v>
      </c>
      <c r="Z284" s="741">
        <v>455.63153795905856</v>
      </c>
      <c r="AA284" s="741">
        <v>455.63153795905856</v>
      </c>
      <c r="AB284" s="741">
        <v>1366.8946138771757</v>
      </c>
      <c r="AC284" s="741">
        <v>906.70676053852651</v>
      </c>
      <c r="AD284" s="741">
        <v>16419.62890544207</v>
      </c>
      <c r="AE284" s="741">
        <v>95094.281774766903</v>
      </c>
      <c r="AF284" s="741">
        <v>5.7915000590085901</v>
      </c>
      <c r="AG284" s="798" t="s">
        <v>1962</v>
      </c>
      <c r="AH284" s="798" t="s">
        <v>1959</v>
      </c>
      <c r="AI284" s="798"/>
    </row>
    <row r="285" spans="1:35" ht="18.75" customHeight="1">
      <c r="A285" s="790">
        <v>280</v>
      </c>
      <c r="B285" s="790" t="s">
        <v>39</v>
      </c>
      <c r="C285" s="790" t="s">
        <v>492</v>
      </c>
      <c r="D285" s="790" t="s">
        <v>507</v>
      </c>
      <c r="E285" s="790" t="s">
        <v>91</v>
      </c>
      <c r="F285" s="791" t="s">
        <v>798</v>
      </c>
      <c r="G285" s="791" t="s">
        <v>93</v>
      </c>
      <c r="H285" s="791" t="s">
        <v>30</v>
      </c>
      <c r="I285" s="792" t="s">
        <v>1924</v>
      </c>
      <c r="J285" s="792" t="s">
        <v>98</v>
      </c>
      <c r="K285" s="793" t="s">
        <v>495</v>
      </c>
      <c r="L285" s="790">
        <v>2016</v>
      </c>
      <c r="M285" s="799">
        <v>9.8465920218336778E-2</v>
      </c>
      <c r="N285" s="795">
        <v>205402.80059572301</v>
      </c>
      <c r="O285" s="795">
        <v>2086029.36061803</v>
      </c>
      <c r="P285" s="800">
        <v>0.37426030557110235</v>
      </c>
      <c r="Q285" s="800">
        <v>1.7467778975803594</v>
      </c>
      <c r="R285" s="800">
        <v>0.13671696030317923</v>
      </c>
      <c r="S285" s="796">
        <v>9.9072120389927174E-2</v>
      </c>
      <c r="T285" s="796">
        <v>9.9072120389927174E-2</v>
      </c>
      <c r="U285" s="796">
        <v>9.9072120389927174E-2</v>
      </c>
      <c r="V285" s="796">
        <v>0.29721636116978151</v>
      </c>
      <c r="W285" s="796">
        <v>0.19715351957595506</v>
      </c>
      <c r="X285" s="800">
        <v>0.52826431388909245</v>
      </c>
      <c r="Y285" s="741">
        <v>9.9072120389927174E-2</v>
      </c>
      <c r="Z285" s="741">
        <v>9.9072120389927174E-2</v>
      </c>
      <c r="AA285" s="741">
        <v>9.9072120389927174E-2</v>
      </c>
      <c r="AB285" s="741">
        <v>0.29721636116978151</v>
      </c>
      <c r="AC285" s="741">
        <v>0.19715351957595506</v>
      </c>
      <c r="AD285" s="741">
        <v>3.8243667474544485</v>
      </c>
      <c r="AE285" s="741">
        <v>95094.281774766903</v>
      </c>
      <c r="AF285" s="741">
        <v>24865.366753348899</v>
      </c>
      <c r="AG285" s="798" t="s">
        <v>2023</v>
      </c>
      <c r="AH285" s="798" t="s">
        <v>1959</v>
      </c>
      <c r="AI285" s="798"/>
    </row>
    <row r="286" spans="1:35" ht="18.75" customHeight="1">
      <c r="A286" s="790">
        <v>281</v>
      </c>
      <c r="B286" s="790" t="s">
        <v>39</v>
      </c>
      <c r="C286" s="790" t="s">
        <v>492</v>
      </c>
      <c r="D286" s="790" t="s">
        <v>507</v>
      </c>
      <c r="E286" s="790" t="s">
        <v>91</v>
      </c>
      <c r="F286" s="791" t="s">
        <v>799</v>
      </c>
      <c r="G286" s="791" t="s">
        <v>93</v>
      </c>
      <c r="H286" s="791" t="s">
        <v>30</v>
      </c>
      <c r="I286" s="792" t="s">
        <v>1924</v>
      </c>
      <c r="J286" s="792" t="s">
        <v>99</v>
      </c>
      <c r="K286" s="793" t="s">
        <v>495</v>
      </c>
      <c r="L286" s="790">
        <v>2016</v>
      </c>
      <c r="M286" s="799">
        <v>0.76659595662088242</v>
      </c>
      <c r="N286" s="795">
        <v>294794.82730427699</v>
      </c>
      <c r="O286" s="795">
        <v>384550.45941504597</v>
      </c>
      <c r="P286" s="796">
        <v>2.7640315056798817</v>
      </c>
      <c r="Q286" s="796">
        <v>0</v>
      </c>
      <c r="R286" s="796">
        <v>1.8935124715696592</v>
      </c>
      <c r="S286" s="796">
        <v>0.77212882719079434</v>
      </c>
      <c r="T286" s="796">
        <v>0.77212882719079434</v>
      </c>
      <c r="U286" s="796">
        <v>0.77212882719079434</v>
      </c>
      <c r="V286" s="796">
        <v>2.3163864815723829</v>
      </c>
      <c r="W286" s="796">
        <v>1.5365363661096807</v>
      </c>
      <c r="X286" s="800">
        <v>5.7652148841758653</v>
      </c>
      <c r="Y286" s="741">
        <v>0.77212882719079434</v>
      </c>
      <c r="Z286" s="741">
        <v>0.77212882719079434</v>
      </c>
      <c r="AA286" s="741">
        <v>0.77212882719079434</v>
      </c>
      <c r="AB286" s="741">
        <v>2.3163864815723829</v>
      </c>
      <c r="AC286" s="741">
        <v>1.5365363661096807</v>
      </c>
      <c r="AD286" s="741">
        <v>0</v>
      </c>
      <c r="AE286" s="741">
        <v>0</v>
      </c>
      <c r="AF286" s="741">
        <v>0</v>
      </c>
      <c r="AG286" s="798" t="s">
        <v>2023</v>
      </c>
      <c r="AH286" s="798" t="s">
        <v>1959</v>
      </c>
      <c r="AI286" s="798"/>
    </row>
    <row r="287" spans="1:35" ht="18.75" customHeight="1">
      <c r="A287" s="790">
        <v>282</v>
      </c>
      <c r="B287" s="790" t="s">
        <v>39</v>
      </c>
      <c r="C287" s="790" t="s">
        <v>509</v>
      </c>
      <c r="D287" s="790" t="s">
        <v>510</v>
      </c>
      <c r="E287" s="790" t="s">
        <v>51</v>
      </c>
      <c r="F287" s="791" t="s">
        <v>511</v>
      </c>
      <c r="G287" s="791" t="s">
        <v>53</v>
      </c>
      <c r="H287" s="791" t="s">
        <v>30</v>
      </c>
      <c r="I287" s="792" t="s">
        <v>2067</v>
      </c>
      <c r="J287" s="792" t="s">
        <v>513</v>
      </c>
      <c r="K287" s="793" t="s">
        <v>514</v>
      </c>
      <c r="L287" s="790">
        <v>2016</v>
      </c>
      <c r="M287" s="794">
        <v>1402</v>
      </c>
      <c r="N287" s="795" t="s">
        <v>1882</v>
      </c>
      <c r="O287" s="795" t="s">
        <v>1882</v>
      </c>
      <c r="P287" s="796">
        <v>1889.2407150000001</v>
      </c>
      <c r="Q287" s="796">
        <v>1450</v>
      </c>
      <c r="R287" s="796">
        <v>1327</v>
      </c>
      <c r="S287" s="796">
        <v>1212</v>
      </c>
      <c r="T287" s="796">
        <v>1212</v>
      </c>
      <c r="U287" s="796">
        <v>1212</v>
      </c>
      <c r="V287" s="796">
        <v>3636</v>
      </c>
      <c r="W287" s="796">
        <v>2514</v>
      </c>
      <c r="X287" s="796">
        <v>2699</v>
      </c>
      <c r="Y287" s="741">
        <v>1212</v>
      </c>
      <c r="Z287" s="741">
        <v>1212</v>
      </c>
      <c r="AA287" s="741">
        <v>1212</v>
      </c>
      <c r="AB287" s="741">
        <v>3636</v>
      </c>
      <c r="AC287" s="741">
        <v>2514</v>
      </c>
      <c r="AD287" s="741">
        <v>0</v>
      </c>
      <c r="AE287" s="741" t="s">
        <v>59</v>
      </c>
      <c r="AF287" s="741" t="s">
        <v>59</v>
      </c>
      <c r="AG287" s="809" t="s">
        <v>515</v>
      </c>
      <c r="AH287" s="810" t="s">
        <v>516</v>
      </c>
      <c r="AI287" s="798"/>
    </row>
    <row r="288" spans="1:35" ht="18.75" customHeight="1">
      <c r="A288" s="790">
        <v>283</v>
      </c>
      <c r="B288" s="790" t="s">
        <v>39</v>
      </c>
      <c r="C288" s="790" t="s">
        <v>509</v>
      </c>
      <c r="D288" s="790" t="s">
        <v>510</v>
      </c>
      <c r="E288" s="790" t="s">
        <v>51</v>
      </c>
      <c r="F288" s="791" t="s">
        <v>517</v>
      </c>
      <c r="G288" s="791" t="s">
        <v>53</v>
      </c>
      <c r="H288" s="791" t="s">
        <v>30</v>
      </c>
      <c r="I288" s="792" t="s">
        <v>2068</v>
      </c>
      <c r="J288" s="792" t="s">
        <v>518</v>
      </c>
      <c r="K288" s="793" t="s">
        <v>514</v>
      </c>
      <c r="L288" s="790">
        <v>2016</v>
      </c>
      <c r="M288" s="794">
        <v>29</v>
      </c>
      <c r="N288" s="795" t="s">
        <v>1882</v>
      </c>
      <c r="O288" s="795" t="s">
        <v>1882</v>
      </c>
      <c r="P288" s="796">
        <v>42.220838000000001</v>
      </c>
      <c r="Q288" s="796">
        <v>45</v>
      </c>
      <c r="R288" s="796">
        <v>45</v>
      </c>
      <c r="S288" s="796">
        <v>42</v>
      </c>
      <c r="T288" s="796">
        <v>42</v>
      </c>
      <c r="U288" s="796">
        <v>42</v>
      </c>
      <c r="V288" s="796">
        <v>126</v>
      </c>
      <c r="W288" s="796">
        <v>84</v>
      </c>
      <c r="X288" s="796">
        <v>37.9</v>
      </c>
      <c r="Y288" s="741">
        <v>42</v>
      </c>
      <c r="Z288" s="741">
        <v>42</v>
      </c>
      <c r="AA288" s="741">
        <v>42</v>
      </c>
      <c r="AB288" s="741">
        <v>126</v>
      </c>
      <c r="AC288" s="741">
        <v>84</v>
      </c>
      <c r="AD288" s="741">
        <v>0</v>
      </c>
      <c r="AE288" s="741" t="s">
        <v>59</v>
      </c>
      <c r="AF288" s="741" t="s">
        <v>59</v>
      </c>
      <c r="AG288" s="811" t="s">
        <v>515</v>
      </c>
      <c r="AH288" s="812" t="s">
        <v>519</v>
      </c>
      <c r="AI288" s="798"/>
    </row>
    <row r="289" spans="1:35" ht="18.75" customHeight="1">
      <c r="A289" s="790">
        <v>284</v>
      </c>
      <c r="B289" s="790" t="s">
        <v>39</v>
      </c>
      <c r="C289" s="790" t="s">
        <v>509</v>
      </c>
      <c r="D289" s="790" t="s">
        <v>510</v>
      </c>
      <c r="E289" s="790" t="s">
        <v>51</v>
      </c>
      <c r="F289" s="791" t="s">
        <v>520</v>
      </c>
      <c r="G289" s="791" t="s">
        <v>53</v>
      </c>
      <c r="H289" s="791" t="s">
        <v>30</v>
      </c>
      <c r="I289" s="792" t="s">
        <v>2069</v>
      </c>
      <c r="J289" s="792" t="s">
        <v>521</v>
      </c>
      <c r="K289" s="793" t="s">
        <v>514</v>
      </c>
      <c r="L289" s="790">
        <v>2016</v>
      </c>
      <c r="M289" s="794">
        <v>272</v>
      </c>
      <c r="N289" s="795" t="s">
        <v>1882</v>
      </c>
      <c r="O289" s="795" t="s">
        <v>1882</v>
      </c>
      <c r="P289" s="796">
        <v>345.94200000000001</v>
      </c>
      <c r="Q289" s="796">
        <v>333</v>
      </c>
      <c r="R289" s="796">
        <v>298</v>
      </c>
      <c r="S289" s="796">
        <v>272</v>
      </c>
      <c r="T289" s="796">
        <v>272</v>
      </c>
      <c r="U289" s="796">
        <v>272</v>
      </c>
      <c r="V289" s="796">
        <v>816</v>
      </c>
      <c r="W289" s="796">
        <v>550</v>
      </c>
      <c r="X289" s="796">
        <v>453.7</v>
      </c>
      <c r="Y289" s="741">
        <v>272</v>
      </c>
      <c r="Z289" s="741">
        <v>272</v>
      </c>
      <c r="AA289" s="741">
        <v>272</v>
      </c>
      <c r="AB289" s="741">
        <v>816</v>
      </c>
      <c r="AC289" s="741">
        <v>550</v>
      </c>
      <c r="AD289" s="741">
        <v>0</v>
      </c>
      <c r="AE289" s="741" t="s">
        <v>59</v>
      </c>
      <c r="AF289" s="741" t="s">
        <v>59</v>
      </c>
      <c r="AG289" s="811" t="s">
        <v>515</v>
      </c>
      <c r="AH289" s="812" t="s">
        <v>516</v>
      </c>
      <c r="AI289" s="798"/>
    </row>
    <row r="290" spans="1:35" ht="18.75" customHeight="1">
      <c r="A290" s="790">
        <v>285</v>
      </c>
      <c r="B290" s="790" t="s">
        <v>39</v>
      </c>
      <c r="C290" s="790" t="s">
        <v>509</v>
      </c>
      <c r="D290" s="790" t="s">
        <v>522</v>
      </c>
      <c r="E290" s="790">
        <v>1</v>
      </c>
      <c r="F290" s="791" t="s">
        <v>523</v>
      </c>
      <c r="G290" s="791" t="s">
        <v>524</v>
      </c>
      <c r="H290" s="791" t="s">
        <v>30</v>
      </c>
      <c r="I290" s="813" t="s">
        <v>525</v>
      </c>
      <c r="J290" s="792" t="s">
        <v>525</v>
      </c>
      <c r="K290" s="793" t="s">
        <v>514</v>
      </c>
      <c r="L290" s="790">
        <v>2016</v>
      </c>
      <c r="M290" s="794">
        <v>12</v>
      </c>
      <c r="N290" s="795" t="s">
        <v>1882</v>
      </c>
      <c r="O290" s="795" t="s">
        <v>1882</v>
      </c>
      <c r="P290" s="796">
        <v>23</v>
      </c>
      <c r="Q290" s="796">
        <v>64</v>
      </c>
      <c r="R290" s="796">
        <v>0</v>
      </c>
      <c r="S290" s="796">
        <v>12</v>
      </c>
      <c r="T290" s="796">
        <v>12</v>
      </c>
      <c r="U290" s="796">
        <v>12</v>
      </c>
      <c r="V290" s="796">
        <v>36</v>
      </c>
      <c r="W290" s="796">
        <v>24</v>
      </c>
      <c r="X290" s="796">
        <v>0</v>
      </c>
      <c r="Y290" s="741">
        <v>12</v>
      </c>
      <c r="Z290" s="741">
        <v>12</v>
      </c>
      <c r="AA290" s="741">
        <v>12</v>
      </c>
      <c r="AB290" s="741">
        <v>36</v>
      </c>
      <c r="AC290" s="741">
        <v>24</v>
      </c>
      <c r="AD290" s="741">
        <v>0</v>
      </c>
      <c r="AE290" s="741" t="s">
        <v>59</v>
      </c>
      <c r="AF290" s="741" t="s">
        <v>59</v>
      </c>
      <c r="AG290" s="811" t="s">
        <v>526</v>
      </c>
      <c r="AH290" s="812" t="s">
        <v>527</v>
      </c>
      <c r="AI290" s="798"/>
    </row>
    <row r="291" spans="1:35" ht="18.75" customHeight="1">
      <c r="A291" s="790">
        <v>286</v>
      </c>
      <c r="B291" s="790" t="s">
        <v>39</v>
      </c>
      <c r="C291" s="790" t="s">
        <v>509</v>
      </c>
      <c r="D291" s="790" t="s">
        <v>522</v>
      </c>
      <c r="E291" s="790">
        <v>2</v>
      </c>
      <c r="F291" s="791" t="s">
        <v>523</v>
      </c>
      <c r="G291" s="791" t="s">
        <v>524</v>
      </c>
      <c r="H291" s="791" t="s">
        <v>30</v>
      </c>
      <c r="I291" s="813" t="s">
        <v>528</v>
      </c>
      <c r="J291" s="792" t="s">
        <v>528</v>
      </c>
      <c r="K291" s="793" t="s">
        <v>514</v>
      </c>
      <c r="L291" s="790">
        <v>2016</v>
      </c>
      <c r="M291" s="794">
        <v>12</v>
      </c>
      <c r="N291" s="795" t="s">
        <v>1882</v>
      </c>
      <c r="O291" s="795" t="s">
        <v>1882</v>
      </c>
      <c r="P291" s="796">
        <v>0</v>
      </c>
      <c r="Q291" s="796">
        <v>57</v>
      </c>
      <c r="R291" s="796">
        <v>0</v>
      </c>
      <c r="S291" s="796">
        <v>12</v>
      </c>
      <c r="T291" s="796">
        <v>12</v>
      </c>
      <c r="U291" s="796">
        <v>12</v>
      </c>
      <c r="V291" s="796">
        <v>36</v>
      </c>
      <c r="W291" s="796">
        <v>24</v>
      </c>
      <c r="X291" s="796">
        <v>0</v>
      </c>
      <c r="Y291" s="741">
        <v>12</v>
      </c>
      <c r="Z291" s="741">
        <v>12</v>
      </c>
      <c r="AA291" s="741">
        <v>12</v>
      </c>
      <c r="AB291" s="741">
        <v>36</v>
      </c>
      <c r="AC291" s="741">
        <v>24</v>
      </c>
      <c r="AD291" s="741">
        <v>0</v>
      </c>
      <c r="AE291" s="741" t="s">
        <v>59</v>
      </c>
      <c r="AF291" s="741" t="s">
        <v>59</v>
      </c>
      <c r="AG291" s="811" t="s">
        <v>529</v>
      </c>
      <c r="AH291" s="812" t="s">
        <v>527</v>
      </c>
      <c r="AI291" s="798"/>
    </row>
    <row r="292" spans="1:35" ht="18.75" customHeight="1">
      <c r="A292" s="790">
        <v>287</v>
      </c>
      <c r="B292" s="790" t="s">
        <v>39</v>
      </c>
      <c r="C292" s="790" t="s">
        <v>509</v>
      </c>
      <c r="D292" s="790" t="s">
        <v>530</v>
      </c>
      <c r="E292" s="790">
        <v>1</v>
      </c>
      <c r="F292" s="791" t="s">
        <v>523</v>
      </c>
      <c r="G292" s="791" t="s">
        <v>531</v>
      </c>
      <c r="H292" s="791" t="s">
        <v>30</v>
      </c>
      <c r="I292" s="813" t="s">
        <v>532</v>
      </c>
      <c r="J292" s="792" t="s">
        <v>532</v>
      </c>
      <c r="K292" s="793" t="s">
        <v>514</v>
      </c>
      <c r="L292" s="790">
        <v>2017</v>
      </c>
      <c r="M292" s="794">
        <v>5</v>
      </c>
      <c r="N292" s="795" t="s">
        <v>1882</v>
      </c>
      <c r="O292" s="795" t="s">
        <v>1882</v>
      </c>
      <c r="P292" s="796">
        <v>5</v>
      </c>
      <c r="Q292" s="796">
        <v>4</v>
      </c>
      <c r="R292" s="796">
        <v>0</v>
      </c>
      <c r="S292" s="796">
        <v>10</v>
      </c>
      <c r="T292" s="796">
        <v>10</v>
      </c>
      <c r="U292" s="796">
        <v>10</v>
      </c>
      <c r="V292" s="796">
        <v>30</v>
      </c>
      <c r="W292" s="796">
        <v>20</v>
      </c>
      <c r="X292" s="796">
        <v>0</v>
      </c>
      <c r="Y292" s="741">
        <v>10</v>
      </c>
      <c r="Z292" s="741">
        <v>10</v>
      </c>
      <c r="AA292" s="741">
        <v>10</v>
      </c>
      <c r="AB292" s="741">
        <v>30</v>
      </c>
      <c r="AC292" s="741">
        <v>20</v>
      </c>
      <c r="AD292" s="741">
        <v>0</v>
      </c>
      <c r="AE292" s="741" t="s">
        <v>59</v>
      </c>
      <c r="AF292" s="741" t="s">
        <v>59</v>
      </c>
      <c r="AG292" s="811" t="s">
        <v>533</v>
      </c>
      <c r="AH292" s="812" t="s">
        <v>534</v>
      </c>
      <c r="AI292" s="798"/>
    </row>
    <row r="293" spans="1:35" ht="18.75" customHeight="1">
      <c r="A293" s="790">
        <v>288</v>
      </c>
      <c r="B293" s="790" t="s">
        <v>39</v>
      </c>
      <c r="C293" s="790" t="s">
        <v>509</v>
      </c>
      <c r="D293" s="790" t="s">
        <v>530</v>
      </c>
      <c r="E293" s="790">
        <v>2</v>
      </c>
      <c r="F293" s="791" t="s">
        <v>523</v>
      </c>
      <c r="G293" s="791" t="s">
        <v>531</v>
      </c>
      <c r="H293" s="791" t="s">
        <v>30</v>
      </c>
      <c r="I293" s="813" t="s">
        <v>535</v>
      </c>
      <c r="J293" s="792" t="s">
        <v>535</v>
      </c>
      <c r="K293" s="793" t="s">
        <v>514</v>
      </c>
      <c r="L293" s="790">
        <v>2016</v>
      </c>
      <c r="M293" s="794">
        <v>4</v>
      </c>
      <c r="N293" s="795" t="s">
        <v>1882</v>
      </c>
      <c r="O293" s="795" t="s">
        <v>1882</v>
      </c>
      <c r="P293" s="796">
        <v>0</v>
      </c>
      <c r="Q293" s="796">
        <v>3</v>
      </c>
      <c r="R293" s="796">
        <v>3</v>
      </c>
      <c r="S293" s="796">
        <v>10</v>
      </c>
      <c r="T293" s="796">
        <v>10</v>
      </c>
      <c r="U293" s="796">
        <v>10</v>
      </c>
      <c r="V293" s="796">
        <v>30</v>
      </c>
      <c r="W293" s="796">
        <v>20</v>
      </c>
      <c r="X293" s="796">
        <v>2</v>
      </c>
      <c r="Y293" s="741">
        <v>10</v>
      </c>
      <c r="Z293" s="741">
        <v>10</v>
      </c>
      <c r="AA293" s="741">
        <v>10</v>
      </c>
      <c r="AB293" s="741">
        <v>30</v>
      </c>
      <c r="AC293" s="741">
        <v>20</v>
      </c>
      <c r="AD293" s="741">
        <v>0</v>
      </c>
      <c r="AE293" s="741" t="s">
        <v>59</v>
      </c>
      <c r="AF293" s="741" t="s">
        <v>59</v>
      </c>
      <c r="AG293" s="811" t="s">
        <v>529</v>
      </c>
      <c r="AH293" s="812" t="s">
        <v>536</v>
      </c>
      <c r="AI293" s="798"/>
    </row>
    <row r="294" spans="1:35" ht="18.75" customHeight="1">
      <c r="A294" s="790">
        <v>289</v>
      </c>
      <c r="B294" s="790" t="s">
        <v>39</v>
      </c>
      <c r="C294" s="790" t="s">
        <v>509</v>
      </c>
      <c r="D294" s="790" t="s">
        <v>537</v>
      </c>
      <c r="E294" s="790">
        <v>1</v>
      </c>
      <c r="F294" s="791" t="s">
        <v>523</v>
      </c>
      <c r="G294" s="791" t="s">
        <v>538</v>
      </c>
      <c r="H294" s="791" t="s">
        <v>30</v>
      </c>
      <c r="I294" s="813" t="s">
        <v>539</v>
      </c>
      <c r="J294" s="792" t="s">
        <v>539</v>
      </c>
      <c r="K294" s="793" t="s">
        <v>514</v>
      </c>
      <c r="L294" s="790">
        <v>2016</v>
      </c>
      <c r="M294" s="794">
        <v>22</v>
      </c>
      <c r="N294" s="795" t="s">
        <v>1882</v>
      </c>
      <c r="O294" s="795" t="s">
        <v>1882</v>
      </c>
      <c r="P294" s="796">
        <v>7</v>
      </c>
      <c r="Q294" s="796">
        <v>0</v>
      </c>
      <c r="R294" s="796">
        <v>1</v>
      </c>
      <c r="S294" s="796">
        <v>21</v>
      </c>
      <c r="T294" s="796">
        <v>21</v>
      </c>
      <c r="U294" s="796">
        <v>21</v>
      </c>
      <c r="V294" s="796">
        <v>63</v>
      </c>
      <c r="W294" s="796">
        <v>42</v>
      </c>
      <c r="X294" s="796">
        <v>3</v>
      </c>
      <c r="Y294" s="741">
        <v>21</v>
      </c>
      <c r="Z294" s="741">
        <v>21</v>
      </c>
      <c r="AA294" s="741">
        <v>21</v>
      </c>
      <c r="AB294" s="741">
        <v>63</v>
      </c>
      <c r="AC294" s="741">
        <v>42</v>
      </c>
      <c r="AD294" s="741">
        <v>0</v>
      </c>
      <c r="AE294" s="741" t="s">
        <v>59</v>
      </c>
      <c r="AF294" s="741" t="s">
        <v>59</v>
      </c>
      <c r="AG294" s="811" t="s">
        <v>540</v>
      </c>
      <c r="AH294" s="812" t="s">
        <v>541</v>
      </c>
      <c r="AI294" s="798"/>
    </row>
    <row r="295" spans="1:35" ht="18.75" customHeight="1">
      <c r="A295" s="790">
        <v>290</v>
      </c>
      <c r="B295" s="790" t="s">
        <v>39</v>
      </c>
      <c r="C295" s="790" t="s">
        <v>509</v>
      </c>
      <c r="D295" s="790" t="s">
        <v>537</v>
      </c>
      <c r="E295" s="790">
        <v>2</v>
      </c>
      <c r="F295" s="791" t="s">
        <v>523</v>
      </c>
      <c r="G295" s="791" t="s">
        <v>538</v>
      </c>
      <c r="H295" s="791" t="s">
        <v>30</v>
      </c>
      <c r="I295" s="813" t="s">
        <v>542</v>
      </c>
      <c r="J295" s="792" t="s">
        <v>542</v>
      </c>
      <c r="K295" s="793" t="s">
        <v>514</v>
      </c>
      <c r="L295" s="790">
        <v>2016</v>
      </c>
      <c r="M295" s="814">
        <v>1</v>
      </c>
      <c r="N295" s="795" t="s">
        <v>1882</v>
      </c>
      <c r="O295" s="795" t="s">
        <v>1882</v>
      </c>
      <c r="P295" s="815">
        <v>1</v>
      </c>
      <c r="Q295" s="796" t="s">
        <v>1882</v>
      </c>
      <c r="R295" s="815">
        <v>3.7037037037037035E-2</v>
      </c>
      <c r="S295" s="796">
        <v>1</v>
      </c>
      <c r="T295" s="796">
        <v>1</v>
      </c>
      <c r="U295" s="796">
        <v>1</v>
      </c>
      <c r="V295" s="796">
        <v>3</v>
      </c>
      <c r="W295" s="796">
        <v>2</v>
      </c>
      <c r="X295" s="815">
        <v>1</v>
      </c>
      <c r="Y295" s="741">
        <v>1</v>
      </c>
      <c r="Z295" s="741">
        <v>1</v>
      </c>
      <c r="AA295" s="741">
        <v>1</v>
      </c>
      <c r="AB295" s="741">
        <v>3</v>
      </c>
      <c r="AC295" s="741">
        <v>2</v>
      </c>
      <c r="AD295" s="741">
        <v>0</v>
      </c>
      <c r="AE295" s="741" t="s">
        <v>59</v>
      </c>
      <c r="AF295" s="741" t="s">
        <v>59</v>
      </c>
      <c r="AG295" s="811" t="s">
        <v>543</v>
      </c>
      <c r="AH295" s="812" t="s">
        <v>544</v>
      </c>
      <c r="AI295" s="798"/>
    </row>
    <row r="296" spans="1:35" ht="18.75" customHeight="1">
      <c r="A296" s="790">
        <v>291</v>
      </c>
      <c r="B296" s="790" t="s">
        <v>39</v>
      </c>
      <c r="C296" s="790" t="s">
        <v>509</v>
      </c>
      <c r="D296" s="790" t="s">
        <v>545</v>
      </c>
      <c r="E296" s="790">
        <v>1</v>
      </c>
      <c r="F296" s="791" t="s">
        <v>523</v>
      </c>
      <c r="G296" s="791" t="s">
        <v>546</v>
      </c>
      <c r="H296" s="791" t="s">
        <v>30</v>
      </c>
      <c r="I296" s="816" t="s">
        <v>547</v>
      </c>
      <c r="J296" s="792" t="s">
        <v>547</v>
      </c>
      <c r="K296" s="793" t="s">
        <v>514</v>
      </c>
      <c r="L296" s="790">
        <v>2016</v>
      </c>
      <c r="M296" s="794">
        <v>6</v>
      </c>
      <c r="N296" s="795" t="s">
        <v>1882</v>
      </c>
      <c r="O296" s="795" t="s">
        <v>1882</v>
      </c>
      <c r="P296" s="796">
        <v>12</v>
      </c>
      <c r="Q296" s="796">
        <v>5</v>
      </c>
      <c r="R296" s="796">
        <v>10</v>
      </c>
      <c r="S296" s="796">
        <v>25</v>
      </c>
      <c r="T296" s="796">
        <v>25</v>
      </c>
      <c r="U296" s="796">
        <v>25</v>
      </c>
      <c r="V296" s="796">
        <v>75</v>
      </c>
      <c r="W296" s="796">
        <v>50</v>
      </c>
      <c r="X296" s="796">
        <v>31</v>
      </c>
      <c r="Y296" s="741">
        <v>25</v>
      </c>
      <c r="Z296" s="741">
        <v>25</v>
      </c>
      <c r="AA296" s="741">
        <v>25</v>
      </c>
      <c r="AB296" s="741">
        <v>75</v>
      </c>
      <c r="AC296" s="741">
        <v>50</v>
      </c>
      <c r="AD296" s="741">
        <v>0</v>
      </c>
      <c r="AE296" s="741" t="s">
        <v>59</v>
      </c>
      <c r="AF296" s="741" t="s">
        <v>59</v>
      </c>
      <c r="AG296" s="811" t="s">
        <v>548</v>
      </c>
      <c r="AH296" s="812" t="s">
        <v>549</v>
      </c>
      <c r="AI296" s="798"/>
    </row>
    <row r="297" spans="1:35" ht="18.75" customHeight="1">
      <c r="A297" s="790">
        <v>292</v>
      </c>
      <c r="B297" s="790" t="s">
        <v>39</v>
      </c>
      <c r="C297" s="790" t="s">
        <v>550</v>
      </c>
      <c r="D297" s="790" t="s">
        <v>551</v>
      </c>
      <c r="E297" s="790">
        <v>1</v>
      </c>
      <c r="F297" s="791" t="s">
        <v>523</v>
      </c>
      <c r="G297" s="791" t="s">
        <v>552</v>
      </c>
      <c r="H297" s="791" t="s">
        <v>30</v>
      </c>
      <c r="I297" s="813" t="s">
        <v>553</v>
      </c>
      <c r="J297" s="792" t="s">
        <v>553</v>
      </c>
      <c r="K297" s="793" t="s">
        <v>514</v>
      </c>
      <c r="L297" s="790">
        <v>2017</v>
      </c>
      <c r="M297" s="794">
        <v>138</v>
      </c>
      <c r="N297" s="795" t="s">
        <v>1882</v>
      </c>
      <c r="O297" s="795" t="s">
        <v>1882</v>
      </c>
      <c r="P297" s="796">
        <v>118</v>
      </c>
      <c r="Q297" s="796">
        <v>191</v>
      </c>
      <c r="R297" s="796">
        <v>190</v>
      </c>
      <c r="S297" s="796">
        <v>138</v>
      </c>
      <c r="T297" s="796">
        <v>138</v>
      </c>
      <c r="U297" s="796">
        <v>138</v>
      </c>
      <c r="V297" s="796">
        <v>414</v>
      </c>
      <c r="W297" s="796">
        <v>276</v>
      </c>
      <c r="X297" s="796">
        <v>195</v>
      </c>
      <c r="Y297" s="741">
        <v>138</v>
      </c>
      <c r="Z297" s="741">
        <v>138</v>
      </c>
      <c r="AA297" s="741">
        <v>138</v>
      </c>
      <c r="AB297" s="741">
        <v>414</v>
      </c>
      <c r="AC297" s="741">
        <v>276</v>
      </c>
      <c r="AD297" s="741">
        <v>0</v>
      </c>
      <c r="AE297" s="741" t="s">
        <v>59</v>
      </c>
      <c r="AF297" s="741" t="s">
        <v>59</v>
      </c>
      <c r="AG297" s="811" t="s">
        <v>805</v>
      </c>
      <c r="AH297" s="812" t="s">
        <v>555</v>
      </c>
      <c r="AI297" s="798"/>
    </row>
    <row r="298" spans="1:35" ht="18.75" customHeight="1">
      <c r="A298" s="790">
        <v>293</v>
      </c>
      <c r="B298" s="790" t="s">
        <v>39</v>
      </c>
      <c r="C298" s="790" t="s">
        <v>550</v>
      </c>
      <c r="D298" s="790" t="s">
        <v>551</v>
      </c>
      <c r="E298" s="790">
        <v>2</v>
      </c>
      <c r="F298" s="791" t="s">
        <v>523</v>
      </c>
      <c r="G298" s="791" t="s">
        <v>552</v>
      </c>
      <c r="H298" s="791" t="s">
        <v>30</v>
      </c>
      <c r="I298" s="813" t="s">
        <v>556</v>
      </c>
      <c r="J298" s="792" t="s">
        <v>556</v>
      </c>
      <c r="K298" s="793" t="s">
        <v>514</v>
      </c>
      <c r="L298" s="790">
        <v>2017</v>
      </c>
      <c r="M298" s="794">
        <v>3600</v>
      </c>
      <c r="N298" s="795" t="s">
        <v>1882</v>
      </c>
      <c r="O298" s="795" t="s">
        <v>1882</v>
      </c>
      <c r="P298" s="796">
        <v>3000</v>
      </c>
      <c r="Q298" s="796">
        <v>4970</v>
      </c>
      <c r="R298" s="796">
        <v>3610</v>
      </c>
      <c r="S298" s="796">
        <v>3600</v>
      </c>
      <c r="T298" s="796">
        <v>3600</v>
      </c>
      <c r="U298" s="796">
        <v>3600</v>
      </c>
      <c r="V298" s="796">
        <v>10800</v>
      </c>
      <c r="W298" s="796">
        <v>7200</v>
      </c>
      <c r="X298" s="796">
        <v>3959</v>
      </c>
      <c r="Y298" s="741">
        <v>3600</v>
      </c>
      <c r="Z298" s="741">
        <v>3600</v>
      </c>
      <c r="AA298" s="741">
        <v>3600</v>
      </c>
      <c r="AB298" s="741">
        <v>10800</v>
      </c>
      <c r="AC298" s="741">
        <v>7200</v>
      </c>
      <c r="AD298" s="741">
        <v>0</v>
      </c>
      <c r="AE298" s="741" t="s">
        <v>59</v>
      </c>
      <c r="AF298" s="741" t="s">
        <v>59</v>
      </c>
      <c r="AG298" s="811" t="s">
        <v>806</v>
      </c>
      <c r="AH298" s="812" t="s">
        <v>1836</v>
      </c>
      <c r="AI298" s="798"/>
    </row>
    <row r="299" spans="1:35" ht="18.75" customHeight="1">
      <c r="A299" s="790">
        <v>294</v>
      </c>
      <c r="B299" s="790" t="s">
        <v>39</v>
      </c>
      <c r="C299" s="790" t="s">
        <v>550</v>
      </c>
      <c r="D299" s="790" t="s">
        <v>551</v>
      </c>
      <c r="E299" s="790">
        <v>3</v>
      </c>
      <c r="F299" s="791" t="s">
        <v>559</v>
      </c>
      <c r="G299" s="791" t="s">
        <v>552</v>
      </c>
      <c r="H299" s="791" t="s">
        <v>30</v>
      </c>
      <c r="I299" s="813" t="s">
        <v>560</v>
      </c>
      <c r="J299" s="792" t="s">
        <v>560</v>
      </c>
      <c r="K299" s="793" t="s">
        <v>514</v>
      </c>
      <c r="L299" s="790">
        <v>2017</v>
      </c>
      <c r="M299" s="799">
        <v>0.2</v>
      </c>
      <c r="N299" s="795" t="s">
        <v>1882</v>
      </c>
      <c r="O299" s="795" t="s">
        <v>1882</v>
      </c>
      <c r="P299" s="800">
        <v>0.2</v>
      </c>
      <c r="Q299" s="800">
        <v>0.18</v>
      </c>
      <c r="R299" s="800">
        <v>0.18</v>
      </c>
      <c r="S299" s="796">
        <v>0.2</v>
      </c>
      <c r="T299" s="796">
        <v>0.2</v>
      </c>
      <c r="U299" s="796">
        <v>0.2</v>
      </c>
      <c r="V299" s="796">
        <v>0.60000000000000009</v>
      </c>
      <c r="W299" s="796">
        <v>0.4</v>
      </c>
      <c r="X299" s="800">
        <v>0.27</v>
      </c>
      <c r="Y299" s="741">
        <v>0.2</v>
      </c>
      <c r="Z299" s="741">
        <v>0.2</v>
      </c>
      <c r="AA299" s="741">
        <v>0.2</v>
      </c>
      <c r="AB299" s="741">
        <v>0.60000000000000009</v>
      </c>
      <c r="AC299" s="741">
        <v>0.4</v>
      </c>
      <c r="AD299" s="741">
        <v>0</v>
      </c>
      <c r="AE299" s="741" t="s">
        <v>59</v>
      </c>
      <c r="AF299" s="741" t="s">
        <v>59</v>
      </c>
      <c r="AG299" s="811" t="s">
        <v>561</v>
      </c>
      <c r="AH299" s="812" t="s">
        <v>562</v>
      </c>
      <c r="AI299" s="798"/>
    </row>
    <row r="300" spans="1:35" ht="18.75" customHeight="1">
      <c r="A300" s="790">
        <v>295</v>
      </c>
      <c r="B300" s="790" t="s">
        <v>39</v>
      </c>
      <c r="C300" s="790" t="s">
        <v>550</v>
      </c>
      <c r="D300" s="790" t="s">
        <v>564</v>
      </c>
      <c r="E300" s="790">
        <v>1</v>
      </c>
      <c r="F300" s="791" t="s">
        <v>142</v>
      </c>
      <c r="G300" s="791" t="s">
        <v>552</v>
      </c>
      <c r="H300" s="791" t="s">
        <v>30</v>
      </c>
      <c r="I300" s="813" t="s">
        <v>565</v>
      </c>
      <c r="J300" s="792" t="s">
        <v>565</v>
      </c>
      <c r="K300" s="793" t="s">
        <v>514</v>
      </c>
      <c r="L300" s="790">
        <v>2018</v>
      </c>
      <c r="M300" s="804" t="s">
        <v>2070</v>
      </c>
      <c r="N300" s="795" t="s">
        <v>1882</v>
      </c>
      <c r="O300" s="795" t="s">
        <v>1882</v>
      </c>
      <c r="P300" s="802" t="s">
        <v>1882</v>
      </c>
      <c r="Q300" s="802" t="s">
        <v>1882</v>
      </c>
      <c r="R300" s="802" t="s">
        <v>1882</v>
      </c>
      <c r="S300" s="796" t="s">
        <v>1881</v>
      </c>
      <c r="T300" s="796" t="s">
        <v>1881</v>
      </c>
      <c r="U300" s="796" t="s">
        <v>1881</v>
      </c>
      <c r="V300" s="796" t="s">
        <v>1881</v>
      </c>
      <c r="W300" s="796" t="s">
        <v>1881</v>
      </c>
      <c r="X300" s="802">
        <v>0</v>
      </c>
      <c r="Y300" s="741"/>
      <c r="Z300" s="741"/>
      <c r="AA300" s="741"/>
      <c r="AB300" s="741"/>
      <c r="AC300" s="741"/>
      <c r="AD300" s="741">
        <v>0</v>
      </c>
      <c r="AE300" s="741" t="s">
        <v>59</v>
      </c>
      <c r="AF300" s="741" t="s">
        <v>59</v>
      </c>
      <c r="AG300" s="817"/>
      <c r="AH300" s="818"/>
      <c r="AI300" s="798"/>
    </row>
    <row r="301" spans="1:35" ht="18.75" customHeight="1">
      <c r="A301" s="790">
        <v>296</v>
      </c>
      <c r="B301" s="790" t="s">
        <v>39</v>
      </c>
      <c r="C301" s="790" t="s">
        <v>550</v>
      </c>
      <c r="D301" s="790" t="s">
        <v>567</v>
      </c>
      <c r="E301" s="790">
        <v>1</v>
      </c>
      <c r="F301" s="791" t="s">
        <v>523</v>
      </c>
      <c r="G301" s="791" t="s">
        <v>552</v>
      </c>
      <c r="H301" s="791" t="s">
        <v>164</v>
      </c>
      <c r="I301" s="813" t="s">
        <v>568</v>
      </c>
      <c r="J301" s="792" t="s">
        <v>568</v>
      </c>
      <c r="K301" s="793" t="s">
        <v>514</v>
      </c>
      <c r="L301" s="790" t="s">
        <v>1881</v>
      </c>
      <c r="M301" s="794" t="s">
        <v>2070</v>
      </c>
      <c r="N301" s="795" t="s">
        <v>1882</v>
      </c>
      <c r="O301" s="795" t="s">
        <v>1882</v>
      </c>
      <c r="P301" s="796" t="s">
        <v>1881</v>
      </c>
      <c r="Q301" s="796" t="s">
        <v>1881</v>
      </c>
      <c r="R301" s="796" t="s">
        <v>1881</v>
      </c>
      <c r="S301" s="796" t="s">
        <v>1881</v>
      </c>
      <c r="T301" s="796" t="s">
        <v>1881</v>
      </c>
      <c r="U301" s="796" t="s">
        <v>1881</v>
      </c>
      <c r="V301" s="796" t="s">
        <v>1881</v>
      </c>
      <c r="W301" s="796" t="s">
        <v>1881</v>
      </c>
      <c r="X301" s="796">
        <v>0</v>
      </c>
      <c r="Y301" s="741"/>
      <c r="Z301" s="741"/>
      <c r="AA301" s="741"/>
      <c r="AB301" s="741"/>
      <c r="AC301" s="741"/>
      <c r="AD301" s="741">
        <v>0</v>
      </c>
      <c r="AE301" s="741" t="s">
        <v>59</v>
      </c>
      <c r="AF301" s="741" t="s">
        <v>59</v>
      </c>
      <c r="AG301" s="798"/>
      <c r="AH301" s="798"/>
      <c r="AI301" s="798"/>
    </row>
    <row r="302" spans="1:35" ht="18.75" customHeight="1">
      <c r="A302" s="790">
        <v>297</v>
      </c>
      <c r="B302" s="790" t="s">
        <v>39</v>
      </c>
      <c r="C302" s="790" t="s">
        <v>550</v>
      </c>
      <c r="D302" s="790" t="s">
        <v>567</v>
      </c>
      <c r="E302" s="790">
        <v>1</v>
      </c>
      <c r="F302" s="791" t="s">
        <v>142</v>
      </c>
      <c r="G302" s="791" t="s">
        <v>552</v>
      </c>
      <c r="H302" s="791" t="s">
        <v>164</v>
      </c>
      <c r="I302" s="813" t="s">
        <v>568</v>
      </c>
      <c r="J302" s="792" t="s">
        <v>568</v>
      </c>
      <c r="K302" s="793" t="s">
        <v>514</v>
      </c>
      <c r="L302" s="790" t="s">
        <v>1881</v>
      </c>
      <c r="M302" s="804" t="s">
        <v>2070</v>
      </c>
      <c r="N302" s="795" t="s">
        <v>1882</v>
      </c>
      <c r="O302" s="795" t="s">
        <v>1882</v>
      </c>
      <c r="P302" s="802" t="s">
        <v>1881</v>
      </c>
      <c r="Q302" s="802" t="s">
        <v>1881</v>
      </c>
      <c r="R302" s="802" t="s">
        <v>1881</v>
      </c>
      <c r="S302" s="796" t="s">
        <v>1881</v>
      </c>
      <c r="T302" s="796" t="s">
        <v>1881</v>
      </c>
      <c r="U302" s="796" t="s">
        <v>1881</v>
      </c>
      <c r="V302" s="796" t="s">
        <v>1881</v>
      </c>
      <c r="W302" s="796" t="s">
        <v>1881</v>
      </c>
      <c r="X302" s="802">
        <v>0</v>
      </c>
      <c r="Y302" s="741"/>
      <c r="Z302" s="741"/>
      <c r="AA302" s="741"/>
      <c r="AB302" s="741"/>
      <c r="AC302" s="741"/>
      <c r="AD302" s="741">
        <v>0</v>
      </c>
      <c r="AE302" s="741" t="s">
        <v>59</v>
      </c>
      <c r="AF302" s="741" t="s">
        <v>59</v>
      </c>
      <c r="AG302" s="798"/>
      <c r="AH302" s="798"/>
      <c r="AI302" s="798"/>
    </row>
    <row r="303" spans="1:35" ht="18.75" customHeight="1">
      <c r="A303" s="790">
        <v>298</v>
      </c>
      <c r="B303" s="790" t="s">
        <v>39</v>
      </c>
      <c r="C303" s="790" t="s">
        <v>550</v>
      </c>
      <c r="D303" s="790" t="s">
        <v>567</v>
      </c>
      <c r="E303" s="790">
        <v>2</v>
      </c>
      <c r="F303" s="791" t="s">
        <v>523</v>
      </c>
      <c r="G303" s="791" t="s">
        <v>552</v>
      </c>
      <c r="H303" s="791" t="s">
        <v>164</v>
      </c>
      <c r="I303" s="813" t="s">
        <v>570</v>
      </c>
      <c r="J303" s="792" t="s">
        <v>570</v>
      </c>
      <c r="K303" s="793" t="s">
        <v>514</v>
      </c>
      <c r="L303" s="790" t="s">
        <v>1881</v>
      </c>
      <c r="M303" s="794" t="s">
        <v>2070</v>
      </c>
      <c r="N303" s="795" t="s">
        <v>1882</v>
      </c>
      <c r="O303" s="795" t="s">
        <v>1882</v>
      </c>
      <c r="P303" s="796" t="s">
        <v>1881</v>
      </c>
      <c r="Q303" s="796" t="s">
        <v>1881</v>
      </c>
      <c r="R303" s="796" t="s">
        <v>1881</v>
      </c>
      <c r="S303" s="796" t="s">
        <v>1881</v>
      </c>
      <c r="T303" s="796" t="s">
        <v>1881</v>
      </c>
      <c r="U303" s="796" t="s">
        <v>1881</v>
      </c>
      <c r="V303" s="796" t="s">
        <v>1881</v>
      </c>
      <c r="W303" s="796" t="s">
        <v>1881</v>
      </c>
      <c r="X303" s="796">
        <v>0</v>
      </c>
      <c r="Y303" s="741"/>
      <c r="Z303" s="741"/>
      <c r="AA303" s="741"/>
      <c r="AB303" s="741"/>
      <c r="AC303" s="741"/>
      <c r="AD303" s="741">
        <v>0</v>
      </c>
      <c r="AE303" s="741" t="s">
        <v>59</v>
      </c>
      <c r="AF303" s="741" t="s">
        <v>59</v>
      </c>
      <c r="AG303" s="798"/>
      <c r="AH303" s="798"/>
      <c r="AI303" s="798"/>
    </row>
    <row r="304" spans="1:35" ht="18.75" customHeight="1">
      <c r="A304" s="790">
        <v>299</v>
      </c>
      <c r="B304" s="790" t="s">
        <v>39</v>
      </c>
      <c r="C304" s="790" t="s">
        <v>550</v>
      </c>
      <c r="D304" s="790" t="s">
        <v>567</v>
      </c>
      <c r="E304" s="790">
        <v>2</v>
      </c>
      <c r="F304" s="791" t="s">
        <v>142</v>
      </c>
      <c r="G304" s="791" t="s">
        <v>552</v>
      </c>
      <c r="H304" s="791" t="s">
        <v>164</v>
      </c>
      <c r="I304" s="813" t="s">
        <v>570</v>
      </c>
      <c r="J304" s="792" t="s">
        <v>570</v>
      </c>
      <c r="K304" s="793" t="s">
        <v>514</v>
      </c>
      <c r="L304" s="790" t="s">
        <v>1881</v>
      </c>
      <c r="M304" s="804" t="s">
        <v>2070</v>
      </c>
      <c r="N304" s="795" t="s">
        <v>1882</v>
      </c>
      <c r="O304" s="795" t="s">
        <v>1882</v>
      </c>
      <c r="P304" s="802" t="s">
        <v>1881</v>
      </c>
      <c r="Q304" s="802" t="s">
        <v>1881</v>
      </c>
      <c r="R304" s="802" t="s">
        <v>1945</v>
      </c>
      <c r="S304" s="796" t="s">
        <v>1881</v>
      </c>
      <c r="T304" s="796" t="s">
        <v>1881</v>
      </c>
      <c r="U304" s="796" t="s">
        <v>1881</v>
      </c>
      <c r="V304" s="796" t="s">
        <v>1881</v>
      </c>
      <c r="W304" s="796" t="s">
        <v>1881</v>
      </c>
      <c r="X304" s="802">
        <v>0</v>
      </c>
      <c r="Y304" s="741"/>
      <c r="Z304" s="741"/>
      <c r="AA304" s="741"/>
      <c r="AB304" s="741"/>
      <c r="AC304" s="741"/>
      <c r="AD304" s="741">
        <v>0</v>
      </c>
      <c r="AE304" s="741" t="s">
        <v>59</v>
      </c>
      <c r="AF304" s="741" t="s">
        <v>59</v>
      </c>
      <c r="AG304" s="798"/>
      <c r="AH304" s="798"/>
      <c r="AI304" s="798"/>
    </row>
    <row r="305" spans="1:35" ht="18.75" customHeight="1">
      <c r="A305" s="790">
        <v>300</v>
      </c>
      <c r="B305" s="790" t="s">
        <v>39</v>
      </c>
      <c r="C305" s="790" t="s">
        <v>550</v>
      </c>
      <c r="D305" s="790" t="s">
        <v>567</v>
      </c>
      <c r="E305" s="790">
        <v>3</v>
      </c>
      <c r="F305" s="791" t="s">
        <v>523</v>
      </c>
      <c r="G305" s="791" t="s">
        <v>552</v>
      </c>
      <c r="H305" s="791" t="s">
        <v>164</v>
      </c>
      <c r="I305" s="813" t="s">
        <v>571</v>
      </c>
      <c r="J305" s="792" t="s">
        <v>571</v>
      </c>
      <c r="K305" s="793" t="s">
        <v>514</v>
      </c>
      <c r="L305" s="790" t="s">
        <v>1881</v>
      </c>
      <c r="M305" s="794" t="s">
        <v>2070</v>
      </c>
      <c r="N305" s="795" t="s">
        <v>1882</v>
      </c>
      <c r="O305" s="795" t="s">
        <v>1882</v>
      </c>
      <c r="P305" s="796" t="s">
        <v>1881</v>
      </c>
      <c r="Q305" s="796" t="s">
        <v>1881</v>
      </c>
      <c r="R305" s="796" t="s">
        <v>1945</v>
      </c>
      <c r="S305" s="796" t="s">
        <v>1881</v>
      </c>
      <c r="T305" s="796" t="s">
        <v>1881</v>
      </c>
      <c r="U305" s="796" t="s">
        <v>1881</v>
      </c>
      <c r="V305" s="796" t="s">
        <v>1881</v>
      </c>
      <c r="W305" s="796" t="s">
        <v>1881</v>
      </c>
      <c r="X305" s="796">
        <v>0</v>
      </c>
      <c r="Y305" s="741"/>
      <c r="Z305" s="741"/>
      <c r="AA305" s="741"/>
      <c r="AB305" s="741"/>
      <c r="AC305" s="741"/>
      <c r="AD305" s="741">
        <v>0</v>
      </c>
      <c r="AE305" s="741" t="s">
        <v>59</v>
      </c>
      <c r="AF305" s="741" t="s">
        <v>59</v>
      </c>
      <c r="AG305" s="798"/>
      <c r="AH305" s="798"/>
      <c r="AI305" s="798"/>
    </row>
    <row r="306" spans="1:35" ht="18.75" customHeight="1">
      <c r="A306" s="791">
        <v>301</v>
      </c>
      <c r="B306" s="790" t="s">
        <v>39</v>
      </c>
      <c r="C306" s="791" t="s">
        <v>572</v>
      </c>
      <c r="D306" s="791" t="s">
        <v>573</v>
      </c>
      <c r="E306" s="791">
        <v>1</v>
      </c>
      <c r="F306" s="791" t="s">
        <v>523</v>
      </c>
      <c r="G306" s="819" t="s">
        <v>574</v>
      </c>
      <c r="H306" s="791" t="s">
        <v>30</v>
      </c>
      <c r="I306" s="792" t="s">
        <v>575</v>
      </c>
      <c r="J306" s="792" t="s">
        <v>575</v>
      </c>
      <c r="K306" s="793" t="s">
        <v>576</v>
      </c>
      <c r="L306" s="791" t="s">
        <v>1882</v>
      </c>
      <c r="M306" s="820" t="s">
        <v>382</v>
      </c>
      <c r="N306" s="795" t="s">
        <v>1882</v>
      </c>
      <c r="O306" s="795" t="s">
        <v>1882</v>
      </c>
      <c r="P306" s="796" t="s">
        <v>382</v>
      </c>
      <c r="Q306" s="796">
        <v>0</v>
      </c>
      <c r="R306" s="796">
        <v>0</v>
      </c>
      <c r="S306" s="796">
        <v>3</v>
      </c>
      <c r="T306" s="796">
        <v>3</v>
      </c>
      <c r="U306" s="796">
        <v>3</v>
      </c>
      <c r="V306" s="796">
        <v>9</v>
      </c>
      <c r="W306" s="796">
        <v>6</v>
      </c>
      <c r="X306" s="796">
        <v>4</v>
      </c>
      <c r="Y306" s="741">
        <v>3</v>
      </c>
      <c r="Z306" s="741">
        <v>3</v>
      </c>
      <c r="AA306" s="741">
        <v>3</v>
      </c>
      <c r="AB306" s="741">
        <v>9</v>
      </c>
      <c r="AC306" s="741">
        <v>6</v>
      </c>
      <c r="AD306" s="741">
        <v>0</v>
      </c>
      <c r="AE306" s="741" t="s">
        <v>59</v>
      </c>
      <c r="AF306" s="741" t="s">
        <v>59</v>
      </c>
      <c r="AG306" s="798" t="s">
        <v>577</v>
      </c>
      <c r="AH306" s="798" t="s">
        <v>2200</v>
      </c>
      <c r="AI306" s="798"/>
    </row>
    <row r="307" spans="1:35" ht="369.4" customHeight="1">
      <c r="A307" s="791">
        <v>302</v>
      </c>
      <c r="B307" s="790" t="s">
        <v>39</v>
      </c>
      <c r="C307" s="791" t="s">
        <v>572</v>
      </c>
      <c r="D307" s="791" t="s">
        <v>579</v>
      </c>
      <c r="E307" s="791">
        <v>1</v>
      </c>
      <c r="F307" s="791" t="s">
        <v>523</v>
      </c>
      <c r="G307" s="791" t="s">
        <v>580</v>
      </c>
      <c r="H307" s="791" t="s">
        <v>30</v>
      </c>
      <c r="I307" s="792" t="s">
        <v>581</v>
      </c>
      <c r="J307" s="792" t="s">
        <v>581</v>
      </c>
      <c r="K307" s="793" t="s">
        <v>576</v>
      </c>
      <c r="L307" s="791">
        <v>2016</v>
      </c>
      <c r="M307" s="820" t="s">
        <v>382</v>
      </c>
      <c r="N307" s="795" t="s">
        <v>1882</v>
      </c>
      <c r="O307" s="795" t="s">
        <v>1882</v>
      </c>
      <c r="P307" s="821" t="s">
        <v>2071</v>
      </c>
      <c r="Q307" s="821" t="s">
        <v>1488</v>
      </c>
      <c r="R307" s="821" t="s">
        <v>1861</v>
      </c>
      <c r="S307" s="822">
        <v>7000</v>
      </c>
      <c r="T307" s="822">
        <v>7000</v>
      </c>
      <c r="U307" s="822">
        <v>7000</v>
      </c>
      <c r="V307" s="822">
        <v>21000</v>
      </c>
      <c r="W307" s="822">
        <v>14000</v>
      </c>
      <c r="X307" s="821" t="s">
        <v>2072</v>
      </c>
      <c r="Y307" s="741">
        <v>7000</v>
      </c>
      <c r="Z307" s="741">
        <v>7000</v>
      </c>
      <c r="AA307" s="741">
        <v>7000</v>
      </c>
      <c r="AB307" s="741">
        <v>21000</v>
      </c>
      <c r="AC307" s="741">
        <v>14000</v>
      </c>
      <c r="AD307" s="741" t="s">
        <v>1879</v>
      </c>
      <c r="AE307" s="741" t="s">
        <v>59</v>
      </c>
      <c r="AF307" s="741" t="s">
        <v>59</v>
      </c>
      <c r="AG307" s="798" t="s">
        <v>2073</v>
      </c>
      <c r="AH307" s="798" t="s">
        <v>2201</v>
      </c>
      <c r="AI307" s="798"/>
    </row>
    <row r="308" spans="1:35" ht="18.75" customHeight="1">
      <c r="A308" s="791">
        <v>303</v>
      </c>
      <c r="B308" s="790" t="s">
        <v>39</v>
      </c>
      <c r="C308" s="791" t="s">
        <v>572</v>
      </c>
      <c r="D308" s="791" t="s">
        <v>579</v>
      </c>
      <c r="E308" s="791">
        <v>1</v>
      </c>
      <c r="F308" s="791" t="s">
        <v>584</v>
      </c>
      <c r="G308" s="791" t="s">
        <v>580</v>
      </c>
      <c r="H308" s="791" t="s">
        <v>30</v>
      </c>
      <c r="I308" s="792" t="s">
        <v>585</v>
      </c>
      <c r="J308" s="792" t="s">
        <v>585</v>
      </c>
      <c r="K308" s="793" t="s">
        <v>576</v>
      </c>
      <c r="L308" s="791">
        <v>2016</v>
      </c>
      <c r="M308" s="823">
        <v>9.7934085711071955E-2</v>
      </c>
      <c r="N308" s="795">
        <v>2267</v>
      </c>
      <c r="O308" s="795">
        <v>26671</v>
      </c>
      <c r="P308" s="802">
        <v>9.7934085711071955E-2</v>
      </c>
      <c r="Q308" s="802">
        <v>8.4998687713246604E-2</v>
      </c>
      <c r="R308" s="802">
        <v>8.9300000000000004E-2</v>
      </c>
      <c r="S308" s="796">
        <v>8.9300000000000004E-2</v>
      </c>
      <c r="T308" s="796">
        <v>0.13</v>
      </c>
      <c r="U308" s="796">
        <v>0.13</v>
      </c>
      <c r="V308" s="796">
        <v>0.39</v>
      </c>
      <c r="W308" s="796">
        <v>0.26</v>
      </c>
      <c r="X308" s="802">
        <v>8.5300000000000001E-2</v>
      </c>
      <c r="Y308" s="741">
        <v>8.9300000000000004E-2</v>
      </c>
      <c r="Z308" s="741">
        <v>0.13</v>
      </c>
      <c r="AA308" s="741">
        <v>0.13</v>
      </c>
      <c r="AB308" s="741">
        <v>0.39</v>
      </c>
      <c r="AC308" s="741">
        <v>0.26</v>
      </c>
      <c r="AD308" s="741">
        <v>0</v>
      </c>
      <c r="AE308" s="741" t="s">
        <v>59</v>
      </c>
      <c r="AF308" s="741" t="s">
        <v>59</v>
      </c>
      <c r="AG308" s="824" t="s">
        <v>2202</v>
      </c>
      <c r="AH308" s="824" t="s">
        <v>2074</v>
      </c>
      <c r="AI308" s="798"/>
    </row>
    <row r="309" spans="1:35" ht="18.75" customHeight="1">
      <c r="A309" s="791">
        <v>304</v>
      </c>
      <c r="B309" s="790" t="s">
        <v>39</v>
      </c>
      <c r="C309" s="791" t="s">
        <v>572</v>
      </c>
      <c r="D309" s="791" t="s">
        <v>588</v>
      </c>
      <c r="E309" s="791">
        <v>1</v>
      </c>
      <c r="F309" s="791" t="s">
        <v>584</v>
      </c>
      <c r="G309" s="791" t="s">
        <v>589</v>
      </c>
      <c r="H309" s="791" t="s">
        <v>30</v>
      </c>
      <c r="I309" s="792" t="s">
        <v>590</v>
      </c>
      <c r="J309" s="792" t="s">
        <v>590</v>
      </c>
      <c r="K309" s="793" t="s">
        <v>576</v>
      </c>
      <c r="L309" s="791" t="s">
        <v>1882</v>
      </c>
      <c r="M309" s="823">
        <v>3.6986673918955673E-2</v>
      </c>
      <c r="N309" s="795">
        <v>136</v>
      </c>
      <c r="O309" s="795">
        <v>3677</v>
      </c>
      <c r="P309" s="802">
        <v>3.6986673918955673E-2</v>
      </c>
      <c r="Q309" s="802">
        <v>4.7198941332157039E-2</v>
      </c>
      <c r="R309" s="802">
        <v>0.19589999999999999</v>
      </c>
      <c r="S309" s="796">
        <v>4.7E-2</v>
      </c>
      <c r="T309" s="796">
        <v>4.7E-2</v>
      </c>
      <c r="U309" s="796">
        <v>4.7E-2</v>
      </c>
      <c r="V309" s="796">
        <v>0.14100000000000001</v>
      </c>
      <c r="W309" s="796">
        <v>0.114</v>
      </c>
      <c r="X309" s="802">
        <v>0.31169999999999998</v>
      </c>
      <c r="Y309" s="741">
        <v>4.7E-2</v>
      </c>
      <c r="Z309" s="741">
        <v>4.7E-2</v>
      </c>
      <c r="AA309" s="741">
        <v>4.7E-2</v>
      </c>
      <c r="AB309" s="741">
        <v>0.14100000000000001</v>
      </c>
      <c r="AC309" s="741">
        <v>0.114</v>
      </c>
      <c r="AD309" s="741">
        <v>0</v>
      </c>
      <c r="AE309" s="741" t="s">
        <v>59</v>
      </c>
      <c r="AF309" s="741" t="s">
        <v>59</v>
      </c>
      <c r="AG309" s="824" t="s">
        <v>2203</v>
      </c>
      <c r="AH309" s="824" t="s">
        <v>2204</v>
      </c>
      <c r="AI309" s="798"/>
    </row>
    <row r="310" spans="1:35" ht="18.75" customHeight="1">
      <c r="A310" s="791">
        <v>305</v>
      </c>
      <c r="B310" s="790" t="s">
        <v>39</v>
      </c>
      <c r="C310" s="791" t="s">
        <v>572</v>
      </c>
      <c r="D310" s="791" t="s">
        <v>588</v>
      </c>
      <c r="E310" s="791">
        <v>1</v>
      </c>
      <c r="F310" s="791" t="s">
        <v>584</v>
      </c>
      <c r="G310" s="791" t="s">
        <v>589</v>
      </c>
      <c r="H310" s="791" t="s">
        <v>30</v>
      </c>
      <c r="I310" s="792" t="s">
        <v>593</v>
      </c>
      <c r="J310" s="792" t="s">
        <v>593</v>
      </c>
      <c r="K310" s="793" t="s">
        <v>576</v>
      </c>
      <c r="L310" s="791" t="s">
        <v>1882</v>
      </c>
      <c r="M310" s="823" t="s">
        <v>1882</v>
      </c>
      <c r="N310" s="795" t="s">
        <v>1882</v>
      </c>
      <c r="O310" s="795" t="s">
        <v>1882</v>
      </c>
      <c r="P310" s="802" t="s">
        <v>1882</v>
      </c>
      <c r="Q310" s="802" t="s">
        <v>1882</v>
      </c>
      <c r="R310" s="802" t="s">
        <v>1882</v>
      </c>
      <c r="S310" s="796">
        <v>0</v>
      </c>
      <c r="T310" s="796">
        <v>0</v>
      </c>
      <c r="U310" s="796">
        <v>0</v>
      </c>
      <c r="V310" s="796">
        <v>0</v>
      </c>
      <c r="W310" s="796">
        <v>0</v>
      </c>
      <c r="X310" s="802" t="s">
        <v>1882</v>
      </c>
      <c r="Y310" s="741">
        <v>0</v>
      </c>
      <c r="Z310" s="741">
        <v>0</v>
      </c>
      <c r="AA310" s="741">
        <v>0</v>
      </c>
      <c r="AB310" s="741">
        <v>0</v>
      </c>
      <c r="AC310" s="741">
        <v>0</v>
      </c>
      <c r="AD310" s="741">
        <v>0</v>
      </c>
      <c r="AE310" s="741" t="s">
        <v>59</v>
      </c>
      <c r="AF310" s="741" t="s">
        <v>59</v>
      </c>
      <c r="AG310" s="798" t="s">
        <v>594</v>
      </c>
      <c r="AH310" s="824" t="s">
        <v>2075</v>
      </c>
      <c r="AI310" s="798"/>
    </row>
    <row r="311" spans="1:35" ht="18.75" customHeight="1">
      <c r="A311" s="791">
        <v>306</v>
      </c>
      <c r="B311" s="790" t="s">
        <v>39</v>
      </c>
      <c r="C311" s="791" t="s">
        <v>572</v>
      </c>
      <c r="D311" s="791" t="s">
        <v>596</v>
      </c>
      <c r="E311" s="791">
        <v>1</v>
      </c>
      <c r="F311" s="791" t="s">
        <v>523</v>
      </c>
      <c r="G311" s="791" t="s">
        <v>589</v>
      </c>
      <c r="H311" s="791" t="s">
        <v>164</v>
      </c>
      <c r="I311" s="792" t="s">
        <v>597</v>
      </c>
      <c r="J311" s="792" t="s">
        <v>597</v>
      </c>
      <c r="K311" s="793" t="s">
        <v>576</v>
      </c>
      <c r="L311" s="791" t="s">
        <v>1882</v>
      </c>
      <c r="M311" s="820" t="s">
        <v>1881</v>
      </c>
      <c r="N311" s="795" t="s">
        <v>1882</v>
      </c>
      <c r="O311" s="795" t="s">
        <v>1882</v>
      </c>
      <c r="P311" s="796" t="s">
        <v>1881</v>
      </c>
      <c r="Q311" s="796" t="s">
        <v>1881</v>
      </c>
      <c r="R311" s="796" t="s">
        <v>1882</v>
      </c>
      <c r="S311" s="796" t="s">
        <v>1881</v>
      </c>
      <c r="T311" s="796" t="s">
        <v>1881</v>
      </c>
      <c r="U311" s="796" t="s">
        <v>1881</v>
      </c>
      <c r="V311" s="796" t="s">
        <v>1881</v>
      </c>
      <c r="W311" s="796" t="s">
        <v>1881</v>
      </c>
      <c r="X311" s="796" t="s">
        <v>1882</v>
      </c>
      <c r="Y311" s="741" t="s">
        <v>1881</v>
      </c>
      <c r="Z311" s="741" t="s">
        <v>1881</v>
      </c>
      <c r="AA311" s="741" t="s">
        <v>1881</v>
      </c>
      <c r="AB311" s="741" t="s">
        <v>1881</v>
      </c>
      <c r="AC311" s="741" t="s">
        <v>1881</v>
      </c>
      <c r="AD311" s="741">
        <v>0</v>
      </c>
      <c r="AE311" s="741" t="s">
        <v>59</v>
      </c>
      <c r="AF311" s="741" t="s">
        <v>59</v>
      </c>
      <c r="AG311" s="798" t="s">
        <v>2076</v>
      </c>
      <c r="AH311" s="798" t="s">
        <v>2205</v>
      </c>
      <c r="AI311" s="798"/>
    </row>
    <row r="312" spans="1:35" ht="18.75" customHeight="1">
      <c r="A312" s="791">
        <v>307</v>
      </c>
      <c r="B312" s="790" t="s">
        <v>39</v>
      </c>
      <c r="C312" s="791" t="s">
        <v>599</v>
      </c>
      <c r="D312" s="791" t="s">
        <v>600</v>
      </c>
      <c r="E312" s="791">
        <v>1</v>
      </c>
      <c r="F312" s="791" t="s">
        <v>523</v>
      </c>
      <c r="G312" s="791" t="s">
        <v>601</v>
      </c>
      <c r="H312" s="791" t="s">
        <v>30</v>
      </c>
      <c r="I312" s="792" t="s">
        <v>2077</v>
      </c>
      <c r="J312" s="792" t="s">
        <v>2078</v>
      </c>
      <c r="K312" s="793" t="s">
        <v>604</v>
      </c>
      <c r="L312" s="790" t="s">
        <v>1882</v>
      </c>
      <c r="M312" s="794" t="s">
        <v>1438</v>
      </c>
      <c r="N312" s="795" t="s">
        <v>1882</v>
      </c>
      <c r="O312" s="795" t="s">
        <v>1882</v>
      </c>
      <c r="P312" s="796" t="s">
        <v>1438</v>
      </c>
      <c r="Q312" s="796" t="s">
        <v>1438</v>
      </c>
      <c r="R312" s="796" t="s">
        <v>2079</v>
      </c>
      <c r="S312" s="796">
        <v>0</v>
      </c>
      <c r="T312" s="796">
        <v>0</v>
      </c>
      <c r="U312" s="796">
        <v>6</v>
      </c>
      <c r="V312" s="796" t="s">
        <v>606</v>
      </c>
      <c r="W312" s="796" t="s">
        <v>607</v>
      </c>
      <c r="X312" s="796" t="s">
        <v>1438</v>
      </c>
      <c r="Y312" s="741">
        <v>0</v>
      </c>
      <c r="Z312" s="741">
        <v>0</v>
      </c>
      <c r="AA312" s="741">
        <v>6</v>
      </c>
      <c r="AB312" s="741" t="s">
        <v>606</v>
      </c>
      <c r="AC312" s="741" t="s">
        <v>607</v>
      </c>
      <c r="AD312" s="741">
        <v>0</v>
      </c>
      <c r="AE312" s="741" t="s">
        <v>59</v>
      </c>
      <c r="AF312" s="741" t="s">
        <v>59</v>
      </c>
      <c r="AG312" s="798" t="s">
        <v>608</v>
      </c>
      <c r="AH312" s="798" t="s">
        <v>609</v>
      </c>
      <c r="AI312" s="798"/>
    </row>
    <row r="313" spans="1:35" ht="18.75" customHeight="1">
      <c r="A313" s="791">
        <v>308</v>
      </c>
      <c r="B313" s="790" t="s">
        <v>39</v>
      </c>
      <c r="C313" s="791" t="s">
        <v>599</v>
      </c>
      <c r="D313" s="791" t="s">
        <v>610</v>
      </c>
      <c r="E313" s="791">
        <v>1</v>
      </c>
      <c r="F313" s="791" t="s">
        <v>611</v>
      </c>
      <c r="G313" s="791" t="s">
        <v>601</v>
      </c>
      <c r="H313" s="791" t="s">
        <v>30</v>
      </c>
      <c r="I313" s="792" t="s">
        <v>2080</v>
      </c>
      <c r="J313" s="792" t="s">
        <v>2081</v>
      </c>
      <c r="K313" s="793" t="s">
        <v>604</v>
      </c>
      <c r="L313" s="790" t="s">
        <v>1882</v>
      </c>
      <c r="M313" s="794" t="s">
        <v>1438</v>
      </c>
      <c r="N313" s="795" t="s">
        <v>1882</v>
      </c>
      <c r="O313" s="795" t="s">
        <v>1882</v>
      </c>
      <c r="P313" s="796" t="s">
        <v>1438</v>
      </c>
      <c r="Q313" s="796" t="s">
        <v>2079</v>
      </c>
      <c r="R313" s="796" t="s">
        <v>2079</v>
      </c>
      <c r="S313" s="796">
        <v>0</v>
      </c>
      <c r="T313" s="796">
        <v>0</v>
      </c>
      <c r="U313" s="796">
        <v>3</v>
      </c>
      <c r="V313" s="796" t="s">
        <v>606</v>
      </c>
      <c r="W313" s="796" t="s">
        <v>607</v>
      </c>
      <c r="X313" s="796" t="s">
        <v>1438</v>
      </c>
      <c r="Y313" s="741">
        <v>0</v>
      </c>
      <c r="Z313" s="741">
        <v>0</v>
      </c>
      <c r="AA313" s="741">
        <v>3</v>
      </c>
      <c r="AB313" s="741" t="s">
        <v>606</v>
      </c>
      <c r="AC313" s="741" t="s">
        <v>607</v>
      </c>
      <c r="AD313" s="741">
        <v>0</v>
      </c>
      <c r="AE313" s="741" t="s">
        <v>59</v>
      </c>
      <c r="AF313" s="741" t="s">
        <v>59</v>
      </c>
      <c r="AG313" s="798" t="s">
        <v>608</v>
      </c>
      <c r="AH313" s="798" t="s">
        <v>614</v>
      </c>
      <c r="AI313" s="798"/>
    </row>
    <row r="314" spans="1:35" ht="18.75" customHeight="1">
      <c r="A314" s="791">
        <v>309</v>
      </c>
      <c r="B314" s="790" t="s">
        <v>39</v>
      </c>
      <c r="C314" s="791" t="s">
        <v>599</v>
      </c>
      <c r="D314" s="791" t="s">
        <v>615</v>
      </c>
      <c r="E314" s="791">
        <v>1</v>
      </c>
      <c r="F314" s="791" t="s">
        <v>616</v>
      </c>
      <c r="G314" s="791" t="s">
        <v>617</v>
      </c>
      <c r="H314" s="791" t="s">
        <v>30</v>
      </c>
      <c r="I314" s="792" t="s">
        <v>2206</v>
      </c>
      <c r="J314" s="792" t="s">
        <v>2082</v>
      </c>
      <c r="K314" s="793" t="s">
        <v>604</v>
      </c>
      <c r="L314" s="790">
        <v>2016</v>
      </c>
      <c r="M314" s="794" t="s">
        <v>1438</v>
      </c>
      <c r="N314" s="795" t="s">
        <v>1882</v>
      </c>
      <c r="O314" s="795" t="s">
        <v>1882</v>
      </c>
      <c r="P314" s="796" t="s">
        <v>1438</v>
      </c>
      <c r="Q314" s="796" t="s">
        <v>1438</v>
      </c>
      <c r="R314" s="796">
        <v>47</v>
      </c>
      <c r="S314" s="796">
        <v>0</v>
      </c>
      <c r="T314" s="796">
        <v>0</v>
      </c>
      <c r="U314" s="796">
        <v>61</v>
      </c>
      <c r="V314" s="796" t="s">
        <v>621</v>
      </c>
      <c r="W314" s="796" t="s">
        <v>621</v>
      </c>
      <c r="X314" s="796" t="s">
        <v>1438</v>
      </c>
      <c r="Y314" s="741">
        <v>0</v>
      </c>
      <c r="Z314" s="741">
        <v>0</v>
      </c>
      <c r="AA314" s="741">
        <v>61</v>
      </c>
      <c r="AB314" s="741" t="s">
        <v>621</v>
      </c>
      <c r="AC314" s="741" t="s">
        <v>621</v>
      </c>
      <c r="AD314" s="741">
        <v>0</v>
      </c>
      <c r="AE314" s="741" t="s">
        <v>59</v>
      </c>
      <c r="AF314" s="741" t="s">
        <v>59</v>
      </c>
      <c r="AG314" s="798" t="s">
        <v>608</v>
      </c>
      <c r="AH314" s="798" t="s">
        <v>622</v>
      </c>
      <c r="AI314" s="798"/>
    </row>
    <row r="315" spans="1:35" ht="18.75" customHeight="1">
      <c r="A315" s="791">
        <v>310</v>
      </c>
      <c r="B315" s="790" t="s">
        <v>39</v>
      </c>
      <c r="C315" s="791" t="s">
        <v>599</v>
      </c>
      <c r="D315" s="791" t="s">
        <v>623</v>
      </c>
      <c r="E315" s="791">
        <v>1</v>
      </c>
      <c r="F315" s="791" t="s">
        <v>624</v>
      </c>
      <c r="G315" s="791" t="s">
        <v>625</v>
      </c>
      <c r="H315" s="791" t="s">
        <v>30</v>
      </c>
      <c r="I315" s="792" t="s">
        <v>2083</v>
      </c>
      <c r="J315" s="792" t="s">
        <v>2084</v>
      </c>
      <c r="K315" s="793" t="s">
        <v>604</v>
      </c>
      <c r="L315" s="790">
        <v>2016</v>
      </c>
      <c r="M315" s="794" t="s">
        <v>1438</v>
      </c>
      <c r="N315" s="795" t="s">
        <v>1882</v>
      </c>
      <c r="O315" s="795" t="s">
        <v>1882</v>
      </c>
      <c r="P315" s="796" t="s">
        <v>1438</v>
      </c>
      <c r="Q315" s="796" t="s">
        <v>1438</v>
      </c>
      <c r="R315" s="796">
        <v>6</v>
      </c>
      <c r="S315" s="796">
        <v>0</v>
      </c>
      <c r="T315" s="796">
        <v>2</v>
      </c>
      <c r="U315" s="796">
        <v>3</v>
      </c>
      <c r="V315" s="796" t="s">
        <v>628</v>
      </c>
      <c r="W315" s="796" t="s">
        <v>628</v>
      </c>
      <c r="X315" s="796" t="s">
        <v>1438</v>
      </c>
      <c r="Y315" s="741">
        <v>0</v>
      </c>
      <c r="Z315" s="741">
        <v>2</v>
      </c>
      <c r="AA315" s="741">
        <v>3</v>
      </c>
      <c r="AB315" s="741" t="s">
        <v>628</v>
      </c>
      <c r="AC315" s="741" t="s">
        <v>628</v>
      </c>
      <c r="AD315" s="741">
        <v>0</v>
      </c>
      <c r="AE315" s="741" t="s">
        <v>59</v>
      </c>
      <c r="AF315" s="741" t="s">
        <v>59</v>
      </c>
      <c r="AG315" s="798" t="s">
        <v>629</v>
      </c>
      <c r="AH315" s="798" t="s">
        <v>630</v>
      </c>
      <c r="AI315" s="798"/>
    </row>
    <row r="316" spans="1:35" ht="18.75" customHeight="1">
      <c r="A316" s="791">
        <v>311</v>
      </c>
      <c r="B316" s="790" t="s">
        <v>39</v>
      </c>
      <c r="C316" s="791" t="s">
        <v>599</v>
      </c>
      <c r="D316" s="791" t="s">
        <v>631</v>
      </c>
      <c r="E316" s="791">
        <v>1</v>
      </c>
      <c r="F316" s="791" t="s">
        <v>624</v>
      </c>
      <c r="G316" s="791" t="s">
        <v>625</v>
      </c>
      <c r="H316" s="791" t="s">
        <v>30</v>
      </c>
      <c r="I316" s="792" t="s">
        <v>2085</v>
      </c>
      <c r="J316" s="792" t="s">
        <v>2086</v>
      </c>
      <c r="K316" s="793" t="s">
        <v>604</v>
      </c>
      <c r="L316" s="790">
        <v>2016</v>
      </c>
      <c r="M316" s="794" t="s">
        <v>1438</v>
      </c>
      <c r="N316" s="795" t="s">
        <v>1882</v>
      </c>
      <c r="O316" s="795" t="s">
        <v>1882</v>
      </c>
      <c r="P316" s="796" t="s">
        <v>1438</v>
      </c>
      <c r="Q316" s="796" t="s">
        <v>1438</v>
      </c>
      <c r="R316" s="796" t="s">
        <v>634</v>
      </c>
      <c r="S316" s="796" t="s">
        <v>634</v>
      </c>
      <c r="T316" s="796" t="s">
        <v>634</v>
      </c>
      <c r="U316" s="796" t="s">
        <v>634</v>
      </c>
      <c r="V316" s="796" t="s">
        <v>634</v>
      </c>
      <c r="W316" s="796" t="s">
        <v>634</v>
      </c>
      <c r="X316" s="796" t="s">
        <v>1438</v>
      </c>
      <c r="Y316" s="741" t="s">
        <v>634</v>
      </c>
      <c r="Z316" s="741" t="s">
        <v>634</v>
      </c>
      <c r="AA316" s="741" t="s">
        <v>634</v>
      </c>
      <c r="AB316" s="741" t="s">
        <v>634</v>
      </c>
      <c r="AC316" s="741" t="s">
        <v>634</v>
      </c>
      <c r="AD316" s="741" t="s">
        <v>634</v>
      </c>
      <c r="AE316" s="741" t="s">
        <v>59</v>
      </c>
      <c r="AF316" s="741" t="s">
        <v>59</v>
      </c>
      <c r="AG316" s="798" t="s">
        <v>635</v>
      </c>
      <c r="AH316" s="798" t="s">
        <v>636</v>
      </c>
      <c r="AI316" s="798"/>
    </row>
    <row r="317" spans="1:35" ht="18.75" customHeight="1">
      <c r="A317" s="791">
        <v>312</v>
      </c>
      <c r="B317" s="790" t="s">
        <v>39</v>
      </c>
      <c r="C317" s="791" t="s">
        <v>637</v>
      </c>
      <c r="D317" s="791" t="s">
        <v>638</v>
      </c>
      <c r="E317" s="791">
        <v>1</v>
      </c>
      <c r="F317" s="791" t="s">
        <v>639</v>
      </c>
      <c r="G317" s="791" t="s">
        <v>640</v>
      </c>
      <c r="H317" s="791" t="s">
        <v>30</v>
      </c>
      <c r="I317" s="792" t="s">
        <v>2087</v>
      </c>
      <c r="J317" s="792" t="s">
        <v>2088</v>
      </c>
      <c r="K317" s="793" t="s">
        <v>604</v>
      </c>
      <c r="L317" s="790" t="s">
        <v>1882</v>
      </c>
      <c r="M317" s="794" t="s">
        <v>1438</v>
      </c>
      <c r="N317" s="795" t="s">
        <v>1882</v>
      </c>
      <c r="O317" s="795" t="s">
        <v>1882</v>
      </c>
      <c r="P317" s="796" t="s">
        <v>1438</v>
      </c>
      <c r="Q317" s="796" t="s">
        <v>1438</v>
      </c>
      <c r="R317" s="796" t="s">
        <v>2089</v>
      </c>
      <c r="S317" s="796">
        <v>0</v>
      </c>
      <c r="T317" s="796">
        <v>0</v>
      </c>
      <c r="U317" s="796">
        <v>2</v>
      </c>
      <c r="V317" s="796" t="s">
        <v>644</v>
      </c>
      <c r="W317" s="796" t="s">
        <v>644</v>
      </c>
      <c r="X317" s="796" t="s">
        <v>1438</v>
      </c>
      <c r="Y317" s="741">
        <v>0</v>
      </c>
      <c r="Z317" s="741">
        <v>0</v>
      </c>
      <c r="AA317" s="741">
        <v>2</v>
      </c>
      <c r="AB317" s="741" t="s">
        <v>644</v>
      </c>
      <c r="AC317" s="741" t="s">
        <v>644</v>
      </c>
      <c r="AD317" s="741" t="s">
        <v>643</v>
      </c>
      <c r="AE317" s="741" t="s">
        <v>59</v>
      </c>
      <c r="AF317" s="741" t="s">
        <v>59</v>
      </c>
      <c r="AG317" s="798" t="s">
        <v>645</v>
      </c>
      <c r="AH317" s="798" t="s">
        <v>646</v>
      </c>
      <c r="AI317" s="798"/>
    </row>
    <row r="318" spans="1:35" ht="18.75" customHeight="1">
      <c r="A318" s="791">
        <v>313</v>
      </c>
      <c r="B318" s="790" t="s">
        <v>39</v>
      </c>
      <c r="C318" s="791" t="s">
        <v>637</v>
      </c>
      <c r="D318" s="791" t="s">
        <v>647</v>
      </c>
      <c r="E318" s="791">
        <v>1</v>
      </c>
      <c r="F318" s="791" t="s">
        <v>639</v>
      </c>
      <c r="G318" s="791" t="s">
        <v>640</v>
      </c>
      <c r="H318" s="791" t="s">
        <v>30</v>
      </c>
      <c r="I318" s="792" t="s">
        <v>2090</v>
      </c>
      <c r="J318" s="792" t="s">
        <v>2091</v>
      </c>
      <c r="K318" s="793" t="s">
        <v>604</v>
      </c>
      <c r="L318" s="790" t="s">
        <v>1882</v>
      </c>
      <c r="M318" s="794" t="s">
        <v>1438</v>
      </c>
      <c r="N318" s="795" t="s">
        <v>1882</v>
      </c>
      <c r="O318" s="795" t="s">
        <v>1882</v>
      </c>
      <c r="P318" s="796" t="s">
        <v>1438</v>
      </c>
      <c r="Q318" s="796" t="s">
        <v>1438</v>
      </c>
      <c r="R318" s="796" t="s">
        <v>2089</v>
      </c>
      <c r="S318" s="796">
        <v>0</v>
      </c>
      <c r="T318" s="796">
        <v>0</v>
      </c>
      <c r="U318" s="796">
        <v>3</v>
      </c>
      <c r="V318" s="796" t="s">
        <v>644</v>
      </c>
      <c r="W318" s="796" t="s">
        <v>644</v>
      </c>
      <c r="X318" s="796" t="s">
        <v>1438</v>
      </c>
      <c r="Y318" s="741">
        <v>0</v>
      </c>
      <c r="Z318" s="741">
        <v>0</v>
      </c>
      <c r="AA318" s="741">
        <v>3</v>
      </c>
      <c r="AB318" s="741" t="s">
        <v>644</v>
      </c>
      <c r="AC318" s="741" t="s">
        <v>644</v>
      </c>
      <c r="AD318" s="741" t="s">
        <v>643</v>
      </c>
      <c r="AE318" s="741" t="s">
        <v>59</v>
      </c>
      <c r="AF318" s="741" t="s">
        <v>59</v>
      </c>
      <c r="AG318" s="798" t="s">
        <v>608</v>
      </c>
      <c r="AH318" s="798" t="s">
        <v>2092</v>
      </c>
      <c r="AI318" s="798"/>
    </row>
    <row r="319" spans="1:35" ht="67.5">
      <c r="A319" s="791">
        <v>314</v>
      </c>
      <c r="B319" s="790" t="s">
        <v>39</v>
      </c>
      <c r="C319" s="791" t="s">
        <v>651</v>
      </c>
      <c r="D319" s="791" t="s">
        <v>652</v>
      </c>
      <c r="E319" s="791">
        <v>1</v>
      </c>
      <c r="F319" s="791" t="s">
        <v>653</v>
      </c>
      <c r="G319" s="791" t="s">
        <v>654</v>
      </c>
      <c r="H319" s="791" t="s">
        <v>30</v>
      </c>
      <c r="I319" s="792" t="s">
        <v>2093</v>
      </c>
      <c r="J319" s="792" t="s">
        <v>2094</v>
      </c>
      <c r="K319" s="793" t="s">
        <v>604</v>
      </c>
      <c r="L319" s="790" t="s">
        <v>1882</v>
      </c>
      <c r="M319" s="804" t="s">
        <v>657</v>
      </c>
      <c r="N319" s="795" t="s">
        <v>1882</v>
      </c>
      <c r="O319" s="795" t="s">
        <v>1882</v>
      </c>
      <c r="P319" s="802" t="s">
        <v>657</v>
      </c>
      <c r="Q319" s="802" t="s">
        <v>657</v>
      </c>
      <c r="R319" s="802" t="s">
        <v>657</v>
      </c>
      <c r="S319" s="825" t="s">
        <v>657</v>
      </c>
      <c r="T319" s="825" t="s">
        <v>657</v>
      </c>
      <c r="U319" s="825" t="s">
        <v>657</v>
      </c>
      <c r="V319" s="825" t="s">
        <v>657</v>
      </c>
      <c r="W319" s="825" t="s">
        <v>657</v>
      </c>
      <c r="X319" s="802" t="s">
        <v>657</v>
      </c>
      <c r="Y319" s="741" t="s">
        <v>657</v>
      </c>
      <c r="Z319" s="741" t="s">
        <v>657</v>
      </c>
      <c r="AA319" s="741" t="s">
        <v>657</v>
      </c>
      <c r="AB319" s="741" t="s">
        <v>657</v>
      </c>
      <c r="AC319" s="741" t="s">
        <v>657</v>
      </c>
      <c r="AD319" s="741" t="s">
        <v>657</v>
      </c>
      <c r="AE319" s="741" t="s">
        <v>59</v>
      </c>
      <c r="AF319" s="741" t="s">
        <v>59</v>
      </c>
      <c r="AG319" s="798" t="s">
        <v>658</v>
      </c>
      <c r="AH319" s="798" t="s">
        <v>2095</v>
      </c>
      <c r="AI319" s="798"/>
    </row>
    <row r="320" spans="1:35" ht="60">
      <c r="A320" s="791">
        <v>315</v>
      </c>
      <c r="B320" s="790" t="s">
        <v>39</v>
      </c>
      <c r="C320" s="791" t="s">
        <v>651</v>
      </c>
      <c r="D320" s="791" t="s">
        <v>660</v>
      </c>
      <c r="E320" s="791">
        <v>1</v>
      </c>
      <c r="F320" s="791" t="s">
        <v>661</v>
      </c>
      <c r="G320" s="791" t="s">
        <v>654</v>
      </c>
      <c r="H320" s="791" t="s">
        <v>30</v>
      </c>
      <c r="I320" s="792" t="s">
        <v>2096</v>
      </c>
      <c r="J320" s="792" t="s">
        <v>2097</v>
      </c>
      <c r="K320" s="793" t="s">
        <v>604</v>
      </c>
      <c r="L320" s="790" t="s">
        <v>1882</v>
      </c>
      <c r="M320" s="794" t="s">
        <v>657</v>
      </c>
      <c r="N320" s="795" t="s">
        <v>1882</v>
      </c>
      <c r="O320" s="795" t="s">
        <v>1882</v>
      </c>
      <c r="P320" s="796" t="s">
        <v>657</v>
      </c>
      <c r="Q320" s="796" t="s">
        <v>657</v>
      </c>
      <c r="R320" s="796" t="s">
        <v>657</v>
      </c>
      <c r="S320" s="825" t="s">
        <v>657</v>
      </c>
      <c r="T320" s="825" t="s">
        <v>657</v>
      </c>
      <c r="U320" s="825" t="s">
        <v>657</v>
      </c>
      <c r="V320" s="825" t="s">
        <v>657</v>
      </c>
      <c r="W320" s="825" t="s">
        <v>657</v>
      </c>
      <c r="X320" s="796" t="s">
        <v>657</v>
      </c>
      <c r="Y320" s="741" t="s">
        <v>657</v>
      </c>
      <c r="Z320" s="741" t="s">
        <v>657</v>
      </c>
      <c r="AA320" s="741" t="s">
        <v>657</v>
      </c>
      <c r="AB320" s="741" t="s">
        <v>657</v>
      </c>
      <c r="AC320" s="741" t="s">
        <v>657</v>
      </c>
      <c r="AD320" s="741" t="s">
        <v>657</v>
      </c>
      <c r="AE320" s="741" t="s">
        <v>59</v>
      </c>
      <c r="AF320" s="741" t="s">
        <v>59</v>
      </c>
      <c r="AG320" s="798" t="s">
        <v>664</v>
      </c>
      <c r="AH320" s="798" t="s">
        <v>2095</v>
      </c>
      <c r="AI320" s="798"/>
    </row>
    <row r="321" spans="1:35" ht="60">
      <c r="A321" s="791">
        <v>316</v>
      </c>
      <c r="B321" s="790" t="s">
        <v>39</v>
      </c>
      <c r="C321" s="791" t="s">
        <v>651</v>
      </c>
      <c r="D321" s="791" t="s">
        <v>665</v>
      </c>
      <c r="E321" s="791">
        <v>1</v>
      </c>
      <c r="F321" s="791" t="s">
        <v>142</v>
      </c>
      <c r="G321" s="791" t="s">
        <v>654</v>
      </c>
      <c r="H321" s="791" t="s">
        <v>30</v>
      </c>
      <c r="I321" s="792" t="s">
        <v>2207</v>
      </c>
      <c r="J321" s="792" t="s">
        <v>2098</v>
      </c>
      <c r="K321" s="793" t="s">
        <v>604</v>
      </c>
      <c r="L321" s="790" t="s">
        <v>1882</v>
      </c>
      <c r="M321" s="804" t="s">
        <v>657</v>
      </c>
      <c r="N321" s="795" t="s">
        <v>1882</v>
      </c>
      <c r="O321" s="795" t="s">
        <v>1882</v>
      </c>
      <c r="P321" s="802" t="s">
        <v>657</v>
      </c>
      <c r="Q321" s="802" t="s">
        <v>657</v>
      </c>
      <c r="R321" s="802" t="s">
        <v>657</v>
      </c>
      <c r="S321" s="825" t="s">
        <v>657</v>
      </c>
      <c r="T321" s="825" t="s">
        <v>657</v>
      </c>
      <c r="U321" s="825" t="s">
        <v>657</v>
      </c>
      <c r="V321" s="825" t="s">
        <v>657</v>
      </c>
      <c r="W321" s="825" t="s">
        <v>657</v>
      </c>
      <c r="X321" s="802" t="s">
        <v>657</v>
      </c>
      <c r="Y321" s="741" t="s">
        <v>657</v>
      </c>
      <c r="Z321" s="741" t="s">
        <v>657</v>
      </c>
      <c r="AA321" s="741" t="s">
        <v>657</v>
      </c>
      <c r="AB321" s="741" t="s">
        <v>657</v>
      </c>
      <c r="AC321" s="741" t="s">
        <v>657</v>
      </c>
      <c r="AD321" s="741" t="s">
        <v>657</v>
      </c>
      <c r="AE321" s="741" t="s">
        <v>59</v>
      </c>
      <c r="AF321" s="741" t="s">
        <v>59</v>
      </c>
      <c r="AG321" s="798" t="s">
        <v>668</v>
      </c>
      <c r="AH321" s="798" t="s">
        <v>2095</v>
      </c>
      <c r="AI321" s="798"/>
    </row>
    <row r="322" spans="1:35" ht="67.5">
      <c r="A322" s="791">
        <v>317</v>
      </c>
      <c r="B322" s="790" t="s">
        <v>39</v>
      </c>
      <c r="C322" s="791" t="s">
        <v>651</v>
      </c>
      <c r="D322" s="791" t="s">
        <v>669</v>
      </c>
      <c r="E322" s="791">
        <v>1</v>
      </c>
      <c r="F322" s="791" t="s">
        <v>523</v>
      </c>
      <c r="G322" s="791" t="s">
        <v>654</v>
      </c>
      <c r="H322" s="791" t="s">
        <v>30</v>
      </c>
      <c r="I322" s="792" t="s">
        <v>2099</v>
      </c>
      <c r="J322" s="792" t="s">
        <v>2100</v>
      </c>
      <c r="K322" s="793" t="s">
        <v>604</v>
      </c>
      <c r="L322" s="790" t="s">
        <v>1882</v>
      </c>
      <c r="M322" s="794" t="s">
        <v>657</v>
      </c>
      <c r="N322" s="795" t="s">
        <v>1882</v>
      </c>
      <c r="O322" s="795" t="s">
        <v>1882</v>
      </c>
      <c r="P322" s="796" t="s">
        <v>657</v>
      </c>
      <c r="Q322" s="796" t="s">
        <v>657</v>
      </c>
      <c r="R322" s="796" t="s">
        <v>657</v>
      </c>
      <c r="S322" s="825" t="s">
        <v>657</v>
      </c>
      <c r="T322" s="825" t="s">
        <v>657</v>
      </c>
      <c r="U322" s="825" t="s">
        <v>657</v>
      </c>
      <c r="V322" s="825" t="s">
        <v>657</v>
      </c>
      <c r="W322" s="825" t="s">
        <v>657</v>
      </c>
      <c r="X322" s="796" t="s">
        <v>657</v>
      </c>
      <c r="Y322" s="741" t="s">
        <v>657</v>
      </c>
      <c r="Z322" s="741" t="s">
        <v>657</v>
      </c>
      <c r="AA322" s="741" t="s">
        <v>657</v>
      </c>
      <c r="AB322" s="741" t="s">
        <v>657</v>
      </c>
      <c r="AC322" s="741" t="s">
        <v>657</v>
      </c>
      <c r="AD322" s="741" t="s">
        <v>657</v>
      </c>
      <c r="AE322" s="741" t="s">
        <v>59</v>
      </c>
      <c r="AF322" s="741" t="s">
        <v>59</v>
      </c>
      <c r="AG322" s="798" t="s">
        <v>672</v>
      </c>
      <c r="AH322" s="798" t="s">
        <v>673</v>
      </c>
      <c r="AI322" s="798"/>
    </row>
    <row r="323" spans="1:35" ht="84">
      <c r="A323" s="791">
        <v>318</v>
      </c>
      <c r="B323" s="790" t="s">
        <v>39</v>
      </c>
      <c r="C323" s="791" t="s">
        <v>651</v>
      </c>
      <c r="D323" s="791" t="s">
        <v>674</v>
      </c>
      <c r="E323" s="791">
        <v>1</v>
      </c>
      <c r="F323" s="791" t="s">
        <v>675</v>
      </c>
      <c r="G323" s="791" t="s">
        <v>676</v>
      </c>
      <c r="H323" s="791" t="s">
        <v>30</v>
      </c>
      <c r="I323" s="792" t="s">
        <v>2208</v>
      </c>
      <c r="J323" s="792" t="s">
        <v>2101</v>
      </c>
      <c r="K323" s="793" t="s">
        <v>604</v>
      </c>
      <c r="L323" s="790" t="s">
        <v>1882</v>
      </c>
      <c r="M323" s="794" t="s">
        <v>657</v>
      </c>
      <c r="N323" s="795" t="s">
        <v>1882</v>
      </c>
      <c r="O323" s="795" t="s">
        <v>1882</v>
      </c>
      <c r="P323" s="796" t="s">
        <v>657</v>
      </c>
      <c r="Q323" s="796" t="s">
        <v>657</v>
      </c>
      <c r="R323" s="796" t="s">
        <v>657</v>
      </c>
      <c r="S323" s="825" t="s">
        <v>657</v>
      </c>
      <c r="T323" s="825" t="s">
        <v>657</v>
      </c>
      <c r="U323" s="825" t="s">
        <v>657</v>
      </c>
      <c r="V323" s="825" t="s">
        <v>657</v>
      </c>
      <c r="W323" s="825" t="s">
        <v>657</v>
      </c>
      <c r="X323" s="796" t="s">
        <v>657</v>
      </c>
      <c r="Y323" s="741" t="s">
        <v>657</v>
      </c>
      <c r="Z323" s="741" t="s">
        <v>657</v>
      </c>
      <c r="AA323" s="741" t="s">
        <v>657</v>
      </c>
      <c r="AB323" s="741" t="s">
        <v>657</v>
      </c>
      <c r="AC323" s="741" t="s">
        <v>657</v>
      </c>
      <c r="AD323" s="741" t="s">
        <v>657</v>
      </c>
      <c r="AE323" s="741" t="s">
        <v>59</v>
      </c>
      <c r="AF323" s="741" t="s">
        <v>59</v>
      </c>
      <c r="AG323" s="798" t="s">
        <v>679</v>
      </c>
      <c r="AH323" s="798" t="s">
        <v>680</v>
      </c>
      <c r="AI323" s="798"/>
    </row>
    <row r="324" spans="1:35" ht="84">
      <c r="A324" s="791">
        <v>319</v>
      </c>
      <c r="B324" s="790" t="s">
        <v>39</v>
      </c>
      <c r="C324" s="791" t="s">
        <v>651</v>
      </c>
      <c r="D324" s="791" t="s">
        <v>681</v>
      </c>
      <c r="E324" s="791">
        <v>1</v>
      </c>
      <c r="F324" s="791" t="s">
        <v>682</v>
      </c>
      <c r="G324" s="791" t="s">
        <v>676</v>
      </c>
      <c r="H324" s="791" t="s">
        <v>30</v>
      </c>
      <c r="I324" s="792" t="s">
        <v>2208</v>
      </c>
      <c r="J324" s="792" t="s">
        <v>2101</v>
      </c>
      <c r="K324" s="793" t="s">
        <v>604</v>
      </c>
      <c r="L324" s="790" t="s">
        <v>1882</v>
      </c>
      <c r="M324" s="794" t="s">
        <v>657</v>
      </c>
      <c r="N324" s="795" t="s">
        <v>1882</v>
      </c>
      <c r="O324" s="795" t="s">
        <v>1882</v>
      </c>
      <c r="P324" s="796" t="s">
        <v>657</v>
      </c>
      <c r="Q324" s="796" t="s">
        <v>657</v>
      </c>
      <c r="R324" s="796" t="s">
        <v>657</v>
      </c>
      <c r="S324" s="825" t="s">
        <v>657</v>
      </c>
      <c r="T324" s="825" t="s">
        <v>657</v>
      </c>
      <c r="U324" s="825" t="s">
        <v>657</v>
      </c>
      <c r="V324" s="825" t="s">
        <v>657</v>
      </c>
      <c r="W324" s="825" t="s">
        <v>657</v>
      </c>
      <c r="X324" s="796" t="s">
        <v>657</v>
      </c>
      <c r="Y324" s="741" t="s">
        <v>657</v>
      </c>
      <c r="Z324" s="741" t="s">
        <v>657</v>
      </c>
      <c r="AA324" s="741" t="s">
        <v>657</v>
      </c>
      <c r="AB324" s="741" t="s">
        <v>657</v>
      </c>
      <c r="AC324" s="741" t="s">
        <v>657</v>
      </c>
      <c r="AD324" s="741" t="s">
        <v>657</v>
      </c>
      <c r="AE324" s="741" t="s">
        <v>59</v>
      </c>
      <c r="AF324" s="741" t="s">
        <v>59</v>
      </c>
      <c r="AG324" s="798" t="s">
        <v>679</v>
      </c>
      <c r="AH324" s="798" t="s">
        <v>680</v>
      </c>
      <c r="AI324" s="798"/>
    </row>
    <row r="325" spans="1:35" ht="84">
      <c r="A325" s="791">
        <v>320</v>
      </c>
      <c r="B325" s="790" t="s">
        <v>39</v>
      </c>
      <c r="C325" s="791" t="s">
        <v>651</v>
      </c>
      <c r="D325" s="791" t="s">
        <v>685</v>
      </c>
      <c r="E325" s="791">
        <v>1</v>
      </c>
      <c r="F325" s="791" t="s">
        <v>686</v>
      </c>
      <c r="G325" s="791" t="s">
        <v>676</v>
      </c>
      <c r="H325" s="791" t="s">
        <v>30</v>
      </c>
      <c r="I325" s="792" t="s">
        <v>2208</v>
      </c>
      <c r="J325" s="792" t="s">
        <v>2101</v>
      </c>
      <c r="K325" s="793" t="s">
        <v>604</v>
      </c>
      <c r="L325" s="790" t="s">
        <v>1882</v>
      </c>
      <c r="M325" s="794" t="s">
        <v>657</v>
      </c>
      <c r="N325" s="795" t="s">
        <v>1882</v>
      </c>
      <c r="O325" s="795" t="s">
        <v>1882</v>
      </c>
      <c r="P325" s="796" t="s">
        <v>657</v>
      </c>
      <c r="Q325" s="796" t="s">
        <v>657</v>
      </c>
      <c r="R325" s="796" t="s">
        <v>657</v>
      </c>
      <c r="S325" s="825" t="s">
        <v>657</v>
      </c>
      <c r="T325" s="825" t="s">
        <v>657</v>
      </c>
      <c r="U325" s="825" t="s">
        <v>657</v>
      </c>
      <c r="V325" s="825" t="s">
        <v>657</v>
      </c>
      <c r="W325" s="825" t="s">
        <v>657</v>
      </c>
      <c r="X325" s="796" t="s">
        <v>657</v>
      </c>
      <c r="Y325" s="741" t="s">
        <v>657</v>
      </c>
      <c r="Z325" s="741" t="s">
        <v>657</v>
      </c>
      <c r="AA325" s="741" t="s">
        <v>657</v>
      </c>
      <c r="AB325" s="741" t="s">
        <v>657</v>
      </c>
      <c r="AC325" s="741" t="s">
        <v>657</v>
      </c>
      <c r="AD325" s="741" t="s">
        <v>657</v>
      </c>
      <c r="AE325" s="741" t="s">
        <v>59</v>
      </c>
      <c r="AF325" s="741" t="s">
        <v>59</v>
      </c>
      <c r="AG325" s="798" t="s">
        <v>679</v>
      </c>
      <c r="AH325" s="798" t="s">
        <v>680</v>
      </c>
      <c r="AI325" s="798"/>
    </row>
    <row r="326" spans="1:35" ht="18.75" customHeight="1">
      <c r="A326" s="791">
        <v>321</v>
      </c>
      <c r="B326" s="790" t="s">
        <v>39</v>
      </c>
      <c r="C326" s="791" t="s">
        <v>651</v>
      </c>
      <c r="D326" s="791" t="s">
        <v>689</v>
      </c>
      <c r="E326" s="791">
        <v>1</v>
      </c>
      <c r="F326" s="791" t="s">
        <v>690</v>
      </c>
      <c r="G326" s="791" t="s">
        <v>691</v>
      </c>
      <c r="H326" s="791" t="s">
        <v>30</v>
      </c>
      <c r="I326" s="792" t="s">
        <v>2209</v>
      </c>
      <c r="J326" s="792" t="s">
        <v>2210</v>
      </c>
      <c r="K326" s="793" t="s">
        <v>604</v>
      </c>
      <c r="L326" s="790" t="s">
        <v>1882</v>
      </c>
      <c r="M326" s="794" t="s">
        <v>657</v>
      </c>
      <c r="N326" s="795" t="s">
        <v>1882</v>
      </c>
      <c r="O326" s="795" t="s">
        <v>1882</v>
      </c>
      <c r="P326" s="796" t="s">
        <v>657</v>
      </c>
      <c r="Q326" s="796" t="s">
        <v>657</v>
      </c>
      <c r="R326" s="796" t="s">
        <v>2079</v>
      </c>
      <c r="S326" s="796">
        <v>0</v>
      </c>
      <c r="T326" s="796">
        <v>2</v>
      </c>
      <c r="U326" s="796">
        <v>2</v>
      </c>
      <c r="V326" s="796" t="s">
        <v>644</v>
      </c>
      <c r="W326" s="796" t="s">
        <v>644</v>
      </c>
      <c r="X326" s="796" t="s">
        <v>657</v>
      </c>
      <c r="Y326" s="741">
        <v>0</v>
      </c>
      <c r="Z326" s="741">
        <v>2</v>
      </c>
      <c r="AA326" s="741">
        <v>2</v>
      </c>
      <c r="AB326" s="741" t="s">
        <v>644</v>
      </c>
      <c r="AC326" s="741" t="s">
        <v>644</v>
      </c>
      <c r="AD326" s="741" t="s">
        <v>2124</v>
      </c>
      <c r="AE326" s="741" t="s">
        <v>59</v>
      </c>
      <c r="AF326" s="741" t="s">
        <v>59</v>
      </c>
      <c r="AG326" s="798" t="s">
        <v>694</v>
      </c>
      <c r="AH326" s="798" t="s">
        <v>695</v>
      </c>
      <c r="AI326" s="798"/>
    </row>
    <row r="327" spans="1:35" ht="18.75" customHeight="1">
      <c r="A327" s="791">
        <v>322</v>
      </c>
      <c r="B327" s="790" t="s">
        <v>39</v>
      </c>
      <c r="C327" s="791" t="s">
        <v>651</v>
      </c>
      <c r="D327" s="791" t="s">
        <v>696</v>
      </c>
      <c r="E327" s="791">
        <v>1</v>
      </c>
      <c r="F327" s="791" t="s">
        <v>697</v>
      </c>
      <c r="G327" s="791" t="s">
        <v>691</v>
      </c>
      <c r="H327" s="791" t="s">
        <v>30</v>
      </c>
      <c r="I327" s="792" t="s">
        <v>2211</v>
      </c>
      <c r="J327" s="792" t="s">
        <v>2212</v>
      </c>
      <c r="K327" s="793" t="s">
        <v>604</v>
      </c>
      <c r="L327" s="790" t="s">
        <v>1882</v>
      </c>
      <c r="M327" s="794" t="s">
        <v>1438</v>
      </c>
      <c r="N327" s="795" t="s">
        <v>1882</v>
      </c>
      <c r="O327" s="795" t="s">
        <v>1882</v>
      </c>
      <c r="P327" s="796" t="s">
        <v>1438</v>
      </c>
      <c r="Q327" s="796" t="s">
        <v>1438</v>
      </c>
      <c r="R327" s="796" t="s">
        <v>2079</v>
      </c>
      <c r="S327" s="796">
        <v>0</v>
      </c>
      <c r="T327" s="796">
        <v>1</v>
      </c>
      <c r="U327" s="796">
        <v>1</v>
      </c>
      <c r="V327" s="796" t="s">
        <v>644</v>
      </c>
      <c r="W327" s="796" t="s">
        <v>644</v>
      </c>
      <c r="X327" s="796" t="s">
        <v>1438</v>
      </c>
      <c r="Y327" s="741">
        <v>0</v>
      </c>
      <c r="Z327" s="741">
        <v>1</v>
      </c>
      <c r="AA327" s="741">
        <v>1</v>
      </c>
      <c r="AB327" s="741" t="s">
        <v>644</v>
      </c>
      <c r="AC327" s="741" t="s">
        <v>644</v>
      </c>
      <c r="AD327" s="741" t="s">
        <v>2127</v>
      </c>
      <c r="AE327" s="741" t="s">
        <v>59</v>
      </c>
      <c r="AF327" s="741" t="s">
        <v>59</v>
      </c>
      <c r="AG327" s="798" t="s">
        <v>694</v>
      </c>
      <c r="AH327" s="798" t="s">
        <v>695</v>
      </c>
      <c r="AI327" s="798"/>
    </row>
    <row r="328" spans="1:35" ht="18.75" customHeight="1">
      <c r="A328" s="791">
        <v>323</v>
      </c>
      <c r="B328" s="790" t="s">
        <v>39</v>
      </c>
      <c r="C328" s="791" t="s">
        <v>651</v>
      </c>
      <c r="D328" s="791" t="s">
        <v>700</v>
      </c>
      <c r="E328" s="791">
        <v>1</v>
      </c>
      <c r="F328" s="791" t="s">
        <v>701</v>
      </c>
      <c r="G328" s="791" t="s">
        <v>691</v>
      </c>
      <c r="H328" s="791" t="s">
        <v>30</v>
      </c>
      <c r="I328" s="792" t="s">
        <v>2213</v>
      </c>
      <c r="J328" s="792" t="s">
        <v>2214</v>
      </c>
      <c r="K328" s="793" t="s">
        <v>604</v>
      </c>
      <c r="L328" s="790" t="s">
        <v>1882</v>
      </c>
      <c r="M328" s="794" t="s">
        <v>1438</v>
      </c>
      <c r="N328" s="795" t="s">
        <v>1882</v>
      </c>
      <c r="O328" s="795" t="s">
        <v>1882</v>
      </c>
      <c r="P328" s="796" t="s">
        <v>1438</v>
      </c>
      <c r="Q328" s="796" t="s">
        <v>1438</v>
      </c>
      <c r="R328" s="796" t="s">
        <v>2079</v>
      </c>
      <c r="S328" s="796">
        <v>0</v>
      </c>
      <c r="T328" s="796">
        <v>1</v>
      </c>
      <c r="U328" s="796">
        <v>1</v>
      </c>
      <c r="V328" s="796" t="s">
        <v>644</v>
      </c>
      <c r="W328" s="796" t="s">
        <v>644</v>
      </c>
      <c r="X328" s="796" t="s">
        <v>1438</v>
      </c>
      <c r="Y328" s="741">
        <v>0</v>
      </c>
      <c r="Z328" s="741">
        <v>1</v>
      </c>
      <c r="AA328" s="741">
        <v>1</v>
      </c>
      <c r="AB328" s="741" t="s">
        <v>644</v>
      </c>
      <c r="AC328" s="741" t="s">
        <v>644</v>
      </c>
      <c r="AD328" s="741" t="s">
        <v>2124</v>
      </c>
      <c r="AE328" s="741" t="s">
        <v>59</v>
      </c>
      <c r="AF328" s="741" t="s">
        <v>59</v>
      </c>
      <c r="AG328" s="798" t="s">
        <v>694</v>
      </c>
      <c r="AH328" s="798" t="s">
        <v>695</v>
      </c>
      <c r="AI328" s="798"/>
    </row>
    <row r="329" spans="1:35" ht="18.75" customHeight="1">
      <c r="A329" s="791">
        <v>324</v>
      </c>
      <c r="B329" s="790" t="s">
        <v>39</v>
      </c>
      <c r="C329" s="791" t="s">
        <v>651</v>
      </c>
      <c r="D329" s="791" t="s">
        <v>704</v>
      </c>
      <c r="E329" s="791">
        <v>1</v>
      </c>
      <c r="F329" s="791" t="s">
        <v>705</v>
      </c>
      <c r="G329" s="791" t="s">
        <v>691</v>
      </c>
      <c r="H329" s="791" t="s">
        <v>30</v>
      </c>
      <c r="I329" s="792" t="s">
        <v>2215</v>
      </c>
      <c r="J329" s="792" t="s">
        <v>2216</v>
      </c>
      <c r="K329" s="793" t="s">
        <v>604</v>
      </c>
      <c r="L329" s="790" t="s">
        <v>1882</v>
      </c>
      <c r="M329" s="794" t="s">
        <v>1438</v>
      </c>
      <c r="N329" s="795" t="s">
        <v>1882</v>
      </c>
      <c r="O329" s="795" t="s">
        <v>1882</v>
      </c>
      <c r="P329" s="796" t="s">
        <v>1438</v>
      </c>
      <c r="Q329" s="796" t="s">
        <v>1438</v>
      </c>
      <c r="R329" s="796" t="s">
        <v>2079</v>
      </c>
      <c r="S329" s="796">
        <v>0</v>
      </c>
      <c r="T329" s="796">
        <v>0</v>
      </c>
      <c r="U329" s="796">
        <v>1</v>
      </c>
      <c r="V329" s="796" t="s">
        <v>644</v>
      </c>
      <c r="W329" s="796" t="s">
        <v>644</v>
      </c>
      <c r="X329" s="796" t="s">
        <v>1438</v>
      </c>
      <c r="Y329" s="741">
        <v>0</v>
      </c>
      <c r="Z329" s="741">
        <v>0</v>
      </c>
      <c r="AA329" s="741">
        <v>1</v>
      </c>
      <c r="AB329" s="741" t="s">
        <v>644</v>
      </c>
      <c r="AC329" s="741" t="s">
        <v>644</v>
      </c>
      <c r="AD329" s="741" t="s">
        <v>2124</v>
      </c>
      <c r="AE329" s="741" t="s">
        <v>59</v>
      </c>
      <c r="AF329" s="741" t="s">
        <v>59</v>
      </c>
      <c r="AG329" s="798" t="s">
        <v>694</v>
      </c>
      <c r="AH329" s="798" t="s">
        <v>708</v>
      </c>
      <c r="AI329" s="798"/>
    </row>
    <row r="330" spans="1:35" ht="18.75" customHeight="1">
      <c r="A330" s="791">
        <v>325</v>
      </c>
      <c r="B330" s="790" t="s">
        <v>39</v>
      </c>
      <c r="C330" s="791" t="s">
        <v>651</v>
      </c>
      <c r="D330" s="791" t="s">
        <v>709</v>
      </c>
      <c r="E330" s="791">
        <v>1</v>
      </c>
      <c r="F330" s="791" t="s">
        <v>690</v>
      </c>
      <c r="G330" s="791" t="s">
        <v>691</v>
      </c>
      <c r="H330" s="791" t="s">
        <v>30</v>
      </c>
      <c r="I330" s="792" t="s">
        <v>2217</v>
      </c>
      <c r="J330" s="792" t="s">
        <v>2218</v>
      </c>
      <c r="K330" s="793" t="s">
        <v>604</v>
      </c>
      <c r="L330" s="790" t="s">
        <v>1882</v>
      </c>
      <c r="M330" s="794" t="s">
        <v>1438</v>
      </c>
      <c r="N330" s="795" t="s">
        <v>1882</v>
      </c>
      <c r="O330" s="795" t="s">
        <v>1882</v>
      </c>
      <c r="P330" s="796" t="s">
        <v>1438</v>
      </c>
      <c r="Q330" s="796" t="s">
        <v>1438</v>
      </c>
      <c r="R330" s="796" t="s">
        <v>2079</v>
      </c>
      <c r="S330" s="796">
        <v>0</v>
      </c>
      <c r="T330" s="796">
        <v>3</v>
      </c>
      <c r="U330" s="796">
        <v>3</v>
      </c>
      <c r="V330" s="796" t="s">
        <v>644</v>
      </c>
      <c r="W330" s="796" t="s">
        <v>644</v>
      </c>
      <c r="X330" s="796" t="s">
        <v>1438</v>
      </c>
      <c r="Y330" s="741">
        <v>0</v>
      </c>
      <c r="Z330" s="741">
        <v>3</v>
      </c>
      <c r="AA330" s="741">
        <v>3</v>
      </c>
      <c r="AB330" s="741" t="s">
        <v>644</v>
      </c>
      <c r="AC330" s="741" t="s">
        <v>644</v>
      </c>
      <c r="AD330" s="741" t="s">
        <v>2124</v>
      </c>
      <c r="AE330" s="741" t="s">
        <v>59</v>
      </c>
      <c r="AF330" s="741" t="s">
        <v>59</v>
      </c>
      <c r="AG330" s="798" t="s">
        <v>712</v>
      </c>
      <c r="AH330" s="798" t="s">
        <v>695</v>
      </c>
      <c r="AI330" s="798"/>
    </row>
    <row r="331" spans="1:35" ht="18.75" customHeight="1">
      <c r="A331" s="791">
        <v>326</v>
      </c>
      <c r="B331" s="790" t="s">
        <v>39</v>
      </c>
      <c r="C331" s="791" t="s">
        <v>651</v>
      </c>
      <c r="D331" s="791" t="s">
        <v>713</v>
      </c>
      <c r="E331" s="791">
        <v>1</v>
      </c>
      <c r="F331" s="791" t="s">
        <v>697</v>
      </c>
      <c r="G331" s="791" t="s">
        <v>691</v>
      </c>
      <c r="H331" s="791" t="s">
        <v>30</v>
      </c>
      <c r="I331" s="792" t="s">
        <v>2219</v>
      </c>
      <c r="J331" s="792" t="s">
        <v>2220</v>
      </c>
      <c r="K331" s="793" t="s">
        <v>604</v>
      </c>
      <c r="L331" s="790" t="s">
        <v>1882</v>
      </c>
      <c r="M331" s="794" t="s">
        <v>1438</v>
      </c>
      <c r="N331" s="795" t="s">
        <v>1882</v>
      </c>
      <c r="O331" s="795" t="s">
        <v>1882</v>
      </c>
      <c r="P331" s="796" t="s">
        <v>1438</v>
      </c>
      <c r="Q331" s="796" t="s">
        <v>1438</v>
      </c>
      <c r="R331" s="796" t="s">
        <v>2079</v>
      </c>
      <c r="S331" s="796">
        <v>0</v>
      </c>
      <c r="T331" s="796">
        <v>1</v>
      </c>
      <c r="U331" s="796">
        <v>1</v>
      </c>
      <c r="V331" s="796" t="s">
        <v>644</v>
      </c>
      <c r="W331" s="796" t="s">
        <v>644</v>
      </c>
      <c r="X331" s="796" t="s">
        <v>1438</v>
      </c>
      <c r="Y331" s="741">
        <v>0</v>
      </c>
      <c r="Z331" s="741">
        <v>1</v>
      </c>
      <c r="AA331" s="741">
        <v>1</v>
      </c>
      <c r="AB331" s="741" t="s">
        <v>644</v>
      </c>
      <c r="AC331" s="741" t="s">
        <v>644</v>
      </c>
      <c r="AD331" s="741" t="s">
        <v>2124</v>
      </c>
      <c r="AE331" s="741" t="s">
        <v>59</v>
      </c>
      <c r="AF331" s="741" t="s">
        <v>59</v>
      </c>
      <c r="AG331" s="798" t="s">
        <v>712</v>
      </c>
      <c r="AH331" s="798" t="s">
        <v>695</v>
      </c>
      <c r="AI331" s="798"/>
    </row>
    <row r="332" spans="1:35" ht="18.75" customHeight="1">
      <c r="A332" s="791">
        <v>327</v>
      </c>
      <c r="B332" s="790" t="s">
        <v>39</v>
      </c>
      <c r="C332" s="791" t="s">
        <v>651</v>
      </c>
      <c r="D332" s="791" t="s">
        <v>716</v>
      </c>
      <c r="E332" s="791">
        <v>1</v>
      </c>
      <c r="F332" s="791" t="s">
        <v>701</v>
      </c>
      <c r="G332" s="791" t="s">
        <v>691</v>
      </c>
      <c r="H332" s="791" t="s">
        <v>30</v>
      </c>
      <c r="I332" s="792" t="s">
        <v>2221</v>
      </c>
      <c r="J332" s="792" t="s">
        <v>2222</v>
      </c>
      <c r="K332" s="793" t="s">
        <v>604</v>
      </c>
      <c r="L332" s="790" t="s">
        <v>1882</v>
      </c>
      <c r="M332" s="794" t="s">
        <v>1438</v>
      </c>
      <c r="N332" s="795" t="s">
        <v>1882</v>
      </c>
      <c r="O332" s="795" t="s">
        <v>1882</v>
      </c>
      <c r="P332" s="796" t="s">
        <v>1438</v>
      </c>
      <c r="Q332" s="796" t="s">
        <v>1438</v>
      </c>
      <c r="R332" s="796" t="s">
        <v>2079</v>
      </c>
      <c r="S332" s="796">
        <v>0</v>
      </c>
      <c r="T332" s="796">
        <v>1</v>
      </c>
      <c r="U332" s="796">
        <v>1</v>
      </c>
      <c r="V332" s="796" t="s">
        <v>644</v>
      </c>
      <c r="W332" s="796" t="s">
        <v>644</v>
      </c>
      <c r="X332" s="796" t="s">
        <v>1438</v>
      </c>
      <c r="Y332" s="741">
        <v>0</v>
      </c>
      <c r="Z332" s="741">
        <v>1</v>
      </c>
      <c r="AA332" s="741">
        <v>1</v>
      </c>
      <c r="AB332" s="741" t="s">
        <v>644</v>
      </c>
      <c r="AC332" s="741" t="s">
        <v>644</v>
      </c>
      <c r="AD332" s="741" t="s">
        <v>2124</v>
      </c>
      <c r="AE332" s="741" t="s">
        <v>59</v>
      </c>
      <c r="AF332" s="741" t="s">
        <v>59</v>
      </c>
      <c r="AG332" s="798" t="s">
        <v>712</v>
      </c>
      <c r="AH332" s="798" t="s">
        <v>695</v>
      </c>
      <c r="AI332" s="798"/>
    </row>
    <row r="333" spans="1:35" ht="18.75" customHeight="1">
      <c r="A333" s="791">
        <v>328</v>
      </c>
      <c r="B333" s="790" t="s">
        <v>39</v>
      </c>
      <c r="C333" s="791" t="s">
        <v>651</v>
      </c>
      <c r="D333" s="791" t="s">
        <v>719</v>
      </c>
      <c r="E333" s="791">
        <v>1</v>
      </c>
      <c r="F333" s="791" t="s">
        <v>705</v>
      </c>
      <c r="G333" s="791" t="s">
        <v>691</v>
      </c>
      <c r="H333" s="791" t="s">
        <v>30</v>
      </c>
      <c r="I333" s="792" t="s">
        <v>2223</v>
      </c>
      <c r="J333" s="792" t="s">
        <v>2224</v>
      </c>
      <c r="K333" s="793" t="s">
        <v>604</v>
      </c>
      <c r="L333" s="790" t="s">
        <v>1882</v>
      </c>
      <c r="M333" s="794" t="s">
        <v>1438</v>
      </c>
      <c r="N333" s="795" t="s">
        <v>1882</v>
      </c>
      <c r="O333" s="795" t="s">
        <v>1882</v>
      </c>
      <c r="P333" s="796" t="s">
        <v>1438</v>
      </c>
      <c r="Q333" s="796" t="s">
        <v>1438</v>
      </c>
      <c r="R333" s="796" t="s">
        <v>2079</v>
      </c>
      <c r="S333" s="796">
        <v>0</v>
      </c>
      <c r="T333" s="796">
        <v>0</v>
      </c>
      <c r="U333" s="796">
        <v>1</v>
      </c>
      <c r="V333" s="796" t="s">
        <v>644</v>
      </c>
      <c r="W333" s="796" t="s">
        <v>644</v>
      </c>
      <c r="X333" s="796" t="s">
        <v>1438</v>
      </c>
      <c r="Y333" s="741">
        <v>0</v>
      </c>
      <c r="Z333" s="741">
        <v>0</v>
      </c>
      <c r="AA333" s="741">
        <v>1</v>
      </c>
      <c r="AB333" s="741" t="s">
        <v>644</v>
      </c>
      <c r="AC333" s="741" t="s">
        <v>644</v>
      </c>
      <c r="AD333" s="741" t="s">
        <v>2124</v>
      </c>
      <c r="AE333" s="741" t="s">
        <v>59</v>
      </c>
      <c r="AF333" s="741" t="s">
        <v>59</v>
      </c>
      <c r="AG333" s="798" t="s">
        <v>712</v>
      </c>
      <c r="AH333" s="798" t="s">
        <v>695</v>
      </c>
      <c r="AI333" s="798"/>
    </row>
    <row r="334" spans="1:35" ht="18.75" customHeight="1">
      <c r="A334" s="791">
        <v>329</v>
      </c>
      <c r="B334" s="790" t="s">
        <v>39</v>
      </c>
      <c r="C334" s="791" t="s">
        <v>722</v>
      </c>
      <c r="D334" s="791" t="s">
        <v>723</v>
      </c>
      <c r="E334" s="791">
        <v>1</v>
      </c>
      <c r="F334" s="791" t="s">
        <v>724</v>
      </c>
      <c r="G334" s="791" t="s">
        <v>725</v>
      </c>
      <c r="H334" s="791" t="s">
        <v>30</v>
      </c>
      <c r="I334" s="792" t="s">
        <v>2103</v>
      </c>
      <c r="J334" s="792" t="s">
        <v>2104</v>
      </c>
      <c r="K334" s="793" t="s">
        <v>604</v>
      </c>
      <c r="L334" s="790" t="s">
        <v>1882</v>
      </c>
      <c r="M334" s="794" t="s">
        <v>1438</v>
      </c>
      <c r="N334" s="795" t="s">
        <v>1882</v>
      </c>
      <c r="O334" s="795" t="s">
        <v>1882</v>
      </c>
      <c r="P334" s="796" t="s">
        <v>1438</v>
      </c>
      <c r="Q334" s="796" t="s">
        <v>1438</v>
      </c>
      <c r="R334" s="796" t="s">
        <v>2105</v>
      </c>
      <c r="S334" s="796">
        <v>1</v>
      </c>
      <c r="T334" s="796">
        <v>1</v>
      </c>
      <c r="U334" s="796">
        <v>1</v>
      </c>
      <c r="V334" s="796" t="s">
        <v>728</v>
      </c>
      <c r="W334" s="796" t="s">
        <v>729</v>
      </c>
      <c r="X334" s="796" t="s">
        <v>1438</v>
      </c>
      <c r="Y334" s="741">
        <v>1</v>
      </c>
      <c r="Z334" s="741">
        <v>1</v>
      </c>
      <c r="AA334" s="741">
        <v>1</v>
      </c>
      <c r="AB334" s="741" t="s">
        <v>728</v>
      </c>
      <c r="AC334" s="741" t="s">
        <v>729</v>
      </c>
      <c r="AD334" s="741" t="s">
        <v>2139</v>
      </c>
      <c r="AE334" s="741" t="s">
        <v>59</v>
      </c>
      <c r="AF334" s="741" t="s">
        <v>59</v>
      </c>
      <c r="AG334" s="798" t="s">
        <v>730</v>
      </c>
      <c r="AH334" s="798" t="s">
        <v>2106</v>
      </c>
      <c r="AI334" s="798"/>
    </row>
    <row r="335" spans="1:35" ht="35.1" customHeight="1">
      <c r="A335" s="826"/>
      <c r="B335" s="790" t="s">
        <v>39</v>
      </c>
      <c r="C335" s="827" t="s">
        <v>725</v>
      </c>
      <c r="D335" s="826" t="s">
        <v>30</v>
      </c>
      <c r="E335" s="828" t="s">
        <v>726</v>
      </c>
      <c r="F335" s="827" t="s">
        <v>727</v>
      </c>
      <c r="G335" s="826" t="s">
        <v>604</v>
      </c>
      <c r="H335" s="826"/>
      <c r="I335" s="826"/>
      <c r="J335" s="826"/>
      <c r="K335" s="829"/>
    </row>
    <row r="337" spans="25:29" ht="18.75" customHeight="1">
      <c r="Y337" s="748"/>
      <c r="Z337" s="748"/>
      <c r="AA337" s="748"/>
      <c r="AB337" s="748"/>
      <c r="AC337" s="748"/>
    </row>
  </sheetData>
  <autoFilter ref="A1:AI335" xr:uid="{EE71999C-AA83-42FC-B2BB-6A2056B4F2D5}"/>
  <mergeCells count="31">
    <mergeCell ref="F3:F4"/>
    <mergeCell ref="A3:A4"/>
    <mergeCell ref="B3:B4"/>
    <mergeCell ref="C3:C4"/>
    <mergeCell ref="D3:D4"/>
    <mergeCell ref="E3:E4"/>
    <mergeCell ref="R3:R4"/>
    <mergeCell ref="G3:G4"/>
    <mergeCell ref="H3:H4"/>
    <mergeCell ref="I3:I4"/>
    <mergeCell ref="J3:J4"/>
    <mergeCell ref="K3:K4"/>
    <mergeCell ref="L3:L4"/>
    <mergeCell ref="M3:M4"/>
    <mergeCell ref="N3:N4"/>
    <mergeCell ref="O3:O4"/>
    <mergeCell ref="P3:P4"/>
    <mergeCell ref="Q3:Q4"/>
    <mergeCell ref="AI3:AI4"/>
    <mergeCell ref="AD3:AD4"/>
    <mergeCell ref="S3:U3"/>
    <mergeCell ref="V3:V4"/>
    <mergeCell ref="W3:W4"/>
    <mergeCell ref="Y3:AA4"/>
    <mergeCell ref="AB3:AB4"/>
    <mergeCell ref="AC3:AC4"/>
    <mergeCell ref="X3:X4"/>
    <mergeCell ref="AE3:AE4"/>
    <mergeCell ref="AF3:AF4"/>
    <mergeCell ref="AG3:AG4"/>
    <mergeCell ref="AH3:AH4"/>
  </mergeCells>
  <printOptions horizontalCentered="1"/>
  <pageMargins left="0.7" right="0.7" top="0.75" bottom="0.75" header="0.3" footer="0.3"/>
  <pageSetup scale="32" fitToHeight="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B334"/>
  <sheetViews>
    <sheetView showGridLines="0" zoomScale="60" zoomScaleNormal="60" zoomScaleSheetLayoutView="70" workbookViewId="0">
      <pane xSplit="9" ySplit="2" topLeftCell="J3" activePane="bottomRight" state="frozen"/>
      <selection pane="topRight" sqref="A1:A2"/>
      <selection pane="bottomLeft" sqref="A1:A2"/>
      <selection pane="bottomRight" sqref="A1:A2"/>
    </sheetView>
  </sheetViews>
  <sheetFormatPr defaultColWidth="12" defaultRowHeight="15"/>
  <cols>
    <col min="1" max="1" width="12" style="15"/>
    <col min="2" max="2" width="12" style="13"/>
    <col min="3" max="3" width="13.5703125" style="13" customWidth="1"/>
    <col min="4" max="4" width="12" style="13"/>
    <col min="5" max="5" width="12" style="15"/>
    <col min="6" max="6" width="13.85546875" style="15" customWidth="1"/>
    <col min="7" max="8" width="12" style="13"/>
    <col min="9" max="9" width="13.140625" style="13" customWidth="1"/>
    <col min="10" max="11" width="12" style="13"/>
    <col min="12" max="12" width="12" style="16"/>
    <col min="13" max="13" width="19" style="531" bestFit="1" customWidth="1"/>
    <col min="14" max="14" width="25.5703125" style="531" bestFit="1" customWidth="1"/>
    <col min="15" max="15" width="16.85546875" style="17" bestFit="1" customWidth="1"/>
    <col min="16" max="16" width="17.85546875" style="17" bestFit="1" customWidth="1"/>
    <col min="17" max="17" width="49.42578125" style="17" customWidth="1"/>
    <col min="18" max="19" width="23.42578125" style="17" bestFit="1" customWidth="1"/>
    <col min="20" max="22" width="13.7109375" style="17" bestFit="1" customWidth="1"/>
    <col min="23" max="23" width="18.140625" style="17" customWidth="1"/>
    <col min="24" max="24" width="17.5703125" style="17" customWidth="1"/>
    <col min="25" max="25" width="13.85546875" style="16" customWidth="1"/>
    <col min="26" max="28" width="12" style="16"/>
    <col min="29" max="16384" width="12" style="14"/>
  </cols>
  <sheetData>
    <row r="1" spans="1:28" ht="13.5" customHeight="1">
      <c r="A1" s="834" t="s">
        <v>16</v>
      </c>
      <c r="L1" s="842" t="s">
        <v>17</v>
      </c>
      <c r="M1" s="843"/>
      <c r="N1" s="844"/>
      <c r="O1" s="835" t="s">
        <v>18</v>
      </c>
      <c r="P1" s="836"/>
      <c r="Q1" s="836"/>
      <c r="R1" s="836"/>
      <c r="S1" s="837"/>
      <c r="T1" s="835" t="s">
        <v>19</v>
      </c>
      <c r="U1" s="836"/>
      <c r="V1" s="837"/>
      <c r="W1" s="838" t="s">
        <v>20</v>
      </c>
      <c r="X1" s="840" t="s">
        <v>21</v>
      </c>
    </row>
    <row r="2" spans="1:28" s="18" customFormat="1" ht="41.25" customHeight="1">
      <c r="A2" s="834"/>
      <c r="B2" s="554" t="s">
        <v>22</v>
      </c>
      <c r="C2" s="554" t="s">
        <v>23</v>
      </c>
      <c r="D2" s="554" t="s">
        <v>24</v>
      </c>
      <c r="E2" s="333" t="s">
        <v>25</v>
      </c>
      <c r="F2" s="333" t="s">
        <v>26</v>
      </c>
      <c r="G2" s="333" t="s">
        <v>27</v>
      </c>
      <c r="H2" s="333" t="s">
        <v>28</v>
      </c>
      <c r="I2" s="333" t="s">
        <v>29</v>
      </c>
      <c r="J2" s="333" t="s">
        <v>30</v>
      </c>
      <c r="K2" s="413" t="s">
        <v>31</v>
      </c>
      <c r="L2" s="555" t="s">
        <v>32</v>
      </c>
      <c r="M2" s="524" t="s">
        <v>33</v>
      </c>
      <c r="N2" s="525" t="s">
        <v>34</v>
      </c>
      <c r="O2" s="555">
        <v>2016</v>
      </c>
      <c r="P2" s="370">
        <v>2017</v>
      </c>
      <c r="Q2" s="627">
        <v>2018</v>
      </c>
      <c r="R2" s="627">
        <v>2019</v>
      </c>
      <c r="S2" s="412">
        <v>2020</v>
      </c>
      <c r="T2" s="371">
        <v>2018</v>
      </c>
      <c r="U2" s="372">
        <v>2019</v>
      </c>
      <c r="V2" s="373">
        <v>2020</v>
      </c>
      <c r="W2" s="839"/>
      <c r="X2" s="841"/>
      <c r="Y2" s="333" t="s">
        <v>35</v>
      </c>
      <c r="Z2" s="333" t="s">
        <v>36</v>
      </c>
      <c r="AA2" s="333" t="s">
        <v>37</v>
      </c>
      <c r="AB2" s="334" t="s">
        <v>38</v>
      </c>
    </row>
    <row r="3" spans="1:28" s="18" customFormat="1" ht="120">
      <c r="A3" s="30">
        <v>0</v>
      </c>
      <c r="B3" s="19" t="s">
        <v>39</v>
      </c>
      <c r="C3" s="19" t="s">
        <v>40</v>
      </c>
      <c r="D3" s="19" t="s">
        <v>41</v>
      </c>
      <c r="E3" s="20" t="s">
        <v>42</v>
      </c>
      <c r="F3" s="19" t="s">
        <v>43</v>
      </c>
      <c r="G3" s="19" t="s">
        <v>44</v>
      </c>
      <c r="H3" s="19" t="s">
        <v>30</v>
      </c>
      <c r="I3" s="19" t="s">
        <v>45</v>
      </c>
      <c r="J3" s="19" t="s">
        <v>46</v>
      </c>
      <c r="K3" s="19" t="s">
        <v>47</v>
      </c>
      <c r="L3" s="19">
        <v>2016</v>
      </c>
      <c r="M3" s="335" t="str">
        <f ca="1">VLOOKUP(A3,'2020_ModelLink'!$A$3:$S$332,18,FALSE)</f>
        <v>N/A</v>
      </c>
      <c r="N3" s="335" t="str">
        <f ca="1">VLOOKUP(A3,'2020_ModelLink'!$A$3:$S$332,19,FALSE)</f>
        <v>N/A</v>
      </c>
      <c r="O3" s="721">
        <f ca="1">VLOOKUP($A3,'2016_ModelLink'!$A$3:$S$332,17,FALSE)</f>
        <v>239527.02912665569</v>
      </c>
      <c r="P3" s="721">
        <f ca="1">VLOOKUP($A3,'2017_ModelLink'!$A$3:$S$332,17,FALSE)</f>
        <v>319930.91134699981</v>
      </c>
      <c r="Q3" s="721">
        <f ca="1">VLOOKUP($A3,'2018_ModelLink'!$A$3:$S$332,17,FALSE)</f>
        <v>314738.79214771045</v>
      </c>
      <c r="R3" s="721">
        <f ca="1">VLOOKUP($A3,'2019_ModelLink'!$A$3:$S$332,17,FALSE)</f>
        <v>188828.06770849638</v>
      </c>
      <c r="S3" s="721">
        <f ca="1">VLOOKUP($A3,'2020_ModelLink'!$A$3:$S$332,17,FALSE)</f>
        <v>430859.54135822126</v>
      </c>
      <c r="T3" s="307">
        <f>VLOOKUP(A3,Targets!$A$1:$J$301,5,FALSE)</f>
        <v>76996.295619272336</v>
      </c>
      <c r="U3" s="307">
        <f>VLOOKUP(A3,Targets!$A$1:$J$301,5,FALSE)</f>
        <v>76996.295619272336</v>
      </c>
      <c r="V3" s="307">
        <f>VLOOKUP(A3,Targets!$A$1:$J$301,5,FALSE)</f>
        <v>76996.295619272336</v>
      </c>
      <c r="W3" s="307">
        <f>VLOOKUP(A3,Targets!$A$1:$J$301,5,FALSE)*3</f>
        <v>230988.88685781701</v>
      </c>
      <c r="X3" s="307">
        <f>VLOOKUP(A3,Targets!$A$1:$J$301,6,FALSE)*2</f>
        <v>153992.59123854467</v>
      </c>
      <c r="Y3" s="21" t="s">
        <v>48</v>
      </c>
      <c r="Z3" s="21" t="s">
        <v>49</v>
      </c>
      <c r="AA3" s="541"/>
      <c r="AB3" s="21"/>
    </row>
    <row r="4" spans="1:28" ht="165">
      <c r="A4" s="30">
        <v>1</v>
      </c>
      <c r="B4" s="19" t="s">
        <v>39</v>
      </c>
      <c r="C4" s="19" t="s">
        <v>50</v>
      </c>
      <c r="D4" s="19" t="s">
        <v>41</v>
      </c>
      <c r="E4" s="20" t="s">
        <v>51</v>
      </c>
      <c r="F4" s="19" t="s">
        <v>52</v>
      </c>
      <c r="G4" s="19" t="s">
        <v>53</v>
      </c>
      <c r="H4" s="19" t="s">
        <v>30</v>
      </c>
      <c r="I4" s="19" t="s">
        <v>54</v>
      </c>
      <c r="J4" s="22" t="s">
        <v>52</v>
      </c>
      <c r="K4" s="19" t="s">
        <v>47</v>
      </c>
      <c r="L4" s="19">
        <v>2016</v>
      </c>
      <c r="M4" s="335" t="str">
        <f ca="1">VLOOKUP(A4,'2020_ModelLink'!$A$3:$S$332,18,FALSE)</f>
        <v>N/A</v>
      </c>
      <c r="N4" s="335" t="str">
        <f ca="1">VLOOKUP(A4,'2020_ModelLink'!$A$3:$S$332,19,FALSE)</f>
        <v>N/A</v>
      </c>
      <c r="O4" s="721">
        <f ca="1">VLOOKUP($A4,'2016_ModelLink'!$A$3:$S$332,17,FALSE)</f>
        <v>98609.066312581621</v>
      </c>
      <c r="P4" s="721">
        <f ca="1">VLOOKUP($A4,'2017_ModelLink'!$A$3:$S$332,17,FALSE)</f>
        <v>87297.336761534578</v>
      </c>
      <c r="Q4" s="721">
        <f ca="1">VLOOKUP($A4,'2018_ModelLink'!$A$3:$S$332,17,FALSE)</f>
        <v>132022.27971599301</v>
      </c>
      <c r="R4" s="721">
        <f ca="1">VLOOKUP($A4,'2019_ModelLink'!$A$3:$S$332,17,FALSE)</f>
        <v>55212.734798799051</v>
      </c>
      <c r="S4" s="721">
        <f ca="1">VLOOKUP($A4,'2020_ModelLink'!$A$3:$S$332,17,FALSE)</f>
        <v>96882.204262534593</v>
      </c>
      <c r="T4" s="307">
        <f>VLOOKUP(A4,Targets!$A$1:$J$301,5,FALSE)</f>
        <v>49464.29529427176</v>
      </c>
      <c r="U4" s="307">
        <f>VLOOKUP(A4,Targets!$A$1:$J$301,5,FALSE)</f>
        <v>49464.29529427176</v>
      </c>
      <c r="V4" s="307">
        <f>VLOOKUP(A4,Targets!$A$1:$J$301,5,FALSE)</f>
        <v>49464.29529427176</v>
      </c>
      <c r="W4" s="307">
        <f>VLOOKUP(A4,Targets!$A$1:$J$301,5,FALSE)*3</f>
        <v>148392.88588281529</v>
      </c>
      <c r="X4" s="307">
        <f>VLOOKUP(A4,Targets!$A$1:$J$301,6,FALSE)*2</f>
        <v>98928.59058854352</v>
      </c>
      <c r="Y4" s="21"/>
      <c r="Z4" s="21"/>
      <c r="AA4" s="541"/>
      <c r="AB4" s="21"/>
    </row>
    <row r="5" spans="1:28" ht="165">
      <c r="A5" s="31">
        <v>2</v>
      </c>
      <c r="B5" s="22" t="s">
        <v>39</v>
      </c>
      <c r="C5" s="22" t="s">
        <v>50</v>
      </c>
      <c r="D5" s="22" t="s">
        <v>41</v>
      </c>
      <c r="E5" s="23" t="s">
        <v>51</v>
      </c>
      <c r="F5" s="22" t="s">
        <v>55</v>
      </c>
      <c r="G5" s="22" t="s">
        <v>53</v>
      </c>
      <c r="H5" s="22" t="s">
        <v>30</v>
      </c>
      <c r="I5" s="22" t="s">
        <v>54</v>
      </c>
      <c r="J5" s="22" t="s">
        <v>55</v>
      </c>
      <c r="K5" s="22" t="s">
        <v>47</v>
      </c>
      <c r="L5" s="22">
        <v>2016</v>
      </c>
      <c r="M5" s="335" t="str">
        <f ca="1">VLOOKUP(A5,'2020_ModelLink'!$A$3:$S$332,18,FALSE)</f>
        <v>N/A</v>
      </c>
      <c r="N5" s="335" t="str">
        <f ca="1">VLOOKUP(A5,'2020_ModelLink'!$A$3:$S$332,19,FALSE)</f>
        <v>N/A</v>
      </c>
      <c r="O5" s="721">
        <f ca="1">VLOOKUP($A5,'2016_ModelLink'!$A$3:$S$332,17,FALSE)</f>
        <v>89176.917538019159</v>
      </c>
      <c r="P5" s="721">
        <f ca="1">VLOOKUP($A5,'2017_ModelLink'!$A$3:$S$332,17,FALSE)</f>
        <v>80492.313475682531</v>
      </c>
      <c r="Q5" s="721">
        <f ca="1">VLOOKUP($A5,'2018_ModelLink'!$A$3:$S$332,17,FALSE)</f>
        <v>129587.916603294</v>
      </c>
      <c r="R5" s="721">
        <f ca="1">VLOOKUP($A5,'2019_ModelLink'!$A$3:$S$332,17,FALSE)</f>
        <v>53057.774834896096</v>
      </c>
      <c r="S5" s="721">
        <f ca="1">VLOOKUP($A5,'2020_ModelLink'!$A$3:$S$332,17,FALSE)</f>
        <v>95334.242858835059</v>
      </c>
      <c r="T5" s="307">
        <f>VLOOKUP(A5,Targets!$A$1:$J$301,5,FALSE)</f>
        <v>43794.82749985523</v>
      </c>
      <c r="U5" s="307">
        <f>VLOOKUP(A5,Targets!$A$1:$J$301,5,FALSE)</f>
        <v>43794.82749985523</v>
      </c>
      <c r="V5" s="307">
        <f>VLOOKUP(A5,Targets!$A$1:$J$301,5,FALSE)</f>
        <v>43794.82749985523</v>
      </c>
      <c r="W5" s="307">
        <f>VLOOKUP(A5,Targets!$A$1:$J$301,5,FALSE)*3</f>
        <v>131384.4824995657</v>
      </c>
      <c r="X5" s="307">
        <f>VLOOKUP(A5,Targets!$A$1:$J$301,6,FALSE)*2</f>
        <v>87589.654999710459</v>
      </c>
      <c r="Y5" s="429"/>
      <c r="Z5" s="429"/>
      <c r="AA5" s="542"/>
      <c r="AB5" s="21"/>
    </row>
    <row r="6" spans="1:28" ht="165">
      <c r="A6" s="31">
        <v>3</v>
      </c>
      <c r="B6" s="22" t="s">
        <v>39</v>
      </c>
      <c r="C6" s="22" t="s">
        <v>50</v>
      </c>
      <c r="D6" s="22" t="s">
        <v>41</v>
      </c>
      <c r="E6" s="23" t="s">
        <v>51</v>
      </c>
      <c r="F6" s="22" t="s">
        <v>56</v>
      </c>
      <c r="G6" s="22" t="s">
        <v>53</v>
      </c>
      <c r="H6" s="22" t="s">
        <v>30</v>
      </c>
      <c r="I6" s="22" t="s">
        <v>54</v>
      </c>
      <c r="J6" s="22" t="s">
        <v>56</v>
      </c>
      <c r="K6" s="22" t="s">
        <v>47</v>
      </c>
      <c r="L6" s="22">
        <v>2016</v>
      </c>
      <c r="M6" s="335" t="str">
        <f ca="1">VLOOKUP(A6,'2020_ModelLink'!$A$3:$S$332,18,FALSE)</f>
        <v>N/A</v>
      </c>
      <c r="N6" s="335" t="str">
        <f ca="1">VLOOKUP(A6,'2020_ModelLink'!$A$3:$S$332,19,FALSE)</f>
        <v>N/A</v>
      </c>
      <c r="O6" s="721">
        <f ca="1">VLOOKUP($A6,'2016_ModelLink'!$A$3:$S$332,17,FALSE)</f>
        <v>372063992.70350373</v>
      </c>
      <c r="P6" s="721">
        <f ca="1">VLOOKUP($A6,'2017_ModelLink'!$A$3:$S$332,17,FALSE)</f>
        <v>481703716.36790425</v>
      </c>
      <c r="Q6" s="721">
        <f ca="1">VLOOKUP($A6,'2018_ModelLink'!$A$3:$S$332,17,FALSE)</f>
        <v>460021010.46108401</v>
      </c>
      <c r="R6" s="721">
        <f ca="1">VLOOKUP($A6,'2019_ModelLink'!$A$3:$S$332,17,FALSE)</f>
        <v>251434561.78932336</v>
      </c>
      <c r="S6" s="721">
        <f ca="1">VLOOKUP($A6,'2020_ModelLink'!$A$3:$S$332,17,FALSE)</f>
        <v>582129640.340325</v>
      </c>
      <c r="T6" s="307">
        <f>VLOOKUP(A6,Targets!$A$1:$J$301,5,FALSE)</f>
        <v>229181761.51960665</v>
      </c>
      <c r="U6" s="307">
        <f>VLOOKUP(A6,Targets!$A$1:$J$301,5,FALSE)</f>
        <v>229181761.51960665</v>
      </c>
      <c r="V6" s="307">
        <f>VLOOKUP(A6,Targets!$A$1:$J$301,5,FALSE)</f>
        <v>229181761.51960665</v>
      </c>
      <c r="W6" s="307">
        <f>VLOOKUP(A6,Targets!$A$1:$J$301,5,FALSE)*3</f>
        <v>687545284.55882001</v>
      </c>
      <c r="X6" s="307">
        <f>VLOOKUP(A6,Targets!$A$1:$J$301,6,FALSE)*2</f>
        <v>458363523.0392133</v>
      </c>
      <c r="Y6" s="429"/>
      <c r="Z6" s="429"/>
      <c r="AA6" s="542"/>
      <c r="AB6" s="21"/>
    </row>
    <row r="7" spans="1:28" ht="165">
      <c r="A7" s="31">
        <v>4</v>
      </c>
      <c r="B7" s="22" t="s">
        <v>39</v>
      </c>
      <c r="C7" s="22" t="s">
        <v>50</v>
      </c>
      <c r="D7" s="22" t="s">
        <v>41</v>
      </c>
      <c r="E7" s="23" t="s">
        <v>51</v>
      </c>
      <c r="F7" s="22" t="s">
        <v>57</v>
      </c>
      <c r="G7" s="22" t="s">
        <v>53</v>
      </c>
      <c r="H7" s="22" t="s">
        <v>30</v>
      </c>
      <c r="I7" s="22" t="s">
        <v>54</v>
      </c>
      <c r="J7" s="22" t="s">
        <v>57</v>
      </c>
      <c r="K7" s="22" t="s">
        <v>47</v>
      </c>
      <c r="L7" s="22">
        <v>2016</v>
      </c>
      <c r="M7" s="335" t="str">
        <f ca="1">VLOOKUP(A7,'2020_ModelLink'!$A$3:$S$332,18,FALSE)</f>
        <v>N/A</v>
      </c>
      <c r="N7" s="335" t="str">
        <f ca="1">VLOOKUP(A7,'2020_ModelLink'!$A$3:$S$332,19,FALSE)</f>
        <v>N/A</v>
      </c>
      <c r="O7" s="721">
        <f ca="1">VLOOKUP($A7,'2016_ModelLink'!$A$3:$S$332,17,FALSE)</f>
        <v>316429661.90514046</v>
      </c>
      <c r="P7" s="721">
        <f ca="1">VLOOKUP($A7,'2017_ModelLink'!$A$3:$S$332,17,FALSE)</f>
        <v>440258087.60130304</v>
      </c>
      <c r="Q7" s="721">
        <f ca="1">VLOOKUP($A7,'2018_ModelLink'!$A$3:$S$332,17,FALSE)</f>
        <v>436447653.89927298</v>
      </c>
      <c r="R7" s="721">
        <f ca="1">VLOOKUP($A7,'2019_ModelLink'!$A$3:$S$332,17,FALSE)</f>
        <v>242605043.53007609</v>
      </c>
      <c r="S7" s="721">
        <f ca="1">VLOOKUP($A7,'2020_ModelLink'!$A$3:$S$332,17,FALSE)</f>
        <v>572760268.00721192</v>
      </c>
      <c r="T7" s="307">
        <f>VLOOKUP(A7,Targets!$A$1:$J$301,5,FALSE)</f>
        <v>201672144.38514781</v>
      </c>
      <c r="U7" s="307">
        <f>VLOOKUP(A7,Targets!$A$1:$J$301,5,FALSE)</f>
        <v>201672144.38514781</v>
      </c>
      <c r="V7" s="307">
        <f>VLOOKUP(A7,Targets!$A$1:$J$301,5,FALSE)</f>
        <v>201672144.38514781</v>
      </c>
      <c r="W7" s="307">
        <f>VLOOKUP(A7,Targets!$A$1:$J$301,5,FALSE)*3</f>
        <v>605016433.15544343</v>
      </c>
      <c r="X7" s="307">
        <f>VLOOKUP(A7,Targets!$A$1:$J$301,6,FALSE)*2</f>
        <v>403344288.77029562</v>
      </c>
      <c r="Y7" s="429"/>
      <c r="Z7" s="429"/>
      <c r="AA7" s="542"/>
      <c r="AB7" s="21"/>
    </row>
    <row r="8" spans="1:28" ht="165">
      <c r="A8" s="31">
        <v>5</v>
      </c>
      <c r="B8" s="22" t="s">
        <v>39</v>
      </c>
      <c r="C8" s="22" t="s">
        <v>50</v>
      </c>
      <c r="D8" s="22" t="s">
        <v>41</v>
      </c>
      <c r="E8" s="23" t="s">
        <v>51</v>
      </c>
      <c r="F8" s="22" t="s">
        <v>58</v>
      </c>
      <c r="G8" s="22" t="s">
        <v>53</v>
      </c>
      <c r="H8" s="22" t="s">
        <v>30</v>
      </c>
      <c r="I8" s="22" t="s">
        <v>54</v>
      </c>
      <c r="J8" s="22" t="s">
        <v>58</v>
      </c>
      <c r="K8" s="22" t="s">
        <v>47</v>
      </c>
      <c r="L8" s="22">
        <v>2016</v>
      </c>
      <c r="M8" s="335" t="str">
        <f ca="1">VLOOKUP(A8,'2020_ModelLink'!$A$3:$S$332,18,FALSE)</f>
        <v>N/A</v>
      </c>
      <c r="N8" s="335" t="str">
        <f ca="1">VLOOKUP(A8,'2020_ModelLink'!$A$3:$S$332,19,FALSE)</f>
        <v>N/A</v>
      </c>
      <c r="O8" s="721">
        <f ca="1">VLOOKUP($A8,'2016_ModelLink'!$A$3:$S$332,17,FALSE)</f>
        <v>3668704.3719318081</v>
      </c>
      <c r="P8" s="721">
        <f ca="1">VLOOKUP($A8,'2017_ModelLink'!$A$3:$S$332,17,FALSE)</f>
        <v>2102400.4276243942</v>
      </c>
      <c r="Q8" s="721">
        <f ca="1">VLOOKUP($A8,'2018_ModelLink'!$A$3:$S$332,17,FALSE)</f>
        <v>1471491.05953998</v>
      </c>
      <c r="R8" s="721">
        <f ca="1">VLOOKUP($A8,'2019_ModelLink'!$A$3:$S$332,17,FALSE)</f>
        <v>3446225.9504607292</v>
      </c>
      <c r="S8" s="721">
        <f ca="1">VLOOKUP($A8,'2020_ModelLink'!$A$3:$S$332,17,FALSE)</f>
        <v>5012591.3578928038</v>
      </c>
      <c r="T8" s="307">
        <f>VLOOKUP(A8,Targets!$A$1:$J$301,5,FALSE)</f>
        <v>3668761.1908914447</v>
      </c>
      <c r="U8" s="307">
        <f>VLOOKUP(A8,Targets!$A$1:$J$301,5,FALSE)</f>
        <v>3668761.1908914447</v>
      </c>
      <c r="V8" s="307">
        <f>VLOOKUP(A8,Targets!$A$1:$J$301,5,FALSE)</f>
        <v>3668761.1908914447</v>
      </c>
      <c r="W8" s="307">
        <f>VLOOKUP(A8,Targets!$A$1:$J$301,5,FALSE)*3</f>
        <v>11006283.572674334</v>
      </c>
      <c r="X8" s="307">
        <f>VLOOKUP(A8,Targets!$A$1:$J$301,6,FALSE)*2</f>
        <v>7337522.3817828894</v>
      </c>
      <c r="Y8" s="429" t="s">
        <v>59</v>
      </c>
      <c r="Z8" s="429" t="s">
        <v>49</v>
      </c>
      <c r="AA8" s="542"/>
      <c r="AB8" s="21"/>
    </row>
    <row r="9" spans="1:28" ht="165">
      <c r="A9" s="31">
        <v>6</v>
      </c>
      <c r="B9" s="22" t="s">
        <v>39</v>
      </c>
      <c r="C9" s="22" t="s">
        <v>50</v>
      </c>
      <c r="D9" s="22" t="s">
        <v>41</v>
      </c>
      <c r="E9" s="23" t="s">
        <v>51</v>
      </c>
      <c r="F9" s="22" t="s">
        <v>60</v>
      </c>
      <c r="G9" s="22" t="s">
        <v>53</v>
      </c>
      <c r="H9" s="22" t="s">
        <v>30</v>
      </c>
      <c r="I9" s="22" t="s">
        <v>54</v>
      </c>
      <c r="J9" s="22" t="s">
        <v>60</v>
      </c>
      <c r="K9" s="22" t="s">
        <v>47</v>
      </c>
      <c r="L9" s="22">
        <v>2016</v>
      </c>
      <c r="M9" s="335" t="str">
        <f ca="1">VLOOKUP(A9,'2020_ModelLink'!$A$3:$S$332,18,FALSE)</f>
        <v>N/A</v>
      </c>
      <c r="N9" s="335" t="str">
        <f ca="1">VLOOKUP(A9,'2020_ModelLink'!$A$3:$S$332,19,FALSE)</f>
        <v>N/A</v>
      </c>
      <c r="O9" s="721">
        <f ca="1">VLOOKUP($A9,'2016_ModelLink'!$A$3:$S$332,17,FALSE)</f>
        <v>2983256.2565512066</v>
      </c>
      <c r="P9" s="721">
        <f ca="1">VLOOKUP($A9,'2017_ModelLink'!$A$3:$S$332,17,FALSE)</f>
        <v>1635555.3609204872</v>
      </c>
      <c r="Q9" s="721">
        <f ca="1">VLOOKUP($A9,'2018_ModelLink'!$A$3:$S$332,17,FALSE)</f>
        <v>1164207.7058348099</v>
      </c>
      <c r="R9" s="721">
        <f ca="1">VLOOKUP($A9,'2019_ModelLink'!$A$3:$S$332,17,FALSE)</f>
        <v>3265339.9873080361</v>
      </c>
      <c r="S9" s="721">
        <f ca="1">VLOOKUP($A9,'2020_ModelLink'!$A$3:$S$332,17,FALSE)</f>
        <v>4890194.6937966952</v>
      </c>
      <c r="T9" s="307">
        <f>VLOOKUP(A9,Targets!$A$1:$J$301,5,FALSE)</f>
        <v>3365102.6877251784</v>
      </c>
      <c r="U9" s="307">
        <f>VLOOKUP(A9,Targets!$A$1:$J$301,5,FALSE)</f>
        <v>3365102.6877251784</v>
      </c>
      <c r="V9" s="307">
        <f>VLOOKUP(A9,Targets!$A$1:$J$301,5,FALSE)</f>
        <v>3365102.6877251784</v>
      </c>
      <c r="W9" s="307">
        <f>VLOOKUP(A9,Targets!$A$1:$J$301,5,FALSE)*3</f>
        <v>10095308.063175535</v>
      </c>
      <c r="X9" s="307">
        <f>VLOOKUP(A9,Targets!$A$1:$J$301,6,FALSE)*2</f>
        <v>6730205.3754503569</v>
      </c>
      <c r="Y9" s="429" t="s">
        <v>59</v>
      </c>
      <c r="Z9" s="429" t="s">
        <v>49</v>
      </c>
      <c r="AA9" s="542"/>
      <c r="AB9" s="21"/>
    </row>
    <row r="10" spans="1:28" ht="165">
      <c r="A10" s="31">
        <v>7</v>
      </c>
      <c r="B10" s="22" t="s">
        <v>39</v>
      </c>
      <c r="C10" s="22" t="s">
        <v>50</v>
      </c>
      <c r="D10" s="22" t="s">
        <v>41</v>
      </c>
      <c r="E10" s="23" t="s">
        <v>51</v>
      </c>
      <c r="F10" s="22" t="s">
        <v>61</v>
      </c>
      <c r="G10" s="22" t="s">
        <v>53</v>
      </c>
      <c r="H10" s="22" t="s">
        <v>30</v>
      </c>
      <c r="I10" s="22" t="s">
        <v>54</v>
      </c>
      <c r="J10" s="22" t="s">
        <v>61</v>
      </c>
      <c r="K10" s="22" t="s">
        <v>47</v>
      </c>
      <c r="L10" s="22">
        <v>2016</v>
      </c>
      <c r="M10" s="335" t="str">
        <f ca="1">VLOOKUP(A10,'2020_ModelLink'!$A$3:$S$332,18,FALSE)</f>
        <v>N/A</v>
      </c>
      <c r="N10" s="335" t="str">
        <f ca="1">VLOOKUP(A10,'2020_ModelLink'!$A$3:$S$332,19,FALSE)</f>
        <v>N/A</v>
      </c>
      <c r="O10" s="721">
        <f ca="1">VLOOKUP($A10,'2016_ModelLink'!$A$3:$S$332,17,FALSE)</f>
        <v>862575.51838928915</v>
      </c>
      <c r="P10" s="721">
        <f ca="1">VLOOKUP($A10,'2017_ModelLink'!$A$3:$S$332,17,FALSE)</f>
        <v>918866.07778339786</v>
      </c>
      <c r="Q10" s="721">
        <f ca="1">VLOOKUP($A10,'2018_ModelLink'!$A$3:$S$332,17,FALSE)</f>
        <v>1093888.81717404</v>
      </c>
      <c r="R10" s="721">
        <f ca="1">VLOOKUP($A10,'2019_ModelLink'!$A$3:$S$332,17,FALSE)</f>
        <v>609080.21073442069</v>
      </c>
      <c r="S10" s="721">
        <f ca="1">VLOOKUP($A10,'2020_ModelLink'!$A$3:$S$332,17,FALSE)</f>
        <v>1285037.666994367</v>
      </c>
      <c r="T10" s="307">
        <f>VLOOKUP(A10,Targets!$A$1:$J$301,5,FALSE)</f>
        <v>328863.72984065284</v>
      </c>
      <c r="U10" s="307">
        <f>VLOOKUP(A10,Targets!$A$1:$J$301,5,FALSE)</f>
        <v>328863.72984065284</v>
      </c>
      <c r="V10" s="307">
        <f>VLOOKUP(A10,Targets!$A$1:$J$301,5,FALSE)</f>
        <v>328863.72984065284</v>
      </c>
      <c r="W10" s="307">
        <f>VLOOKUP(A10,Targets!$A$1:$J$301,5,FALSE)*3</f>
        <v>986591.18952195859</v>
      </c>
      <c r="X10" s="307">
        <f>VLOOKUP(A10,Targets!$A$1:$J$301,6,FALSE)*2</f>
        <v>657727.45968130569</v>
      </c>
      <c r="Y10" s="429"/>
      <c r="Z10" s="429"/>
      <c r="AA10" s="542"/>
      <c r="AB10" s="21"/>
    </row>
    <row r="11" spans="1:28" ht="165">
      <c r="A11" s="31">
        <v>8</v>
      </c>
      <c r="B11" s="22" t="s">
        <v>39</v>
      </c>
      <c r="C11" s="22" t="s">
        <v>50</v>
      </c>
      <c r="D11" s="22" t="s">
        <v>41</v>
      </c>
      <c r="E11" s="23" t="s">
        <v>51</v>
      </c>
      <c r="F11" s="22" t="s">
        <v>62</v>
      </c>
      <c r="G11" s="22" t="s">
        <v>53</v>
      </c>
      <c r="H11" s="22" t="s">
        <v>30</v>
      </c>
      <c r="I11" s="22" t="s">
        <v>54</v>
      </c>
      <c r="J11" s="22" t="s">
        <v>62</v>
      </c>
      <c r="K11" s="22" t="s">
        <v>47</v>
      </c>
      <c r="L11" s="22">
        <v>2016</v>
      </c>
      <c r="M11" s="335" t="str">
        <f ca="1">VLOOKUP(A11,'2020_ModelLink'!$A$3:$S$332,18,FALSE)</f>
        <v>N/A</v>
      </c>
      <c r="N11" s="335" t="str">
        <f ca="1">VLOOKUP(A11,'2020_ModelLink'!$A$3:$S$332,19,FALSE)</f>
        <v>N/A</v>
      </c>
      <c r="O11" s="721">
        <f ca="1">VLOOKUP($A11,'2016_ModelLink'!$A$3:$S$332,17,FALSE)</f>
        <v>736773.64597397426</v>
      </c>
      <c r="P11" s="721">
        <f ca="1">VLOOKUP($A11,'2017_ModelLink'!$A$3:$S$332,17,FALSE)</f>
        <v>848279.64243081352</v>
      </c>
      <c r="Q11" s="721">
        <f ca="1">VLOOKUP($A11,'2018_ModelLink'!$A$3:$S$332,17,FALSE)</f>
        <v>1054949.8861460399</v>
      </c>
      <c r="R11" s="721">
        <f ca="1">VLOOKUP($A11,'2019_ModelLink'!$A$3:$S$332,17,FALSE)</f>
        <v>593121.48082744842</v>
      </c>
      <c r="S11" s="721">
        <f ca="1">VLOOKUP($A11,'2020_ModelLink'!$A$3:$S$332,17,FALSE)</f>
        <v>1269912.0767742959</v>
      </c>
      <c r="T11" s="307">
        <f>VLOOKUP(A11,Targets!$A$1:$J$301,5,FALSE)</f>
        <v>238002.38990319974</v>
      </c>
      <c r="U11" s="307">
        <f>VLOOKUP(A11,Targets!$A$1:$J$301,5,FALSE)</f>
        <v>238002.38990319974</v>
      </c>
      <c r="V11" s="307">
        <f>VLOOKUP(A11,Targets!$A$1:$J$301,5,FALSE)</f>
        <v>238002.38990319974</v>
      </c>
      <c r="W11" s="307">
        <f>VLOOKUP(A11,Targets!$A$1:$J$301,5,FALSE)*3</f>
        <v>714007.16970959923</v>
      </c>
      <c r="X11" s="307">
        <f>VLOOKUP(A11,Targets!$A$1:$J$301,6,FALSE)*2</f>
        <v>476004.77980639949</v>
      </c>
      <c r="Y11" s="429"/>
      <c r="Z11" s="429"/>
      <c r="AA11" s="542"/>
      <c r="AB11" s="21"/>
    </row>
    <row r="12" spans="1:28" ht="165">
      <c r="A12" s="31">
        <v>9</v>
      </c>
      <c r="B12" s="22" t="s">
        <v>39</v>
      </c>
      <c r="C12" s="22" t="s">
        <v>50</v>
      </c>
      <c r="D12" s="22" t="s">
        <v>41</v>
      </c>
      <c r="E12" s="23" t="s">
        <v>51</v>
      </c>
      <c r="F12" s="22" t="s">
        <v>63</v>
      </c>
      <c r="G12" s="22" t="s">
        <v>53</v>
      </c>
      <c r="H12" s="22" t="s">
        <v>30</v>
      </c>
      <c r="I12" s="22" t="s">
        <v>54</v>
      </c>
      <c r="J12" s="22" t="s">
        <v>63</v>
      </c>
      <c r="K12" s="22" t="s">
        <v>47</v>
      </c>
      <c r="L12" s="22">
        <v>2016</v>
      </c>
      <c r="M12" s="335" t="str">
        <f ca="1">VLOOKUP(A12,'2020_ModelLink'!$A$3:$S$332,18,FALSE)</f>
        <v>N/A</v>
      </c>
      <c r="N12" s="335" t="str">
        <f ca="1">VLOOKUP(A12,'2020_ModelLink'!$A$3:$S$332,19,FALSE)</f>
        <v>N/A</v>
      </c>
      <c r="O12" s="721">
        <f ca="1">VLOOKUP($A12,'2016_ModelLink'!$A$3:$S$332,17,FALSE)</f>
        <v>4071541355.6978703</v>
      </c>
      <c r="P12" s="721">
        <f ca="1">VLOOKUP($A12,'2017_ModelLink'!$A$3:$S$332,17,FALSE)</f>
        <v>5453328495.2566442</v>
      </c>
      <c r="Q12" s="721">
        <f ca="1">VLOOKUP($A12,'2018_ModelLink'!$A$3:$S$332,17,FALSE)</f>
        <v>5629792057.8726797</v>
      </c>
      <c r="R12" s="721">
        <f ca="1">VLOOKUP($A12,'2019_ModelLink'!$A$3:$S$332,17,FALSE)</f>
        <v>2641285318.7758112</v>
      </c>
      <c r="S12" s="721">
        <f ca="1">VLOOKUP($A12,'2020_ModelLink'!$A$3:$S$332,17,FALSE)</f>
        <v>7753377253.7211695</v>
      </c>
      <c r="T12" s="307">
        <f>VLOOKUP(A12,Targets!$A$1:$J$301,5,FALSE)</f>
        <v>2383262773.5336137</v>
      </c>
      <c r="U12" s="307">
        <f>VLOOKUP(A12,Targets!$A$1:$J$301,5,FALSE)</f>
        <v>2383262773.5336137</v>
      </c>
      <c r="V12" s="307">
        <f>VLOOKUP(A12,Targets!$A$1:$J$301,5,FALSE)</f>
        <v>2383262773.5336137</v>
      </c>
      <c r="W12" s="307">
        <f>VLOOKUP(A12,Targets!$A$1:$J$301,5,FALSE)*3</f>
        <v>7149788320.6008415</v>
      </c>
      <c r="X12" s="307">
        <f>VLOOKUP(A12,Targets!$A$1:$J$301,6,FALSE)*2</f>
        <v>4766525547.0672274</v>
      </c>
      <c r="Y12" s="429"/>
      <c r="Z12" s="429"/>
      <c r="AA12" s="542"/>
      <c r="AB12" s="21"/>
    </row>
    <row r="13" spans="1:28" ht="165">
      <c r="A13" s="31">
        <v>10</v>
      </c>
      <c r="B13" s="22" t="s">
        <v>39</v>
      </c>
      <c r="C13" s="22" t="s">
        <v>50</v>
      </c>
      <c r="D13" s="22" t="s">
        <v>41</v>
      </c>
      <c r="E13" s="23" t="s">
        <v>51</v>
      </c>
      <c r="F13" s="22" t="s">
        <v>64</v>
      </c>
      <c r="G13" s="22" t="s">
        <v>53</v>
      </c>
      <c r="H13" s="22" t="s">
        <v>30</v>
      </c>
      <c r="I13" s="22" t="s">
        <v>54</v>
      </c>
      <c r="J13" s="22" t="s">
        <v>64</v>
      </c>
      <c r="K13" s="22" t="s">
        <v>47</v>
      </c>
      <c r="L13" s="22">
        <v>2016</v>
      </c>
      <c r="M13" s="335" t="str">
        <f ca="1">VLOOKUP(A13,'2020_ModelLink'!$A$3:$S$332,18,FALSE)</f>
        <v>N/A</v>
      </c>
      <c r="N13" s="335" t="str">
        <f ca="1">VLOOKUP(A13,'2020_ModelLink'!$A$3:$S$332,19,FALSE)</f>
        <v>N/A</v>
      </c>
      <c r="O13" s="721">
        <f ca="1">VLOOKUP($A13,'2016_ModelLink'!$A$3:$S$332,17,FALSE)</f>
        <v>3399176958.1089969</v>
      </c>
      <c r="P13" s="721">
        <f ca="1">VLOOKUP($A13,'2017_ModelLink'!$A$3:$S$332,17,FALSE)</f>
        <v>4992750889.2698755</v>
      </c>
      <c r="Q13" s="721">
        <f ca="1">VLOOKUP($A13,'2018_ModelLink'!$A$3:$S$332,17,FALSE)</f>
        <v>5376922452.5547895</v>
      </c>
      <c r="R13" s="721">
        <f ca="1">VLOOKUP($A13,'2019_ModelLink'!$A$3:$S$332,17,FALSE)</f>
        <v>2561567227.2157989</v>
      </c>
      <c r="S13" s="721">
        <f ca="1">VLOOKUP($A13,'2020_ModelLink'!$A$3:$S$332,17,FALSE)</f>
        <v>7656685480.0510092</v>
      </c>
      <c r="T13" s="307">
        <f>VLOOKUP(A13,Targets!$A$1:$J$301,5,FALSE)</f>
        <v>1953734962.6540229</v>
      </c>
      <c r="U13" s="307">
        <f>VLOOKUP(A13,Targets!$A$1:$J$301,5,FALSE)</f>
        <v>1953734962.6540229</v>
      </c>
      <c r="V13" s="307">
        <f>VLOOKUP(A13,Targets!$A$1:$J$301,5,FALSE)</f>
        <v>1953734962.6540229</v>
      </c>
      <c r="W13" s="307">
        <f>VLOOKUP(A13,Targets!$A$1:$J$301,5,FALSE)*3</f>
        <v>5861204887.9620686</v>
      </c>
      <c r="X13" s="307">
        <f>VLOOKUP(A13,Targets!$A$1:$J$301,6,FALSE)*2</f>
        <v>3907469925.3080459</v>
      </c>
      <c r="Y13" s="429"/>
      <c r="Z13" s="429"/>
      <c r="AA13" s="542"/>
      <c r="AB13" s="21"/>
    </row>
    <row r="14" spans="1:28" ht="165">
      <c r="A14" s="31">
        <v>11</v>
      </c>
      <c r="B14" s="22" t="s">
        <v>39</v>
      </c>
      <c r="C14" s="22" t="s">
        <v>50</v>
      </c>
      <c r="D14" s="22" t="s">
        <v>41</v>
      </c>
      <c r="E14" s="23" t="s">
        <v>51</v>
      </c>
      <c r="F14" s="22" t="s">
        <v>65</v>
      </c>
      <c r="G14" s="22" t="s">
        <v>53</v>
      </c>
      <c r="H14" s="22" t="s">
        <v>30</v>
      </c>
      <c r="I14" s="22" t="s">
        <v>54</v>
      </c>
      <c r="J14" s="22" t="s">
        <v>65</v>
      </c>
      <c r="K14" s="22" t="s">
        <v>47</v>
      </c>
      <c r="L14" s="22">
        <v>2016</v>
      </c>
      <c r="M14" s="335" t="str">
        <f ca="1">VLOOKUP(A14,'2020_ModelLink'!$A$3:$S$332,18,FALSE)</f>
        <v>N/A</v>
      </c>
      <c r="N14" s="335" t="str">
        <f ca="1">VLOOKUP(A14,'2020_ModelLink'!$A$3:$S$332,19,FALSE)</f>
        <v>N/A</v>
      </c>
      <c r="O14" s="721">
        <f ca="1">VLOOKUP($A14,'2016_ModelLink'!$A$3:$S$332,17,FALSE)</f>
        <v>38143321.689990081</v>
      </c>
      <c r="P14" s="721">
        <f ca="1">VLOOKUP($A14,'2017_ModelLink'!$A$3:$S$332,17,FALSE)</f>
        <v>12096191.348439906</v>
      </c>
      <c r="Q14" s="721">
        <f ca="1">VLOOKUP($A14,'2018_ModelLink'!$A$3:$S$332,17,FALSE)</f>
        <v>4011449.3759458102</v>
      </c>
      <c r="R14" s="721">
        <f ca="1">VLOOKUP($A14,'2019_ModelLink'!$A$3:$S$332,17,FALSE)</f>
        <v>33617961.590264052</v>
      </c>
      <c r="S14" s="721">
        <f ca="1">VLOOKUP($A14,'2020_ModelLink'!$A$3:$S$332,17,FALSE)</f>
        <v>54439559.990600072</v>
      </c>
      <c r="T14" s="307">
        <f>VLOOKUP(A14,Targets!$A$1:$J$301,5,FALSE)</f>
        <v>27876600.896838307</v>
      </c>
      <c r="U14" s="307">
        <f>VLOOKUP(A14,Targets!$A$1:$J$301,5,FALSE)</f>
        <v>27876600.896838307</v>
      </c>
      <c r="V14" s="307">
        <f>VLOOKUP(A14,Targets!$A$1:$J$301,5,FALSE)</f>
        <v>27876600.896838307</v>
      </c>
      <c r="W14" s="307">
        <f>VLOOKUP(A14,Targets!$A$1:$J$301,5,FALSE)*3</f>
        <v>83629802.690514922</v>
      </c>
      <c r="X14" s="307">
        <f>VLOOKUP(A14,Targets!$A$1:$J$301,6,FALSE)*2</f>
        <v>55753201.793676615</v>
      </c>
      <c r="Y14" s="429" t="s">
        <v>59</v>
      </c>
      <c r="Z14" s="429" t="s">
        <v>49</v>
      </c>
      <c r="AA14" s="542"/>
      <c r="AB14" s="21"/>
    </row>
    <row r="15" spans="1:28" ht="165">
      <c r="A15" s="31">
        <v>12</v>
      </c>
      <c r="B15" s="22" t="s">
        <v>39</v>
      </c>
      <c r="C15" s="22" t="s">
        <v>50</v>
      </c>
      <c r="D15" s="22" t="s">
        <v>41</v>
      </c>
      <c r="E15" s="23" t="s">
        <v>51</v>
      </c>
      <c r="F15" s="22" t="s">
        <v>66</v>
      </c>
      <c r="G15" s="22" t="s">
        <v>53</v>
      </c>
      <c r="H15" s="22" t="s">
        <v>30</v>
      </c>
      <c r="I15" s="22" t="s">
        <v>54</v>
      </c>
      <c r="J15" s="22" t="s">
        <v>66</v>
      </c>
      <c r="K15" s="22" t="s">
        <v>47</v>
      </c>
      <c r="L15" s="22">
        <v>2016</v>
      </c>
      <c r="M15" s="335" t="str">
        <f ca="1">VLOOKUP(A15,'2020_ModelLink'!$A$3:$S$332,18,FALSE)</f>
        <v>N/A</v>
      </c>
      <c r="N15" s="335" t="str">
        <f ca="1">VLOOKUP(A15,'2020_ModelLink'!$A$3:$S$332,19,FALSE)</f>
        <v>N/A</v>
      </c>
      <c r="O15" s="721">
        <f ca="1">VLOOKUP($A15,'2016_ModelLink'!$A$3:$S$332,17,FALSE)</f>
        <v>31043917.99073258</v>
      </c>
      <c r="P15" s="721">
        <f ca="1">VLOOKUP($A15,'2017_ModelLink'!$A$3:$S$332,17,FALSE)</f>
        <v>7509075.2939949445</v>
      </c>
      <c r="Q15" s="721">
        <f ca="1">VLOOKUP($A15,'2018_ModelLink'!$A$3:$S$332,17,FALSE)</f>
        <v>34955.128006145897</v>
      </c>
      <c r="R15" s="721">
        <f ca="1">VLOOKUP($A15,'2019_ModelLink'!$A$3:$S$332,17,FALSE)</f>
        <v>30776343.717361189</v>
      </c>
      <c r="S15" s="721">
        <f ca="1">VLOOKUP($A15,'2020_ModelLink'!$A$3:$S$332,17,FALSE)</f>
        <v>52760707.285274453</v>
      </c>
      <c r="T15" s="307">
        <f>VLOOKUP(A15,Targets!$A$1:$J$301,5,FALSE)</f>
        <v>21343246.462557327</v>
      </c>
      <c r="U15" s="307">
        <f>VLOOKUP(A15,Targets!$A$1:$J$301,5,FALSE)</f>
        <v>21343246.462557327</v>
      </c>
      <c r="V15" s="307">
        <f>VLOOKUP(A15,Targets!$A$1:$J$301,5,FALSE)</f>
        <v>21343246.462557327</v>
      </c>
      <c r="W15" s="307">
        <f>VLOOKUP(A15,Targets!$A$1:$J$301,5,FALSE)*3</f>
        <v>64029739.387671977</v>
      </c>
      <c r="X15" s="307">
        <f>VLOOKUP(A15,Targets!$A$1:$J$301,6,FALSE)*2</f>
        <v>42686492.925114654</v>
      </c>
      <c r="Y15" s="429" t="s">
        <v>59</v>
      </c>
      <c r="Z15" s="429" t="s">
        <v>49</v>
      </c>
      <c r="AA15" s="542"/>
      <c r="AB15" s="21"/>
    </row>
    <row r="16" spans="1:28" ht="210">
      <c r="A16" s="31">
        <v>13</v>
      </c>
      <c r="B16" s="22" t="s">
        <v>39</v>
      </c>
      <c r="C16" s="22" t="s">
        <v>50</v>
      </c>
      <c r="D16" s="22" t="s">
        <v>67</v>
      </c>
      <c r="E16" s="23" t="s">
        <v>68</v>
      </c>
      <c r="F16" s="22" t="s">
        <v>52</v>
      </c>
      <c r="G16" s="22" t="s">
        <v>69</v>
      </c>
      <c r="H16" s="22" t="s">
        <v>30</v>
      </c>
      <c r="I16" s="22" t="s">
        <v>70</v>
      </c>
      <c r="J16" s="22" t="s">
        <v>71</v>
      </c>
      <c r="K16" s="22" t="s">
        <v>47</v>
      </c>
      <c r="L16" s="22">
        <v>2016</v>
      </c>
      <c r="M16" s="335" t="str">
        <f ca="1">VLOOKUP(A16,'2020_ModelLink'!$A$3:$S$332,18,FALSE)</f>
        <v>N/A</v>
      </c>
      <c r="N16" s="335" t="str">
        <f ca="1">VLOOKUP(A16,'2020_ModelLink'!$A$3:$S$332,19,FALSE)</f>
        <v>N/A</v>
      </c>
      <c r="O16" s="721">
        <f ca="1">VLOOKUP($A16,'2016_ModelLink'!$A$3:$S$332,17,FALSE)</f>
        <v>711.64776805342569</v>
      </c>
      <c r="P16" s="721">
        <f ca="1">VLOOKUP($A16,'2017_ModelLink'!$A$3:$S$332,17,FALSE)</f>
        <v>4285.691113087415</v>
      </c>
      <c r="Q16" s="721">
        <f ca="1">VLOOKUP($A16,'2018_ModelLink'!$A$3:$S$332,17,FALSE)</f>
        <v>4655.59873506039</v>
      </c>
      <c r="R16" s="721">
        <f ca="1">VLOOKUP($A16,'2019_ModelLink'!$A$3:$S$332,17,FALSE)</f>
        <v>713.57076212154868</v>
      </c>
      <c r="S16" s="721">
        <f ca="1">VLOOKUP($A16,'2020_ModelLink'!$A$3:$S$332,17,FALSE)</f>
        <v>57.253057897312331</v>
      </c>
      <c r="T16" s="307">
        <f>VLOOKUP(A16,Targets!$A$1:$J$301,5,FALSE)</f>
        <v>744.14292880362723</v>
      </c>
      <c r="U16" s="307">
        <f>VLOOKUP(A16,Targets!$A$1:$J$301,5,FALSE)</f>
        <v>744.14292880362723</v>
      </c>
      <c r="V16" s="307">
        <f>VLOOKUP(A16,Targets!$A$1:$J$301,5,FALSE)</f>
        <v>744.14292880362723</v>
      </c>
      <c r="W16" s="307">
        <f>VLOOKUP(A16,Targets!$A$1:$J$301,5,FALSE)*3</f>
        <v>2232.4287864108819</v>
      </c>
      <c r="X16" s="307">
        <f>VLOOKUP(A16,Targets!$A$1:$J$301,6,FALSE)*2</f>
        <v>1488.2858576072545</v>
      </c>
      <c r="Y16" s="429"/>
      <c r="Z16" s="429"/>
      <c r="AA16" s="542"/>
      <c r="AB16" s="21"/>
    </row>
    <row r="17" spans="1:28" ht="210">
      <c r="A17" s="31">
        <v>14</v>
      </c>
      <c r="B17" s="22" t="s">
        <v>39</v>
      </c>
      <c r="C17" s="22" t="s">
        <v>50</v>
      </c>
      <c r="D17" s="22" t="s">
        <v>67</v>
      </c>
      <c r="E17" s="23" t="s">
        <v>68</v>
      </c>
      <c r="F17" s="22" t="s">
        <v>55</v>
      </c>
      <c r="G17" s="22" t="s">
        <v>69</v>
      </c>
      <c r="H17" s="22" t="s">
        <v>30</v>
      </c>
      <c r="I17" s="22" t="s">
        <v>70</v>
      </c>
      <c r="J17" s="22" t="s">
        <v>72</v>
      </c>
      <c r="K17" s="22" t="s">
        <v>47</v>
      </c>
      <c r="L17" s="22">
        <v>2016</v>
      </c>
      <c r="M17" s="335" t="str">
        <f ca="1">VLOOKUP(A17,'2020_ModelLink'!$A$3:$S$332,18,FALSE)</f>
        <v>N/A</v>
      </c>
      <c r="N17" s="335" t="str">
        <f ca="1">VLOOKUP(A17,'2020_ModelLink'!$A$3:$S$332,19,FALSE)</f>
        <v>N/A</v>
      </c>
      <c r="O17" s="721">
        <f ca="1">VLOOKUP($A17,'2016_ModelLink'!$A$3:$S$332,17,FALSE)</f>
        <v>493.13585898078156</v>
      </c>
      <c r="P17" s="721">
        <f ca="1">VLOOKUP($A17,'2017_ModelLink'!$A$3:$S$332,17,FALSE)</f>
        <v>3682.9592725007815</v>
      </c>
      <c r="Q17" s="721">
        <f ca="1">VLOOKUP($A17,'2018_ModelLink'!$A$3:$S$332,17,FALSE)</f>
        <v>4344.5602905471906</v>
      </c>
      <c r="R17" s="721">
        <f ca="1">VLOOKUP($A17,'2019_ModelLink'!$A$3:$S$332,17,FALSE)</f>
        <v>608.16359659272121</v>
      </c>
      <c r="S17" s="721">
        <f ca="1">VLOOKUP($A17,'2020_ModelLink'!$A$3:$S$332,17,FALSE)</f>
        <v>45.854936276289742</v>
      </c>
      <c r="T17" s="307">
        <f>VLOOKUP(A17,Targets!$A$1:$J$301,5,FALSE)</f>
        <v>516.87321544164638</v>
      </c>
      <c r="U17" s="307">
        <f>VLOOKUP(A17,Targets!$A$1:$J$301,5,FALSE)</f>
        <v>516.87321544164638</v>
      </c>
      <c r="V17" s="307">
        <f>VLOOKUP(A17,Targets!$A$1:$J$301,5,FALSE)</f>
        <v>516.87321544164638</v>
      </c>
      <c r="W17" s="307">
        <f>VLOOKUP(A17,Targets!$A$1:$J$301,5,FALSE)*3</f>
        <v>1550.6196463249391</v>
      </c>
      <c r="X17" s="307">
        <f>VLOOKUP(A17,Targets!$A$1:$J$301,6,FALSE)*2</f>
        <v>1033.7464308832928</v>
      </c>
      <c r="Y17" s="429"/>
      <c r="Z17" s="429"/>
      <c r="AA17" s="542"/>
      <c r="AB17" s="21"/>
    </row>
    <row r="18" spans="1:28" ht="210">
      <c r="A18" s="31">
        <v>15</v>
      </c>
      <c r="B18" s="22" t="s">
        <v>39</v>
      </c>
      <c r="C18" s="22" t="s">
        <v>50</v>
      </c>
      <c r="D18" s="22" t="s">
        <v>67</v>
      </c>
      <c r="E18" s="23" t="s">
        <v>68</v>
      </c>
      <c r="F18" s="22" t="s">
        <v>56</v>
      </c>
      <c r="G18" s="22" t="s">
        <v>69</v>
      </c>
      <c r="H18" s="22" t="s">
        <v>30</v>
      </c>
      <c r="I18" s="22" t="s">
        <v>70</v>
      </c>
      <c r="J18" s="22" t="s">
        <v>73</v>
      </c>
      <c r="K18" s="22" t="s">
        <v>47</v>
      </c>
      <c r="L18" s="22">
        <v>2016</v>
      </c>
      <c r="M18" s="335" t="str">
        <f ca="1">VLOOKUP(A18,'2020_ModelLink'!$A$3:$S$332,18,FALSE)</f>
        <v>N/A</v>
      </c>
      <c r="N18" s="335" t="str">
        <f ca="1">VLOOKUP(A18,'2020_ModelLink'!$A$3:$S$332,19,FALSE)</f>
        <v>N/A</v>
      </c>
      <c r="O18" s="721">
        <f ca="1">VLOOKUP($A18,'2016_ModelLink'!$A$3:$S$332,17,FALSE)</f>
        <v>3541580.2167316726</v>
      </c>
      <c r="P18" s="721">
        <f ca="1">VLOOKUP($A18,'2017_ModelLink'!$A$3:$S$332,17,FALSE)</f>
        <v>30399380.744004786</v>
      </c>
      <c r="Q18" s="721">
        <f ca="1">VLOOKUP($A18,'2018_ModelLink'!$A$3:$S$332,17,FALSE)</f>
        <v>30697436.501324888</v>
      </c>
      <c r="R18" s="721">
        <f ca="1">VLOOKUP($A18,'2019_ModelLink'!$A$3:$S$332,17,FALSE)</f>
        <v>5751271.3977047149</v>
      </c>
      <c r="S18" s="721">
        <f ca="1">VLOOKUP($A18,'2020_ModelLink'!$A$3:$S$332,17,FALSE)</f>
        <v>413493.28720832663</v>
      </c>
      <c r="T18" s="307">
        <f>VLOOKUP(A18,Targets!$A$1:$J$301,5,FALSE)</f>
        <v>3659611.5060574454</v>
      </c>
      <c r="U18" s="307">
        <f>VLOOKUP(A18,Targets!$A$1:$J$301,5,FALSE)</f>
        <v>3659611.5060574454</v>
      </c>
      <c r="V18" s="307">
        <f>VLOOKUP(A18,Targets!$A$1:$J$301,5,FALSE)</f>
        <v>3659611.5060574454</v>
      </c>
      <c r="W18" s="307">
        <f>VLOOKUP(A18,Targets!$A$1:$J$301,5,FALSE)*3</f>
        <v>10978834.518172337</v>
      </c>
      <c r="X18" s="307">
        <f>VLOOKUP(A18,Targets!$A$1:$J$301,6,FALSE)*2</f>
        <v>7319223.0121148909</v>
      </c>
      <c r="Y18" s="429"/>
      <c r="Z18" s="429"/>
      <c r="AA18" s="542"/>
      <c r="AB18" s="21"/>
    </row>
    <row r="19" spans="1:28" ht="210">
      <c r="A19" s="31">
        <v>16</v>
      </c>
      <c r="B19" s="22" t="s">
        <v>39</v>
      </c>
      <c r="C19" s="22" t="s">
        <v>50</v>
      </c>
      <c r="D19" s="22" t="s">
        <v>67</v>
      </c>
      <c r="E19" s="23" t="s">
        <v>68</v>
      </c>
      <c r="F19" s="22" t="s">
        <v>57</v>
      </c>
      <c r="G19" s="22" t="s">
        <v>69</v>
      </c>
      <c r="H19" s="22" t="s">
        <v>30</v>
      </c>
      <c r="I19" s="22" t="s">
        <v>70</v>
      </c>
      <c r="J19" s="22" t="s">
        <v>74</v>
      </c>
      <c r="K19" s="22" t="s">
        <v>47</v>
      </c>
      <c r="L19" s="22">
        <v>2016</v>
      </c>
      <c r="M19" s="335" t="str">
        <f ca="1">VLOOKUP(A19,'2020_ModelLink'!$A$3:$S$332,18,FALSE)</f>
        <v>N/A</v>
      </c>
      <c r="N19" s="335" t="str">
        <f ca="1">VLOOKUP(A19,'2020_ModelLink'!$A$3:$S$332,19,FALSE)</f>
        <v>N/A</v>
      </c>
      <c r="O19" s="721">
        <f ca="1">VLOOKUP($A19,'2016_ModelLink'!$A$3:$S$332,17,FALSE)</f>
        <v>2512664.7202694882</v>
      </c>
      <c r="P19" s="721">
        <f ca="1">VLOOKUP($A19,'2017_ModelLink'!$A$3:$S$332,17,FALSE)</f>
        <v>25846856.266083285</v>
      </c>
      <c r="Q19" s="721">
        <f ca="1">VLOOKUP($A19,'2018_ModelLink'!$A$3:$S$332,17,FALSE)</f>
        <v>28907099.594247304</v>
      </c>
      <c r="R19" s="721">
        <f ca="1">VLOOKUP($A19,'2019_ModelLink'!$A$3:$S$332,17,FALSE)</f>
        <v>5396092.1874105139</v>
      </c>
      <c r="S19" s="721">
        <f ca="1">VLOOKUP($A19,'2020_ModelLink'!$A$3:$S$332,17,FALSE)</f>
        <v>328777.54607202363</v>
      </c>
      <c r="T19" s="307">
        <f>VLOOKUP(A19,Targets!$A$1:$J$301,5,FALSE)</f>
        <v>2598006.3822410852</v>
      </c>
      <c r="U19" s="307">
        <f>VLOOKUP(A19,Targets!$A$1:$J$301,5,FALSE)</f>
        <v>2598006.3822410852</v>
      </c>
      <c r="V19" s="307">
        <f>VLOOKUP(A19,Targets!$A$1:$J$301,5,FALSE)</f>
        <v>2598006.3822410852</v>
      </c>
      <c r="W19" s="307">
        <f>VLOOKUP(A19,Targets!$A$1:$J$301,5,FALSE)*3</f>
        <v>7794019.1467232555</v>
      </c>
      <c r="X19" s="307">
        <f>VLOOKUP(A19,Targets!$A$1:$J$301,6,FALSE)*2</f>
        <v>5196012.7644821703</v>
      </c>
      <c r="Y19" s="429"/>
      <c r="Z19" s="429"/>
      <c r="AA19" s="542"/>
      <c r="AB19" s="21"/>
    </row>
    <row r="20" spans="1:28" ht="210">
      <c r="A20" s="31">
        <v>17</v>
      </c>
      <c r="B20" s="22" t="s">
        <v>39</v>
      </c>
      <c r="C20" s="22" t="s">
        <v>50</v>
      </c>
      <c r="D20" s="22" t="s">
        <v>67</v>
      </c>
      <c r="E20" s="23" t="s">
        <v>68</v>
      </c>
      <c r="F20" s="22" t="s">
        <v>58</v>
      </c>
      <c r="G20" s="22" t="s">
        <v>69</v>
      </c>
      <c r="H20" s="22" t="s">
        <v>30</v>
      </c>
      <c r="I20" s="22" t="s">
        <v>70</v>
      </c>
      <c r="J20" s="22" t="s">
        <v>75</v>
      </c>
      <c r="K20" s="22" t="s">
        <v>47</v>
      </c>
      <c r="L20" s="22">
        <v>2016</v>
      </c>
      <c r="M20" s="335" t="str">
        <f ca="1">VLOOKUP(A20,'2020_ModelLink'!$A$3:$S$332,18,FALSE)</f>
        <v>N/A</v>
      </c>
      <c r="N20" s="335" t="str">
        <f ca="1">VLOOKUP(A20,'2020_ModelLink'!$A$3:$S$332,19,FALSE)</f>
        <v>N/A</v>
      </c>
      <c r="O20" s="721">
        <f ca="1">VLOOKUP($A20,'2016_ModelLink'!$A$3:$S$332,17,FALSE)</f>
        <v>-12861.305429689366</v>
      </c>
      <c r="P20" s="721">
        <f ca="1">VLOOKUP($A20,'2017_ModelLink'!$A$3:$S$332,17,FALSE)</f>
        <v>-150539.52781050606</v>
      </c>
      <c r="Q20" s="721">
        <f ca="1">VLOOKUP($A20,'2018_ModelLink'!$A$3:$S$332,17,FALSE)</f>
        <v>-326056.87371524813</v>
      </c>
      <c r="R20" s="721">
        <f ca="1">VLOOKUP($A20,'2019_ModelLink'!$A$3:$S$332,17,FALSE)</f>
        <v>-8589.6833227240641</v>
      </c>
      <c r="S20" s="721">
        <f ca="1">VLOOKUP($A20,'2020_ModelLink'!$A$3:$S$332,17,FALSE)</f>
        <v>2444.8150845085443</v>
      </c>
      <c r="T20" s="307">
        <f>VLOOKUP(A20,Targets!$A$1:$J$301,5,FALSE)</f>
        <v>37425.980072347294</v>
      </c>
      <c r="U20" s="307">
        <f>VLOOKUP(A20,Targets!$A$1:$J$301,5,FALSE)</f>
        <v>37425.980072347294</v>
      </c>
      <c r="V20" s="307">
        <f>VLOOKUP(A20,Targets!$A$1:$J$301,5,FALSE)</f>
        <v>37425.980072347294</v>
      </c>
      <c r="W20" s="307">
        <f>VLOOKUP(A20,Targets!$A$1:$J$301,5,FALSE)*3</f>
        <v>112277.94021704188</v>
      </c>
      <c r="X20" s="307">
        <f>VLOOKUP(A20,Targets!$A$1:$J$301,6,FALSE)*2</f>
        <v>74851.960144694589</v>
      </c>
      <c r="Y20" s="429" t="s">
        <v>59</v>
      </c>
      <c r="Z20" s="429" t="str">
        <f>Definitions!C$7</f>
        <v>D.18-05-041: DAC = Bill accounts in census tracts corresponding to census tracts in the top quartile of CalEnviroScreen 3.0 scores.</v>
      </c>
      <c r="AA20" s="542"/>
      <c r="AB20" s="21"/>
    </row>
    <row r="21" spans="1:28" ht="210">
      <c r="A21" s="31">
        <v>18</v>
      </c>
      <c r="B21" s="22" t="s">
        <v>39</v>
      </c>
      <c r="C21" s="22" t="s">
        <v>50</v>
      </c>
      <c r="D21" s="22" t="s">
        <v>67</v>
      </c>
      <c r="E21" s="23" t="s">
        <v>68</v>
      </c>
      <c r="F21" s="22" t="s">
        <v>60</v>
      </c>
      <c r="G21" s="22" t="s">
        <v>69</v>
      </c>
      <c r="H21" s="22" t="s">
        <v>30</v>
      </c>
      <c r="I21" s="22" t="s">
        <v>70</v>
      </c>
      <c r="J21" s="22" t="s">
        <v>76</v>
      </c>
      <c r="K21" s="22" t="s">
        <v>47</v>
      </c>
      <c r="L21" s="22">
        <v>2016</v>
      </c>
      <c r="M21" s="335" t="str">
        <f ca="1">VLOOKUP(A21,'2020_ModelLink'!$A$3:$S$332,18,FALSE)</f>
        <v>N/A</v>
      </c>
      <c r="N21" s="335" t="str">
        <f ca="1">VLOOKUP(A21,'2020_ModelLink'!$A$3:$S$332,19,FALSE)</f>
        <v>N/A</v>
      </c>
      <c r="O21" s="721">
        <f ca="1">VLOOKUP($A21,'2016_ModelLink'!$A$3:$S$332,17,FALSE)</f>
        <v>-12501.249471554491</v>
      </c>
      <c r="P21" s="721">
        <f ca="1">VLOOKUP($A21,'2017_ModelLink'!$A$3:$S$332,17,FALSE)</f>
        <v>-190556.01303688195</v>
      </c>
      <c r="Q21" s="721">
        <f ca="1">VLOOKUP($A21,'2018_ModelLink'!$A$3:$S$332,17,FALSE)</f>
        <v>-318889.49424054869</v>
      </c>
      <c r="R21" s="721">
        <f ca="1">VLOOKUP($A21,'2019_ModelLink'!$A$3:$S$332,17,FALSE)</f>
        <v>-6611.3009034252136</v>
      </c>
      <c r="S21" s="721">
        <f ca="1">VLOOKUP($A21,'2020_ModelLink'!$A$3:$S$332,17,FALSE)</f>
        <v>1643.2286886658653</v>
      </c>
      <c r="T21" s="307">
        <f>VLOOKUP(A21,Targets!$A$1:$J$301,5,FALSE)</f>
        <v>29650.861157484051</v>
      </c>
      <c r="U21" s="307">
        <f>VLOOKUP(A21,Targets!$A$1:$J$301,5,FALSE)</f>
        <v>29650.861157484051</v>
      </c>
      <c r="V21" s="307">
        <f>VLOOKUP(A21,Targets!$A$1:$J$301,5,FALSE)</f>
        <v>29650.861157484051</v>
      </c>
      <c r="W21" s="307">
        <f>VLOOKUP(A21,Targets!$A$1:$J$301,5,FALSE)*3</f>
        <v>88952.583472452156</v>
      </c>
      <c r="X21" s="307">
        <f>VLOOKUP(A21,Targets!$A$1:$J$301,6,FALSE)*2</f>
        <v>59301.722314968101</v>
      </c>
      <c r="Y21" s="429" t="s">
        <v>59</v>
      </c>
      <c r="Z21" s="429" t="str">
        <f>Definitions!C$7</f>
        <v>D.18-05-041: DAC = Bill accounts in census tracts corresponding to census tracts in the top quartile of CalEnviroScreen 3.0 scores.</v>
      </c>
      <c r="AA21" s="542"/>
      <c r="AB21" s="21"/>
    </row>
    <row r="22" spans="1:28" ht="210">
      <c r="A22" s="31">
        <v>19</v>
      </c>
      <c r="B22" s="22" t="s">
        <v>39</v>
      </c>
      <c r="C22" s="22" t="s">
        <v>50</v>
      </c>
      <c r="D22" s="22" t="s">
        <v>67</v>
      </c>
      <c r="E22" s="23" t="s">
        <v>68</v>
      </c>
      <c r="F22" s="22" t="s">
        <v>61</v>
      </c>
      <c r="G22" s="22" t="s">
        <v>69</v>
      </c>
      <c r="H22" s="22" t="s">
        <v>30</v>
      </c>
      <c r="I22" s="22" t="s">
        <v>70</v>
      </c>
      <c r="J22" s="22" t="s">
        <v>77</v>
      </c>
      <c r="K22" s="22" t="s">
        <v>47</v>
      </c>
      <c r="L22" s="22">
        <v>2016</v>
      </c>
      <c r="M22" s="335" t="str">
        <f ca="1">VLOOKUP(A22,'2020_ModelLink'!$A$3:$S$332,18,FALSE)</f>
        <v>N/A</v>
      </c>
      <c r="N22" s="335" t="str">
        <f ca="1">VLOOKUP(A22,'2020_ModelLink'!$A$3:$S$332,19,FALSE)</f>
        <v>N/A</v>
      </c>
      <c r="O22" s="721">
        <f ca="1">VLOOKUP($A22,'2016_ModelLink'!$A$3:$S$332,17,FALSE)</f>
        <v>7658.2336349462294</v>
      </c>
      <c r="P22" s="721">
        <f ca="1">VLOOKUP($A22,'2017_ModelLink'!$A$3:$S$332,17,FALSE)</f>
        <v>49935.854901536833</v>
      </c>
      <c r="Q22" s="721">
        <f ca="1">VLOOKUP($A22,'2018_ModelLink'!$A$3:$S$332,17,FALSE)</f>
        <v>57204.262518091404</v>
      </c>
      <c r="R22" s="721">
        <f ca="1">VLOOKUP($A22,'2019_ModelLink'!$A$3:$S$332,17,FALSE)</f>
        <v>4101.7857173698412</v>
      </c>
      <c r="S22" s="721">
        <f ca="1">VLOOKUP($A22,'2020_ModelLink'!$A$3:$S$332,17,FALSE)</f>
        <v>289.1129345407785</v>
      </c>
      <c r="T22" s="307">
        <f>VLOOKUP(A22,Targets!$A$1:$J$301,5,FALSE)</f>
        <v>8007.9228269897449</v>
      </c>
      <c r="U22" s="307">
        <f>VLOOKUP(A22,Targets!$A$1:$J$301,5,FALSE)</f>
        <v>8007.9228269897449</v>
      </c>
      <c r="V22" s="307">
        <f>VLOOKUP(A22,Targets!$A$1:$J$301,5,FALSE)</f>
        <v>8007.9228269897449</v>
      </c>
      <c r="W22" s="307">
        <f>VLOOKUP(A22,Targets!$A$1:$J$301,5,FALSE)*3</f>
        <v>24023.768480969236</v>
      </c>
      <c r="X22" s="307">
        <f>VLOOKUP(A22,Targets!$A$1:$J$301,6,FALSE)*2</f>
        <v>16015.84565397949</v>
      </c>
      <c r="Y22" s="429"/>
      <c r="Z22" s="429"/>
      <c r="AA22" s="542"/>
      <c r="AB22" s="21"/>
    </row>
    <row r="23" spans="1:28" ht="210">
      <c r="A23" s="31">
        <v>20</v>
      </c>
      <c r="B23" s="22" t="s">
        <v>39</v>
      </c>
      <c r="C23" s="22" t="s">
        <v>50</v>
      </c>
      <c r="D23" s="22" t="s">
        <v>67</v>
      </c>
      <c r="E23" s="23" t="s">
        <v>68</v>
      </c>
      <c r="F23" s="22" t="s">
        <v>62</v>
      </c>
      <c r="G23" s="22" t="s">
        <v>69</v>
      </c>
      <c r="H23" s="22" t="s">
        <v>30</v>
      </c>
      <c r="I23" s="22" t="s">
        <v>70</v>
      </c>
      <c r="J23" s="22" t="s">
        <v>78</v>
      </c>
      <c r="K23" s="22" t="s">
        <v>47</v>
      </c>
      <c r="L23" s="22">
        <v>2016</v>
      </c>
      <c r="M23" s="335" t="str">
        <f ca="1">VLOOKUP(A23,'2020_ModelLink'!$A$3:$S$332,18,FALSE)</f>
        <v>N/A</v>
      </c>
      <c r="N23" s="335" t="str">
        <f ca="1">VLOOKUP(A23,'2020_ModelLink'!$A$3:$S$332,19,FALSE)</f>
        <v>N/A</v>
      </c>
      <c r="O23" s="721">
        <f ca="1">VLOOKUP($A23,'2016_ModelLink'!$A$3:$S$332,17,FALSE)</f>
        <v>5255.0309510069064</v>
      </c>
      <c r="P23" s="721">
        <f ca="1">VLOOKUP($A23,'2017_ModelLink'!$A$3:$S$332,17,FALSE)</f>
        <v>43831.899768361509</v>
      </c>
      <c r="Q23" s="721">
        <f ca="1">VLOOKUP($A23,'2018_ModelLink'!$A$3:$S$332,17,FALSE)</f>
        <v>54188.848009123576</v>
      </c>
      <c r="R23" s="721">
        <f ca="1">VLOOKUP($A23,'2019_ModelLink'!$A$3:$S$332,17,FALSE)</f>
        <v>3454.0071397847041</v>
      </c>
      <c r="S23" s="721">
        <f ca="1">VLOOKUP($A23,'2020_ModelLink'!$A$3:$S$332,17,FALSE)</f>
        <v>232.20193826509961</v>
      </c>
      <c r="T23" s="307">
        <f>VLOOKUP(A23,Targets!$A$1:$J$301,5,FALSE)</f>
        <v>5507.9846566140059</v>
      </c>
      <c r="U23" s="307">
        <f>VLOOKUP(A23,Targets!$A$1:$J$301,5,FALSE)</f>
        <v>5507.9846566140059</v>
      </c>
      <c r="V23" s="307">
        <f>VLOOKUP(A23,Targets!$A$1:$J$301,5,FALSE)</f>
        <v>5507.9846566140059</v>
      </c>
      <c r="W23" s="307">
        <f>VLOOKUP(A23,Targets!$A$1:$J$301,5,FALSE)*3</f>
        <v>16523.953969842019</v>
      </c>
      <c r="X23" s="307">
        <f>VLOOKUP(A23,Targets!$A$1:$J$301,6,FALSE)*2</f>
        <v>11015.969313228012</v>
      </c>
      <c r="Y23" s="429"/>
      <c r="Z23" s="429"/>
      <c r="AA23" s="542"/>
      <c r="AB23" s="21"/>
    </row>
    <row r="24" spans="1:28" ht="210">
      <c r="A24" s="31">
        <v>21</v>
      </c>
      <c r="B24" s="22" t="s">
        <v>39</v>
      </c>
      <c r="C24" s="22" t="s">
        <v>50</v>
      </c>
      <c r="D24" s="22" t="s">
        <v>67</v>
      </c>
      <c r="E24" s="23" t="s">
        <v>68</v>
      </c>
      <c r="F24" s="22" t="s">
        <v>63</v>
      </c>
      <c r="G24" s="22" t="s">
        <v>69</v>
      </c>
      <c r="H24" s="22" t="s">
        <v>30</v>
      </c>
      <c r="I24" s="22" t="s">
        <v>70</v>
      </c>
      <c r="J24" s="22" t="s">
        <v>79</v>
      </c>
      <c r="K24" s="22" t="s">
        <v>47</v>
      </c>
      <c r="L24" s="22">
        <v>2016</v>
      </c>
      <c r="M24" s="335" t="str">
        <f ca="1">VLOOKUP(A24,'2020_ModelLink'!$A$3:$S$332,18,FALSE)</f>
        <v>N/A</v>
      </c>
      <c r="N24" s="335" t="str">
        <f ca="1">VLOOKUP(A24,'2020_ModelLink'!$A$3:$S$332,19,FALSE)</f>
        <v>N/A</v>
      </c>
      <c r="O24" s="721">
        <f ca="1">VLOOKUP($A24,'2016_ModelLink'!$A$3:$S$332,17,FALSE)</f>
        <v>38821531.701111235</v>
      </c>
      <c r="P24" s="721">
        <f ca="1">VLOOKUP($A24,'2017_ModelLink'!$A$3:$S$332,17,FALSE)</f>
        <v>379473611.89551783</v>
      </c>
      <c r="Q24" s="721">
        <f ca="1">VLOOKUP($A24,'2018_ModelLink'!$A$3:$S$332,17,FALSE)</f>
        <v>421316669.03513592</v>
      </c>
      <c r="R24" s="721">
        <f ca="1">VLOOKUP($A24,'2019_ModelLink'!$A$3:$S$332,17,FALSE)</f>
        <v>20787082.358309519</v>
      </c>
      <c r="S24" s="721">
        <f ca="1">VLOOKUP($A24,'2020_ModelLink'!$A$3:$S$332,17,FALSE)</f>
        <v>2099626.6388987461</v>
      </c>
      <c r="T24" s="307">
        <f>VLOOKUP(A24,Targets!$A$1:$J$301,5,FALSE)</f>
        <v>40115348.347882681</v>
      </c>
      <c r="U24" s="307">
        <f>VLOOKUP(A24,Targets!$A$1:$J$301,5,FALSE)</f>
        <v>40115348.347882681</v>
      </c>
      <c r="V24" s="307">
        <f>VLOOKUP(A24,Targets!$A$1:$J$301,5,FALSE)</f>
        <v>40115348.347882681</v>
      </c>
      <c r="W24" s="307">
        <f>VLOOKUP(A24,Targets!$A$1:$J$301,5,FALSE)*3</f>
        <v>120346045.04364803</v>
      </c>
      <c r="X24" s="307">
        <f>VLOOKUP(A24,Targets!$A$1:$J$301,6,FALSE)*2</f>
        <v>80230696.695765361</v>
      </c>
      <c r="Y24" s="429"/>
      <c r="Z24" s="429"/>
      <c r="AA24" s="542"/>
      <c r="AB24" s="21"/>
    </row>
    <row r="25" spans="1:28" ht="210">
      <c r="A25" s="31">
        <v>22</v>
      </c>
      <c r="B25" s="22" t="s">
        <v>39</v>
      </c>
      <c r="C25" s="22" t="s">
        <v>50</v>
      </c>
      <c r="D25" s="22" t="s">
        <v>67</v>
      </c>
      <c r="E25" s="23" t="s">
        <v>68</v>
      </c>
      <c r="F25" s="22" t="s">
        <v>64</v>
      </c>
      <c r="G25" s="22" t="s">
        <v>69</v>
      </c>
      <c r="H25" s="22" t="s">
        <v>30</v>
      </c>
      <c r="I25" s="22" t="s">
        <v>70</v>
      </c>
      <c r="J25" s="22" t="s">
        <v>80</v>
      </c>
      <c r="K25" s="22" t="s">
        <v>47</v>
      </c>
      <c r="L25" s="22">
        <v>2016</v>
      </c>
      <c r="M25" s="335" t="str">
        <f ca="1">VLOOKUP(A25,'2020_ModelLink'!$A$3:$S$332,18,FALSE)</f>
        <v>N/A</v>
      </c>
      <c r="N25" s="335" t="str">
        <f ca="1">VLOOKUP(A25,'2020_ModelLink'!$A$3:$S$332,19,FALSE)</f>
        <v>N/A</v>
      </c>
      <c r="O25" s="721">
        <f ca="1">VLOOKUP($A25,'2016_ModelLink'!$A$3:$S$332,17,FALSE)</f>
        <v>27125921.26079388</v>
      </c>
      <c r="P25" s="721">
        <f ca="1">VLOOKUP($A25,'2017_ModelLink'!$A$3:$S$332,17,FALSE)</f>
        <v>331820857.0606364</v>
      </c>
      <c r="Q25" s="721">
        <f ca="1">VLOOKUP($A25,'2018_ModelLink'!$A$3:$S$332,17,FALSE)</f>
        <v>400887693.57401937</v>
      </c>
      <c r="R25" s="721">
        <f ca="1">VLOOKUP($A25,'2019_ModelLink'!$A$3:$S$332,17,FALSE)</f>
        <v>18073823.016866051</v>
      </c>
      <c r="S25" s="721">
        <f ca="1">VLOOKUP($A25,'2020_ModelLink'!$A$3:$S$332,17,FALSE)</f>
        <v>1675038.6580146365</v>
      </c>
      <c r="T25" s="307">
        <f>VLOOKUP(A25,Targets!$A$1:$J$301,5,FALSE)</f>
        <v>28047242.431992013</v>
      </c>
      <c r="U25" s="307">
        <f>VLOOKUP(A25,Targets!$A$1:$J$301,5,FALSE)</f>
        <v>28047242.431992013</v>
      </c>
      <c r="V25" s="307">
        <f>VLOOKUP(A25,Targets!$A$1:$J$301,5,FALSE)</f>
        <v>28047242.431992013</v>
      </c>
      <c r="W25" s="307">
        <f>VLOOKUP(A25,Targets!$A$1:$J$301,5,FALSE)*3</f>
        <v>84141727.295976043</v>
      </c>
      <c r="X25" s="307">
        <f>VLOOKUP(A25,Targets!$A$1:$J$301,6,FALSE)*2</f>
        <v>56094484.863984026</v>
      </c>
      <c r="Y25" s="429"/>
      <c r="Z25" s="429"/>
      <c r="AA25" s="542"/>
      <c r="AB25" s="21"/>
    </row>
    <row r="26" spans="1:28" ht="210">
      <c r="A26" s="31">
        <v>23</v>
      </c>
      <c r="B26" s="22" t="s">
        <v>39</v>
      </c>
      <c r="C26" s="22" t="s">
        <v>50</v>
      </c>
      <c r="D26" s="22" t="s">
        <v>67</v>
      </c>
      <c r="E26" s="23" t="s">
        <v>68</v>
      </c>
      <c r="F26" s="22" t="s">
        <v>65</v>
      </c>
      <c r="G26" s="22" t="s">
        <v>69</v>
      </c>
      <c r="H26" s="22" t="s">
        <v>30</v>
      </c>
      <c r="I26" s="22" t="s">
        <v>70</v>
      </c>
      <c r="J26" s="22" t="s">
        <v>81</v>
      </c>
      <c r="K26" s="22" t="s">
        <v>47</v>
      </c>
      <c r="L26" s="22">
        <v>2016</v>
      </c>
      <c r="M26" s="335" t="str">
        <f ca="1">VLOOKUP(A26,'2020_ModelLink'!$A$3:$S$332,18,FALSE)</f>
        <v>N/A</v>
      </c>
      <c r="N26" s="335" t="str">
        <f ca="1">VLOOKUP(A26,'2020_ModelLink'!$A$3:$S$332,19,FALSE)</f>
        <v>N/A</v>
      </c>
      <c r="O26" s="721">
        <f ca="1">VLOOKUP($A26,'2016_ModelLink'!$A$3:$S$332,17,FALSE)</f>
        <v>-182463.67101869613</v>
      </c>
      <c r="P26" s="721">
        <f ca="1">VLOOKUP($A26,'2017_ModelLink'!$A$3:$S$332,17,FALSE)</f>
        <v>-2209074.9557754756</v>
      </c>
      <c r="Q26" s="721">
        <f ca="1">VLOOKUP($A26,'2018_ModelLink'!$A$3:$S$332,17,FALSE)</f>
        <v>-5059196.4952959334</v>
      </c>
      <c r="R26" s="721">
        <f ca="1">VLOOKUP($A26,'2019_ModelLink'!$A$3:$S$332,17,FALSE)</f>
        <v>-21496.601848040758</v>
      </c>
      <c r="S26" s="721">
        <f ca="1">VLOOKUP($A26,'2020_ModelLink'!$A$3:$S$332,17,FALSE)</f>
        <v>12571.194248503609</v>
      </c>
      <c r="T26" s="307">
        <f>VLOOKUP(A26,Targets!$A$1:$J$301,5,FALSE)</f>
        <v>79197.589752993154</v>
      </c>
      <c r="U26" s="307">
        <f>VLOOKUP(A26,Targets!$A$1:$J$301,5,FALSE)</f>
        <v>79197.589752993154</v>
      </c>
      <c r="V26" s="307">
        <f>VLOOKUP(A26,Targets!$A$1:$J$301,5,FALSE)</f>
        <v>79197.589752993154</v>
      </c>
      <c r="W26" s="307">
        <f>VLOOKUP(A26,Targets!$A$1:$J$301,5,FALSE)*3</f>
        <v>237592.76925897948</v>
      </c>
      <c r="X26" s="307">
        <f>VLOOKUP(A26,Targets!$A$1:$J$301,6,FALSE)*2</f>
        <v>158395.17950598631</v>
      </c>
      <c r="Y26" s="429" t="s">
        <v>59</v>
      </c>
      <c r="Z26" s="429" t="str">
        <f>Definitions!C$7</f>
        <v>D.18-05-041: DAC = Bill accounts in census tracts corresponding to census tracts in the top quartile of CalEnviroScreen 3.0 scores.</v>
      </c>
      <c r="AA26" s="542"/>
      <c r="AB26" s="21"/>
    </row>
    <row r="27" spans="1:28" ht="210">
      <c r="A27" s="31">
        <v>24</v>
      </c>
      <c r="B27" s="22" t="s">
        <v>39</v>
      </c>
      <c r="C27" s="22" t="s">
        <v>50</v>
      </c>
      <c r="D27" s="22" t="s">
        <v>67</v>
      </c>
      <c r="E27" s="23" t="s">
        <v>68</v>
      </c>
      <c r="F27" s="22" t="s">
        <v>66</v>
      </c>
      <c r="G27" s="22" t="s">
        <v>69</v>
      </c>
      <c r="H27" s="22" t="s">
        <v>30</v>
      </c>
      <c r="I27" s="22" t="s">
        <v>70</v>
      </c>
      <c r="J27" s="22" t="s">
        <v>82</v>
      </c>
      <c r="K27" s="22" t="s">
        <v>47</v>
      </c>
      <c r="L27" s="22">
        <v>2016</v>
      </c>
      <c r="M27" s="335" t="str">
        <f ca="1">VLOOKUP(A27,'2020_ModelLink'!$A$3:$S$332,18,FALSE)</f>
        <v>N/A</v>
      </c>
      <c r="N27" s="335" t="str">
        <f ca="1">VLOOKUP(A27,'2020_ModelLink'!$A$3:$S$332,19,FALSE)</f>
        <v>N/A</v>
      </c>
      <c r="O27" s="721">
        <f ca="1">VLOOKUP($A27,'2016_ModelLink'!$A$3:$S$332,17,FALSE)</f>
        <v>-155482.52311888602</v>
      </c>
      <c r="P27" s="721">
        <f ca="1">VLOOKUP($A27,'2017_ModelLink'!$A$3:$S$332,17,FALSE)</f>
        <v>-2829173.7813169812</v>
      </c>
      <c r="Q27" s="721">
        <f ca="1">VLOOKUP($A27,'2018_ModelLink'!$A$3:$S$332,17,FALSE)</f>
        <v>-4936595.3158479817</v>
      </c>
      <c r="R27" s="721">
        <f ca="1">VLOOKUP($A27,'2019_ModelLink'!$A$3:$S$332,17,FALSE)</f>
        <v>-22659.07743245137</v>
      </c>
      <c r="S27" s="721">
        <f ca="1">VLOOKUP($A27,'2020_ModelLink'!$A$3:$S$332,17,FALSE)</f>
        <v>8115.8526963889335</v>
      </c>
      <c r="T27" s="307">
        <f>VLOOKUP(A27,Targets!$A$1:$J$301,5,FALSE)</f>
        <v>31994.154029110756</v>
      </c>
      <c r="U27" s="307">
        <f>VLOOKUP(A27,Targets!$A$1:$J$301,5,FALSE)</f>
        <v>31994.154029110756</v>
      </c>
      <c r="V27" s="307">
        <f>VLOOKUP(A27,Targets!$A$1:$J$301,5,FALSE)</f>
        <v>31994.154029110756</v>
      </c>
      <c r="W27" s="307">
        <f>VLOOKUP(A27,Targets!$A$1:$J$301,5,FALSE)*3</f>
        <v>95982.462087332271</v>
      </c>
      <c r="X27" s="307">
        <f>VLOOKUP(A27,Targets!$A$1:$J$301,6,FALSE)*2</f>
        <v>63988.308058221512</v>
      </c>
      <c r="Y27" s="429" t="s">
        <v>59</v>
      </c>
      <c r="Z27" s="429" t="str">
        <f>Definitions!C$7</f>
        <v>D.18-05-041: DAC = Bill accounts in census tracts corresponding to census tracts in the top quartile of CalEnviroScreen 3.0 scores.</v>
      </c>
      <c r="AA27" s="542"/>
      <c r="AB27" s="21"/>
    </row>
    <row r="28" spans="1:28" ht="195">
      <c r="A28" s="31">
        <v>25</v>
      </c>
      <c r="B28" s="22" t="s">
        <v>39</v>
      </c>
      <c r="C28" s="22" t="s">
        <v>50</v>
      </c>
      <c r="D28" s="22" t="s">
        <v>83</v>
      </c>
      <c r="E28" s="23" t="s">
        <v>84</v>
      </c>
      <c r="F28" s="22" t="s">
        <v>52</v>
      </c>
      <c r="G28" s="22" t="s">
        <v>85</v>
      </c>
      <c r="H28" s="22" t="s">
        <v>30</v>
      </c>
      <c r="I28" s="22" t="s">
        <v>86</v>
      </c>
      <c r="J28" s="22" t="s">
        <v>87</v>
      </c>
      <c r="K28" s="22" t="s">
        <v>47</v>
      </c>
      <c r="L28" s="22">
        <v>2016</v>
      </c>
      <c r="M28" s="335" t="str">
        <f ca="1">VLOOKUP(A28,'2020_ModelLink'!$A$3:$S$332,18,FALSE)</f>
        <v>N/A</v>
      </c>
      <c r="N28" s="335" t="str">
        <f ca="1">VLOOKUP(A28,'2020_ModelLink'!$A$3:$S$332,19,FALSE)</f>
        <v>N/A</v>
      </c>
      <c r="O28" s="721">
        <f ca="1">VLOOKUP($A28,'2016_ModelLink'!$A$3:$S$332,17,FALSE)</f>
        <v>787.5783519236569</v>
      </c>
      <c r="P28" s="721">
        <f ca="1">VLOOKUP($A28,'2017_ModelLink'!$A$3:$S$332,17,FALSE)</f>
        <v>1588.4303456033253</v>
      </c>
      <c r="Q28" s="721">
        <f ca="1">VLOOKUP($A28,'2018_ModelLink'!$A$3:$S$332,17,FALSE)</f>
        <v>203.68568231666202</v>
      </c>
      <c r="R28" s="721">
        <f ca="1">VLOOKUP($A28,'2019_ModelLink'!$A$3:$S$332,17,FALSE)</f>
        <v>214.51003992111239</v>
      </c>
      <c r="S28" s="721">
        <f ca="1">VLOOKUP($A28,'2020_ModelLink'!$A$3:$S$332,17,FALSE)</f>
        <v>274.32763831806716</v>
      </c>
      <c r="T28" s="307">
        <f>VLOOKUP(A28,Targets!$A$1:$J$301,5,FALSE)</f>
        <v>744.14292880362609</v>
      </c>
      <c r="U28" s="307">
        <f>VLOOKUP(A28,Targets!$A$1:$J$301,5,FALSE)</f>
        <v>744.14292880362609</v>
      </c>
      <c r="V28" s="307">
        <f>VLOOKUP(A28,Targets!$A$1:$J$301,5,FALSE)</f>
        <v>744.14292880362609</v>
      </c>
      <c r="W28" s="307">
        <f>VLOOKUP(A28,Targets!$A$1:$J$301,5,FALSE)*3</f>
        <v>2232.4287864108783</v>
      </c>
      <c r="X28" s="307">
        <f>VLOOKUP(A28,Targets!$A$1:$J$301,6,FALSE)*2</f>
        <v>1488.2858576072522</v>
      </c>
      <c r="Y28" s="429"/>
      <c r="Z28" s="429"/>
      <c r="AA28" s="542"/>
      <c r="AB28" s="21"/>
    </row>
    <row r="29" spans="1:28" ht="195">
      <c r="A29" s="31">
        <v>26</v>
      </c>
      <c r="B29" s="22" t="s">
        <v>39</v>
      </c>
      <c r="C29" s="22" t="s">
        <v>50</v>
      </c>
      <c r="D29" s="22" t="s">
        <v>83</v>
      </c>
      <c r="E29" s="23" t="s">
        <v>84</v>
      </c>
      <c r="F29" s="22" t="s">
        <v>55</v>
      </c>
      <c r="G29" s="22" t="s">
        <v>85</v>
      </c>
      <c r="H29" s="22" t="s">
        <v>30</v>
      </c>
      <c r="I29" s="22" t="s">
        <v>86</v>
      </c>
      <c r="J29" s="22" t="s">
        <v>88</v>
      </c>
      <c r="K29" s="22" t="s">
        <v>47</v>
      </c>
      <c r="L29" s="22">
        <v>2016</v>
      </c>
      <c r="M29" s="335" t="str">
        <f ca="1">VLOOKUP(A29,'2020_ModelLink'!$A$3:$S$332,18,FALSE)</f>
        <v>N/A</v>
      </c>
      <c r="N29" s="335" t="str">
        <f ca="1">VLOOKUP(A29,'2020_ModelLink'!$A$3:$S$332,19,FALSE)</f>
        <v>N/A</v>
      </c>
      <c r="O29" s="721">
        <f ca="1">VLOOKUP($A29,'2016_ModelLink'!$A$3:$S$332,17,FALSE)</f>
        <v>542.6586265746264</v>
      </c>
      <c r="P29" s="721">
        <f ca="1">VLOOKUP($A29,'2017_ModelLink'!$A$3:$S$332,17,FALSE)</f>
        <v>1405.8268413474159</v>
      </c>
      <c r="Q29" s="721">
        <f ca="1">VLOOKUP($A29,'2018_ModelLink'!$A$3:$S$332,17,FALSE)</f>
        <v>183.31711894124086</v>
      </c>
      <c r="R29" s="721">
        <f ca="1">VLOOKUP($A29,'2019_ModelLink'!$A$3:$S$332,17,FALSE)</f>
        <v>193.05904104331938</v>
      </c>
      <c r="S29" s="721">
        <f ca="1">VLOOKUP($A29,'2020_ModelLink'!$A$3:$S$332,17,FALSE)</f>
        <v>246.89488102674073</v>
      </c>
      <c r="T29" s="307">
        <f>VLOOKUP(A29,Targets!$A$1:$J$301,5,FALSE)</f>
        <v>516.87321544164672</v>
      </c>
      <c r="U29" s="307">
        <f>VLOOKUP(A29,Targets!$A$1:$J$301,5,FALSE)</f>
        <v>516.87321544164672</v>
      </c>
      <c r="V29" s="307">
        <f>VLOOKUP(A29,Targets!$A$1:$J$301,5,FALSE)</f>
        <v>516.87321544164672</v>
      </c>
      <c r="W29" s="307">
        <f>VLOOKUP(A29,Targets!$A$1:$J$301,5,FALSE)*3</f>
        <v>1550.6196463249403</v>
      </c>
      <c r="X29" s="307">
        <f>VLOOKUP(A29,Targets!$A$1:$J$301,6,FALSE)*2</f>
        <v>1033.7464308832934</v>
      </c>
      <c r="Y29" s="429"/>
      <c r="Z29" s="429"/>
      <c r="AA29" s="542"/>
      <c r="AB29" s="21"/>
    </row>
    <row r="30" spans="1:28" ht="195">
      <c r="A30" s="31">
        <v>27</v>
      </c>
      <c r="B30" s="22" t="s">
        <v>39</v>
      </c>
      <c r="C30" s="22" t="s">
        <v>50</v>
      </c>
      <c r="D30" s="22" t="s">
        <v>83</v>
      </c>
      <c r="E30" s="23" t="s">
        <v>84</v>
      </c>
      <c r="F30" s="22" t="s">
        <v>56</v>
      </c>
      <c r="G30" s="22" t="s">
        <v>85</v>
      </c>
      <c r="H30" s="22" t="s">
        <v>30</v>
      </c>
      <c r="I30" s="22" t="s">
        <v>86</v>
      </c>
      <c r="J30" s="22" t="s">
        <v>89</v>
      </c>
      <c r="K30" s="22" t="s">
        <v>47</v>
      </c>
      <c r="L30" s="22">
        <v>2016</v>
      </c>
      <c r="M30" s="335" t="str">
        <f ca="1">VLOOKUP(A30,'2020_ModelLink'!$A$3:$S$332,18,FALSE)</f>
        <v>N/A</v>
      </c>
      <c r="N30" s="335" t="str">
        <f ca="1">VLOOKUP(A30,'2020_ModelLink'!$A$3:$S$332,19,FALSE)</f>
        <v>N/A</v>
      </c>
      <c r="O30" s="721">
        <f ca="1">VLOOKUP($A30,'2016_ModelLink'!$A$3:$S$332,17,FALSE)</f>
        <v>4154146.5130920759</v>
      </c>
      <c r="P30" s="721">
        <f ca="1">VLOOKUP($A30,'2017_ModelLink'!$A$3:$S$332,17,FALSE)</f>
        <v>10289594.148304887</v>
      </c>
      <c r="Q30" s="721">
        <f ca="1">VLOOKUP($A30,'2018_ModelLink'!$A$3:$S$332,17,FALSE)</f>
        <v>869801.07254393562</v>
      </c>
      <c r="R30" s="721">
        <f ca="1">VLOOKUP($A30,'2019_ModelLink'!$A$3:$S$332,17,FALSE)</f>
        <v>768861.38582170778</v>
      </c>
      <c r="S30" s="721">
        <f ca="1">VLOOKUP($A30,'2020_ModelLink'!$A$3:$S$332,17,FALSE)</f>
        <v>803198.7375796258</v>
      </c>
      <c r="T30" s="307">
        <f>VLOOKUP(A30,Targets!$A$1:$J$301,5,FALSE)</f>
        <v>3659611.5060574478</v>
      </c>
      <c r="U30" s="307">
        <f>VLOOKUP(A30,Targets!$A$1:$J$301,5,FALSE)</f>
        <v>3659611.5060574478</v>
      </c>
      <c r="V30" s="307">
        <f>VLOOKUP(A30,Targets!$A$1:$J$301,5,FALSE)</f>
        <v>3659611.5060574478</v>
      </c>
      <c r="W30" s="307">
        <f>VLOOKUP(A30,Targets!$A$1:$J$301,5,FALSE)*3</f>
        <v>10978834.518172342</v>
      </c>
      <c r="X30" s="307">
        <f>VLOOKUP(A30,Targets!$A$1:$J$301,6,FALSE)*2</f>
        <v>7319223.0121148955</v>
      </c>
      <c r="Y30" s="429"/>
      <c r="Z30" s="429"/>
      <c r="AA30" s="542"/>
      <c r="AB30" s="21"/>
    </row>
    <row r="31" spans="1:28" ht="195">
      <c r="A31" s="31">
        <v>28</v>
      </c>
      <c r="B31" s="22" t="s">
        <v>39</v>
      </c>
      <c r="C31" s="22" t="s">
        <v>50</v>
      </c>
      <c r="D31" s="22" t="s">
        <v>83</v>
      </c>
      <c r="E31" s="23" t="s">
        <v>84</v>
      </c>
      <c r="F31" s="22" t="s">
        <v>57</v>
      </c>
      <c r="G31" s="22" t="s">
        <v>85</v>
      </c>
      <c r="H31" s="22" t="s">
        <v>30</v>
      </c>
      <c r="I31" s="22" t="s">
        <v>86</v>
      </c>
      <c r="J31" s="22" t="s">
        <v>57</v>
      </c>
      <c r="K31" s="22" t="s">
        <v>47</v>
      </c>
      <c r="L31" s="22">
        <v>2016</v>
      </c>
      <c r="M31" s="335" t="str">
        <f ca="1">VLOOKUP(A31,'2020_ModelLink'!$A$3:$S$332,18,FALSE)</f>
        <v>N/A</v>
      </c>
      <c r="N31" s="335" t="str">
        <f ca="1">VLOOKUP(A31,'2020_ModelLink'!$A$3:$S$332,19,FALSE)</f>
        <v>N/A</v>
      </c>
      <c r="O31" s="721">
        <f ca="1">VLOOKUP($A31,'2016_ModelLink'!$A$3:$S$332,17,FALSE)</f>
        <v>2906226.2701966031</v>
      </c>
      <c r="P31" s="721">
        <f ca="1">VLOOKUP($A31,'2017_ModelLink'!$A$3:$S$332,17,FALSE)</f>
        <v>9220973.1133457366</v>
      </c>
      <c r="Q31" s="721">
        <f ca="1">VLOOKUP($A31,'2018_ModelLink'!$A$3:$S$332,17,FALSE)</f>
        <v>782820.98602721537</v>
      </c>
      <c r="R31" s="721">
        <f ca="1">VLOOKUP($A31,'2019_ModelLink'!$A$3:$S$332,17,FALSE)</f>
        <v>691975.26557062077</v>
      </c>
      <c r="S31" s="721">
        <f ca="1">VLOOKUP($A31,'2020_ModelLink'!$A$3:$S$332,17,FALSE)</f>
        <v>722878.88297141332</v>
      </c>
      <c r="T31" s="307">
        <f>VLOOKUP(A31,Targets!$A$1:$J$301,5,FALSE)</f>
        <v>2598006.38224108</v>
      </c>
      <c r="U31" s="307">
        <f>VLOOKUP(A31,Targets!$A$1:$J$301,5,FALSE)</f>
        <v>2598006.38224108</v>
      </c>
      <c r="V31" s="307">
        <f>VLOOKUP(A31,Targets!$A$1:$J$301,5,FALSE)</f>
        <v>2598006.38224108</v>
      </c>
      <c r="W31" s="307">
        <f>VLOOKUP(A31,Targets!$A$1:$J$301,5,FALSE)*3</f>
        <v>7794019.1467232406</v>
      </c>
      <c r="X31" s="307">
        <f>VLOOKUP(A31,Targets!$A$1:$J$301,6,FALSE)*2</f>
        <v>5196012.7644821601</v>
      </c>
      <c r="Y31" s="429"/>
      <c r="Z31" s="429"/>
      <c r="AA31" s="542"/>
      <c r="AB31" s="21"/>
    </row>
    <row r="32" spans="1:28" ht="409.5">
      <c r="A32" s="31">
        <v>29</v>
      </c>
      <c r="B32" s="22" t="s">
        <v>39</v>
      </c>
      <c r="C32" s="22" t="s">
        <v>50</v>
      </c>
      <c r="D32" s="22" t="s">
        <v>83</v>
      </c>
      <c r="E32" s="23" t="s">
        <v>84</v>
      </c>
      <c r="F32" s="22" t="s">
        <v>58</v>
      </c>
      <c r="G32" s="22" t="s">
        <v>85</v>
      </c>
      <c r="H32" s="22" t="s">
        <v>30</v>
      </c>
      <c r="I32" s="22" t="s">
        <v>86</v>
      </c>
      <c r="J32" s="22" t="s">
        <v>58</v>
      </c>
      <c r="K32" s="22" t="s">
        <v>47</v>
      </c>
      <c r="L32" s="22">
        <v>2016</v>
      </c>
      <c r="M32" s="335" t="str">
        <f ca="1">VLOOKUP(A32,'2020_ModelLink'!$A$3:$S$332,18,FALSE)</f>
        <v>N/A</v>
      </c>
      <c r="N32" s="335" t="str">
        <f ca="1">VLOOKUP(A32,'2020_ModelLink'!$A$3:$S$332,19,FALSE)</f>
        <v>N/A</v>
      </c>
      <c r="O32" s="721">
        <f ca="1">VLOOKUP($A32,'2016_ModelLink'!$A$3:$S$332,17,FALSE)</f>
        <v>-16744.569711076456</v>
      </c>
      <c r="P32" s="721">
        <f ca="1">VLOOKUP($A32,'2017_ModelLink'!$A$3:$S$332,17,FALSE)</f>
        <v>-110984.98251064183</v>
      </c>
      <c r="Q32" s="721">
        <f ca="1">VLOOKUP($A32,'2018_ModelLink'!$A$3:$S$332,17,FALSE)</f>
        <v>-524.44432420719932</v>
      </c>
      <c r="R32" s="721">
        <f ca="1">VLOOKUP($A32,'2019_ModelLink'!$A$3:$S$332,17,FALSE)</f>
        <v>-1506.3048092467031</v>
      </c>
      <c r="S32" s="721">
        <f ca="1">VLOOKUP($A32,'2020_ModelLink'!$A$3:$S$332,17,FALSE)</f>
        <v>6013.9287557817761</v>
      </c>
      <c r="T32" s="307">
        <f>VLOOKUP(A32,Targets!$A$1:$J$301,5,FALSE)</f>
        <v>37425.980072347294</v>
      </c>
      <c r="U32" s="307">
        <f>VLOOKUP(A32,Targets!$A$1:$J$301,5,FALSE)</f>
        <v>37425.980072347294</v>
      </c>
      <c r="V32" s="307">
        <f>VLOOKUP(A32,Targets!$A$1:$J$301,5,FALSE)</f>
        <v>37425.980072347294</v>
      </c>
      <c r="W32" s="307">
        <f>VLOOKUP(A32,Targets!$A$1:$J$301,5,FALSE)*3</f>
        <v>112277.94021704188</v>
      </c>
      <c r="X32" s="307">
        <f>VLOOKUP(A32,Targets!$A$1:$J$301,6,FALSE)*2</f>
        <v>74851.960144694589</v>
      </c>
      <c r="Y32" s="429" t="s">
        <v>59</v>
      </c>
      <c r="Z32"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32" s="542"/>
      <c r="AB32" s="21"/>
    </row>
    <row r="33" spans="1:28" ht="409.5">
      <c r="A33" s="31">
        <v>30</v>
      </c>
      <c r="B33" s="22" t="s">
        <v>39</v>
      </c>
      <c r="C33" s="22" t="s">
        <v>50</v>
      </c>
      <c r="D33" s="22" t="s">
        <v>83</v>
      </c>
      <c r="E33" s="23" t="s">
        <v>84</v>
      </c>
      <c r="F33" s="22" t="s">
        <v>60</v>
      </c>
      <c r="G33" s="22" t="s">
        <v>85</v>
      </c>
      <c r="H33" s="22" t="s">
        <v>30</v>
      </c>
      <c r="I33" s="22" t="s">
        <v>86</v>
      </c>
      <c r="J33" s="22" t="s">
        <v>60</v>
      </c>
      <c r="K33" s="22" t="s">
        <v>47</v>
      </c>
      <c r="L33" s="22">
        <v>2016</v>
      </c>
      <c r="M33" s="335" t="str">
        <f ca="1">VLOOKUP(A33,'2020_ModelLink'!$A$3:$S$332,18,FALSE)</f>
        <v>N/A</v>
      </c>
      <c r="N33" s="335" t="str">
        <f ca="1">VLOOKUP(A33,'2020_ModelLink'!$A$3:$S$332,19,FALSE)</f>
        <v>N/A</v>
      </c>
      <c r="O33" s="721">
        <f ca="1">VLOOKUP($A33,'2016_ModelLink'!$A$3:$S$332,17,FALSE)</f>
        <v>-15105.782309444616</v>
      </c>
      <c r="P33" s="721">
        <f ca="1">VLOOKUP($A33,'2017_ModelLink'!$A$3:$S$332,17,FALSE)</f>
        <v>-104644.40102857532</v>
      </c>
      <c r="Q33" s="721">
        <f ca="1">VLOOKUP($A33,'2018_ModelLink'!$A$3:$S$332,17,FALSE)</f>
        <v>-471.99990429023001</v>
      </c>
      <c r="R33" s="721">
        <f ca="1">VLOOKUP($A33,'2019_ModelLink'!$A$3:$S$332,17,FALSE)</f>
        <v>-1355.6743642351378</v>
      </c>
      <c r="S33" s="721">
        <f ca="1">VLOOKUP($A33,'2020_ModelLink'!$A$3:$S$332,17,FALSE)</f>
        <v>5412.5360235868357</v>
      </c>
      <c r="T33" s="307">
        <f>VLOOKUP(A33,Targets!$A$1:$J$301,5,FALSE)</f>
        <v>29650.861157484051</v>
      </c>
      <c r="U33" s="307">
        <f>VLOOKUP(A33,Targets!$A$1:$J$301,5,FALSE)</f>
        <v>29650.861157484051</v>
      </c>
      <c r="V33" s="307">
        <f>VLOOKUP(A33,Targets!$A$1:$J$301,5,FALSE)</f>
        <v>29650.861157484051</v>
      </c>
      <c r="W33" s="307">
        <f>VLOOKUP(A33,Targets!$A$1:$J$301,5,FALSE)*3</f>
        <v>88952.583472452156</v>
      </c>
      <c r="X33" s="307">
        <f>VLOOKUP(A33,Targets!$A$1:$J$301,6,FALSE)*2</f>
        <v>59301.722314968101</v>
      </c>
      <c r="Y33" s="429" t="s">
        <v>59</v>
      </c>
      <c r="Z33"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33" s="542"/>
      <c r="AB33" s="21"/>
    </row>
    <row r="34" spans="1:28" ht="195">
      <c r="A34" s="31">
        <v>31</v>
      </c>
      <c r="B34" s="22" t="s">
        <v>39</v>
      </c>
      <c r="C34" s="22" t="s">
        <v>50</v>
      </c>
      <c r="D34" s="22" t="s">
        <v>83</v>
      </c>
      <c r="E34" s="23" t="s">
        <v>84</v>
      </c>
      <c r="F34" s="22" t="s">
        <v>61</v>
      </c>
      <c r="G34" s="22" t="s">
        <v>85</v>
      </c>
      <c r="H34" s="22" t="s">
        <v>30</v>
      </c>
      <c r="I34" s="22" t="s">
        <v>86</v>
      </c>
      <c r="J34" s="22" t="s">
        <v>61</v>
      </c>
      <c r="K34" s="22" t="s">
        <v>47</v>
      </c>
      <c r="L34" s="22">
        <v>2016</v>
      </c>
      <c r="M34" s="335" t="str">
        <f ca="1">VLOOKUP(A34,'2020_ModelLink'!$A$3:$S$332,18,FALSE)</f>
        <v>N/A</v>
      </c>
      <c r="N34" s="335" t="str">
        <f ca="1">VLOOKUP(A34,'2020_ModelLink'!$A$3:$S$332,19,FALSE)</f>
        <v>N/A</v>
      </c>
      <c r="O34" s="721">
        <f ca="1">VLOOKUP($A34,'2016_ModelLink'!$A$3:$S$332,17,FALSE)</f>
        <v>8400.9467557914049</v>
      </c>
      <c r="P34" s="721">
        <f ca="1">VLOOKUP($A34,'2017_ModelLink'!$A$3:$S$332,17,FALSE)</f>
        <v>18147.892622313058</v>
      </c>
      <c r="Q34" s="721">
        <f ca="1">VLOOKUP($A34,'2018_ModelLink'!$A$3:$S$332,17,FALSE)</f>
        <v>1123.4651062340597</v>
      </c>
      <c r="R34" s="721">
        <f ca="1">VLOOKUP($A34,'2019_ModelLink'!$A$3:$S$332,17,FALSE)</f>
        <v>1142.0903837244618</v>
      </c>
      <c r="S34" s="721">
        <f ca="1">VLOOKUP($A34,'2020_ModelLink'!$A$3:$S$332,17,FALSE)</f>
        <v>1110.0082738198946</v>
      </c>
      <c r="T34" s="307">
        <f>VLOOKUP(A34,Targets!$A$1:$J$301,5,FALSE)</f>
        <v>8007.9228269897503</v>
      </c>
      <c r="U34" s="307">
        <f>VLOOKUP(A34,Targets!$A$1:$J$301,5,FALSE)</f>
        <v>8007.9228269897503</v>
      </c>
      <c r="V34" s="307">
        <f>VLOOKUP(A34,Targets!$A$1:$J$301,5,FALSE)</f>
        <v>8007.9228269897503</v>
      </c>
      <c r="W34" s="307">
        <f>VLOOKUP(A34,Targets!$A$1:$J$301,5,FALSE)*3</f>
        <v>24023.768480969251</v>
      </c>
      <c r="X34" s="307">
        <f>VLOOKUP(A34,Targets!$A$1:$J$301,6,FALSE)*2</f>
        <v>16015.845653979501</v>
      </c>
      <c r="Y34" s="429"/>
      <c r="Z34" s="429"/>
      <c r="AA34" s="542"/>
      <c r="AB34" s="21"/>
    </row>
    <row r="35" spans="1:28" ht="195">
      <c r="A35" s="31">
        <v>32</v>
      </c>
      <c r="B35" s="22" t="s">
        <v>39</v>
      </c>
      <c r="C35" s="22" t="s">
        <v>50</v>
      </c>
      <c r="D35" s="22" t="s">
        <v>83</v>
      </c>
      <c r="E35" s="23" t="s">
        <v>84</v>
      </c>
      <c r="F35" s="22" t="s">
        <v>62</v>
      </c>
      <c r="G35" s="22" t="s">
        <v>85</v>
      </c>
      <c r="H35" s="22" t="s">
        <v>30</v>
      </c>
      <c r="I35" s="22" t="s">
        <v>86</v>
      </c>
      <c r="J35" s="22" t="s">
        <v>62</v>
      </c>
      <c r="K35" s="22" t="s">
        <v>47</v>
      </c>
      <c r="L35" s="22">
        <v>2016</v>
      </c>
      <c r="M35" s="335" t="str">
        <f ca="1">VLOOKUP(A35,'2020_ModelLink'!$A$3:$S$332,18,FALSE)</f>
        <v>N/A</v>
      </c>
      <c r="N35" s="335" t="str">
        <f ca="1">VLOOKUP(A35,'2020_ModelLink'!$A$3:$S$332,19,FALSE)</f>
        <v>N/A</v>
      </c>
      <c r="O35" s="721">
        <f ca="1">VLOOKUP($A35,'2016_ModelLink'!$A$3:$S$332,17,FALSE)</f>
        <v>5711.3254016515839</v>
      </c>
      <c r="P35" s="721">
        <f ca="1">VLOOKUP($A35,'2017_ModelLink'!$A$3:$S$332,17,FALSE)</f>
        <v>16486.053892001019</v>
      </c>
      <c r="Q35" s="721">
        <f ca="1">VLOOKUP($A35,'2018_ModelLink'!$A$3:$S$332,17,FALSE)</f>
        <v>1011.1186223961486</v>
      </c>
      <c r="R35" s="721">
        <f ca="1">VLOOKUP($A35,'2019_ModelLink'!$A$3:$S$332,17,FALSE)</f>
        <v>1027.8813725815721</v>
      </c>
      <c r="S35" s="721">
        <f ca="1">VLOOKUP($A35,'2020_ModelLink'!$A$3:$S$332,17,FALSE)</f>
        <v>999.00747290256629</v>
      </c>
      <c r="T35" s="307">
        <f>VLOOKUP(A35,Targets!$A$1:$J$301,5,FALSE)</f>
        <v>5507.9846566140022</v>
      </c>
      <c r="U35" s="307">
        <f>VLOOKUP(A35,Targets!$A$1:$J$301,5,FALSE)</f>
        <v>5507.9846566140022</v>
      </c>
      <c r="V35" s="307">
        <f>VLOOKUP(A35,Targets!$A$1:$J$301,5,FALSE)</f>
        <v>5507.9846566140022</v>
      </c>
      <c r="W35" s="307">
        <f>VLOOKUP(A35,Targets!$A$1:$J$301,5,FALSE)*3</f>
        <v>16523.953969842005</v>
      </c>
      <c r="X35" s="307">
        <f>VLOOKUP(A35,Targets!$A$1:$J$301,6,FALSE)*2</f>
        <v>11015.969313228004</v>
      </c>
      <c r="Y35" s="429"/>
      <c r="Z35" s="429"/>
      <c r="AA35" s="542"/>
      <c r="AB35" s="21"/>
    </row>
    <row r="36" spans="1:28" ht="195">
      <c r="A36" s="31">
        <v>33</v>
      </c>
      <c r="B36" s="22" t="s">
        <v>39</v>
      </c>
      <c r="C36" s="22" t="s">
        <v>50</v>
      </c>
      <c r="D36" s="22" t="s">
        <v>83</v>
      </c>
      <c r="E36" s="23" t="s">
        <v>84</v>
      </c>
      <c r="F36" s="22" t="s">
        <v>63</v>
      </c>
      <c r="G36" s="22" t="s">
        <v>85</v>
      </c>
      <c r="H36" s="22" t="s">
        <v>30</v>
      </c>
      <c r="I36" s="22" t="s">
        <v>86</v>
      </c>
      <c r="J36" s="22" t="s">
        <v>63</v>
      </c>
      <c r="K36" s="22" t="s">
        <v>47</v>
      </c>
      <c r="L36" s="22">
        <v>2016</v>
      </c>
      <c r="M36" s="335" t="str">
        <f ca="1">VLOOKUP(A36,'2020_ModelLink'!$A$3:$S$332,18,FALSE)</f>
        <v>N/A</v>
      </c>
      <c r="N36" s="335" t="str">
        <f ca="1">VLOOKUP(A36,'2020_ModelLink'!$A$3:$S$332,19,FALSE)</f>
        <v>N/A</v>
      </c>
      <c r="O36" s="721">
        <f ca="1">VLOOKUP($A36,'2016_ModelLink'!$A$3:$S$332,17,FALSE)</f>
        <v>45824586.977097183</v>
      </c>
      <c r="P36" s="721">
        <f ca="1">VLOOKUP($A36,'2017_ModelLink'!$A$3:$S$332,17,FALSE)</f>
        <v>133922082.97886318</v>
      </c>
      <c r="Q36" s="721">
        <f ca="1">VLOOKUP($A36,'2018_ModelLink'!$A$3:$S$332,17,FALSE)</f>
        <v>4982089.2948363777</v>
      </c>
      <c r="R36" s="721">
        <f ca="1">VLOOKUP($A36,'2019_ModelLink'!$A$3:$S$332,17,FALSE)</f>
        <v>4241739.1991328923</v>
      </c>
      <c r="S36" s="721">
        <f ca="1">VLOOKUP($A36,'2020_ModelLink'!$A$3:$S$332,17,FALSE)</f>
        <v>4092674.0239007822</v>
      </c>
      <c r="T36" s="307">
        <f>VLOOKUP(A36,Targets!$A$1:$J$301,5,FALSE)</f>
        <v>40115348.347882621</v>
      </c>
      <c r="U36" s="307">
        <f>VLOOKUP(A36,Targets!$A$1:$J$301,5,FALSE)</f>
        <v>40115348.347882621</v>
      </c>
      <c r="V36" s="307">
        <f>VLOOKUP(A36,Targets!$A$1:$J$301,5,FALSE)</f>
        <v>40115348.347882621</v>
      </c>
      <c r="W36" s="307">
        <f>VLOOKUP(A36,Targets!$A$1:$J$301,5,FALSE)*3</f>
        <v>120346045.04364786</v>
      </c>
      <c r="X36" s="307">
        <f>VLOOKUP(A36,Targets!$A$1:$J$301,6,FALSE)*2</f>
        <v>80230696.695765242</v>
      </c>
      <c r="Y36" s="429"/>
      <c r="Z36" s="429"/>
      <c r="AA36" s="542"/>
      <c r="AB36" s="21"/>
    </row>
    <row r="37" spans="1:28" ht="195">
      <c r="A37" s="31">
        <v>34</v>
      </c>
      <c r="B37" s="22" t="s">
        <v>39</v>
      </c>
      <c r="C37" s="22" t="s">
        <v>50</v>
      </c>
      <c r="D37" s="22" t="s">
        <v>83</v>
      </c>
      <c r="E37" s="23" t="s">
        <v>84</v>
      </c>
      <c r="F37" s="22" t="s">
        <v>64</v>
      </c>
      <c r="G37" s="22" t="s">
        <v>85</v>
      </c>
      <c r="H37" s="22" t="s">
        <v>30</v>
      </c>
      <c r="I37" s="22" t="s">
        <v>86</v>
      </c>
      <c r="J37" s="22" t="s">
        <v>64</v>
      </c>
      <c r="K37" s="22" t="s">
        <v>47</v>
      </c>
      <c r="L37" s="22">
        <v>2016</v>
      </c>
      <c r="M37" s="335" t="str">
        <f ca="1">VLOOKUP(A37,'2020_ModelLink'!$A$3:$S$332,18,FALSE)</f>
        <v>N/A</v>
      </c>
      <c r="N37" s="335" t="str">
        <f ca="1">VLOOKUP(A37,'2020_ModelLink'!$A$3:$S$332,19,FALSE)</f>
        <v>N/A</v>
      </c>
      <c r="O37" s="721">
        <f ca="1">VLOOKUP($A37,'2016_ModelLink'!$A$3:$S$332,17,FALSE)</f>
        <v>31600403.454184487</v>
      </c>
      <c r="P37" s="721">
        <f ca="1">VLOOKUP($A37,'2017_ModelLink'!$A$3:$S$332,17,FALSE)</f>
        <v>122257999.19741485</v>
      </c>
      <c r="Q37" s="721">
        <f ca="1">VLOOKUP($A37,'2018_ModelLink'!$A$3:$S$332,17,FALSE)</f>
        <v>4483880.4841350066</v>
      </c>
      <c r="R37" s="721">
        <f ca="1">VLOOKUP($A37,'2019_ModelLink'!$A$3:$S$332,17,FALSE)</f>
        <v>3817565.380350546</v>
      </c>
      <c r="S37" s="721">
        <f ca="1">VLOOKUP($A37,'2020_ModelLink'!$A$3:$S$332,17,FALSE)</f>
        <v>3683406.7190876557</v>
      </c>
      <c r="T37" s="307">
        <f>VLOOKUP(A37,Targets!$A$1:$J$301,5,FALSE)</f>
        <v>28047242.431991916</v>
      </c>
      <c r="U37" s="307">
        <f>VLOOKUP(A37,Targets!$A$1:$J$301,5,FALSE)</f>
        <v>28047242.431991916</v>
      </c>
      <c r="V37" s="307">
        <f>VLOOKUP(A37,Targets!$A$1:$J$301,5,FALSE)</f>
        <v>28047242.431991916</v>
      </c>
      <c r="W37" s="307">
        <f>VLOOKUP(A37,Targets!$A$1:$J$301,5,FALSE)*3</f>
        <v>84141727.295975745</v>
      </c>
      <c r="X37" s="307">
        <f>VLOOKUP(A37,Targets!$A$1:$J$301,6,FALSE)*2</f>
        <v>56094484.863983832</v>
      </c>
      <c r="Y37" s="429"/>
      <c r="Z37" s="429"/>
      <c r="AA37" s="542"/>
      <c r="AB37" s="21"/>
    </row>
    <row r="38" spans="1:28" ht="409.5">
      <c r="A38" s="31">
        <v>35</v>
      </c>
      <c r="B38" s="22" t="s">
        <v>39</v>
      </c>
      <c r="C38" s="22" t="s">
        <v>50</v>
      </c>
      <c r="D38" s="22" t="s">
        <v>83</v>
      </c>
      <c r="E38" s="23" t="s">
        <v>84</v>
      </c>
      <c r="F38" s="22" t="s">
        <v>65</v>
      </c>
      <c r="G38" s="22" t="s">
        <v>85</v>
      </c>
      <c r="H38" s="22" t="s">
        <v>30</v>
      </c>
      <c r="I38" s="22" t="s">
        <v>86</v>
      </c>
      <c r="J38" s="22" t="s">
        <v>65</v>
      </c>
      <c r="K38" s="22" t="s">
        <v>47</v>
      </c>
      <c r="L38" s="22">
        <v>2016</v>
      </c>
      <c r="M38" s="335" t="str">
        <f ca="1">VLOOKUP(A38,'2020_ModelLink'!$A$3:$S$332,18,FALSE)</f>
        <v>N/A</v>
      </c>
      <c r="N38" s="335" t="str">
        <f ca="1">VLOOKUP(A38,'2020_ModelLink'!$A$3:$S$332,19,FALSE)</f>
        <v>N/A</v>
      </c>
      <c r="O38" s="721">
        <f ca="1">VLOOKUP($A38,'2016_ModelLink'!$A$3:$S$332,17,FALSE)</f>
        <v>-156970.38357559391</v>
      </c>
      <c r="P38" s="721">
        <f ca="1">VLOOKUP($A38,'2017_ModelLink'!$A$3:$S$332,17,FALSE)</f>
        <v>-1677049.759178228</v>
      </c>
      <c r="Q38" s="721">
        <f ca="1">VLOOKUP($A38,'2018_ModelLink'!$A$3:$S$332,17,FALSE)</f>
        <v>-13188.591060963503</v>
      </c>
      <c r="R38" s="721">
        <f ca="1">VLOOKUP($A38,'2019_ModelLink'!$A$3:$S$332,17,FALSE)</f>
        <v>9607.369357042222</v>
      </c>
      <c r="S38" s="721">
        <f ca="1">VLOOKUP($A38,'2020_ModelLink'!$A$3:$S$332,17,FALSE)</f>
        <v>37061.967562241553</v>
      </c>
      <c r="T38" s="307">
        <f>VLOOKUP(A38,Targets!$A$1:$J$301,5,FALSE)</f>
        <v>79197.589752993154</v>
      </c>
      <c r="U38" s="307">
        <f>VLOOKUP(A38,Targets!$A$1:$J$301,5,FALSE)</f>
        <v>79197.589752993154</v>
      </c>
      <c r="V38" s="307">
        <f>VLOOKUP(A38,Targets!$A$1:$J$301,5,FALSE)</f>
        <v>79197.589752993154</v>
      </c>
      <c r="W38" s="307">
        <f>VLOOKUP(A38,Targets!$A$1:$J$301,5,FALSE)*3</f>
        <v>237592.76925897948</v>
      </c>
      <c r="X38" s="307">
        <f>VLOOKUP(A38,Targets!$A$1:$J$301,6,FALSE)*2</f>
        <v>158395.17950598631</v>
      </c>
      <c r="Y38" s="429" t="s">
        <v>59</v>
      </c>
      <c r="Z38"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38" s="542"/>
      <c r="AB38" s="21"/>
    </row>
    <row r="39" spans="1:28" ht="409.5">
      <c r="A39" s="31">
        <v>36</v>
      </c>
      <c r="B39" s="22" t="s">
        <v>39</v>
      </c>
      <c r="C39" s="22" t="s">
        <v>50</v>
      </c>
      <c r="D39" s="22" t="s">
        <v>83</v>
      </c>
      <c r="E39" s="23" t="s">
        <v>84</v>
      </c>
      <c r="F39" s="22" t="s">
        <v>66</v>
      </c>
      <c r="G39" s="22" t="s">
        <v>85</v>
      </c>
      <c r="H39" s="22" t="s">
        <v>30</v>
      </c>
      <c r="I39" s="22" t="s">
        <v>86</v>
      </c>
      <c r="J39" s="22" t="s">
        <v>66</v>
      </c>
      <c r="K39" s="22" t="s">
        <v>47</v>
      </c>
      <c r="L39" s="22">
        <v>2016</v>
      </c>
      <c r="M39" s="335" t="str">
        <f ca="1">VLOOKUP(A39,'2020_ModelLink'!$A$3:$S$332,18,FALSE)</f>
        <v>N/A</v>
      </c>
      <c r="N39" s="335" t="str">
        <f ca="1">VLOOKUP(A39,'2020_ModelLink'!$A$3:$S$332,19,FALSE)</f>
        <v>N/A</v>
      </c>
      <c r="O39" s="721">
        <f ca="1">VLOOKUP($A39,'2016_ModelLink'!$A$3:$S$332,17,FALSE)</f>
        <v>-140163.27495328779</v>
      </c>
      <c r="P39" s="721">
        <f ca="1">VLOOKUP($A39,'2017_ModelLink'!$A$3:$S$332,17,FALSE)</f>
        <v>-1581163.2365073944</v>
      </c>
      <c r="Q39" s="721">
        <f ca="1">VLOOKUP($A39,'2018_ModelLink'!$A$3:$S$332,17,FALSE)</f>
        <v>-11869.732269307806</v>
      </c>
      <c r="R39" s="721">
        <f ca="1">VLOOKUP($A39,'2019_ModelLink'!$A$3:$S$332,17,FALSE)</f>
        <v>8646.6326503955333</v>
      </c>
      <c r="S39" s="721">
        <f ca="1">VLOOKUP($A39,'2020_ModelLink'!$A$3:$S$332,17,FALSE)</f>
        <v>33355.771689643567</v>
      </c>
      <c r="T39" s="307">
        <f>VLOOKUP(A39,Targets!$A$1:$J$301,5,FALSE)</f>
        <v>31994.154029110756</v>
      </c>
      <c r="U39" s="307">
        <f>VLOOKUP(A39,Targets!$A$1:$J$301,5,FALSE)</f>
        <v>31994.154029110756</v>
      </c>
      <c r="V39" s="307">
        <f>VLOOKUP(A39,Targets!$A$1:$J$301,5,FALSE)</f>
        <v>31994.154029110756</v>
      </c>
      <c r="W39" s="307">
        <f>VLOOKUP(A39,Targets!$A$1:$J$301,5,FALSE)*3</f>
        <v>95982.462087332271</v>
      </c>
      <c r="X39" s="307">
        <f>VLOOKUP(A39,Targets!$A$1:$J$301,6,FALSE)*2</f>
        <v>63988.308058221512</v>
      </c>
      <c r="Y39" s="429" t="s">
        <v>59</v>
      </c>
      <c r="Z39"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39" s="542"/>
      <c r="AB39" s="21"/>
    </row>
    <row r="40" spans="1:28" ht="135">
      <c r="A40" s="31">
        <v>37</v>
      </c>
      <c r="B40" s="22" t="s">
        <v>39</v>
      </c>
      <c r="C40" s="22" t="s">
        <v>50</v>
      </c>
      <c r="D40" s="22" t="s">
        <v>90</v>
      </c>
      <c r="E40" s="23" t="s">
        <v>91</v>
      </c>
      <c r="F40" s="22" t="s">
        <v>92</v>
      </c>
      <c r="G40" s="22" t="s">
        <v>93</v>
      </c>
      <c r="H40" s="22" t="s">
        <v>30</v>
      </c>
      <c r="I40" s="22" t="s">
        <v>94</v>
      </c>
      <c r="J40" s="22" t="s">
        <v>92</v>
      </c>
      <c r="K40" s="22" t="s">
        <v>47</v>
      </c>
      <c r="L40" s="22">
        <v>2016</v>
      </c>
      <c r="M40" s="335">
        <f ca="1">VLOOKUP(A40,'2020_ModelLink'!$A$3:$S$332,18,FALSE)</f>
        <v>0</v>
      </c>
      <c r="N40" s="335">
        <f ca="1">VLOOKUP(A40,'2020_ModelLink'!$A$3:$S$332,19,FALSE)</f>
        <v>0</v>
      </c>
      <c r="O40" s="721">
        <f ca="1">VLOOKUP($A40,'2016_ModelLink'!$A$3:$S$332,17,FALSE)</f>
        <v>299.22560289557811</v>
      </c>
      <c r="P40" s="721">
        <f ca="1">VLOOKUP($A40,'2017_ModelLink'!$A$3:$S$332,17,FALSE)</f>
        <v>185.867699815739</v>
      </c>
      <c r="Q40" s="721">
        <f ca="1">VLOOKUP($A40,'2018_ModelLink'!$A$3:$S$332,17,FALSE)</f>
        <v>95.02296044661847</v>
      </c>
      <c r="R40" s="721">
        <f ca="1">VLOOKUP($A40,'2019_ModelLink'!$A$3:$S$332,17,FALSE)</f>
        <v>442.41093104497247</v>
      </c>
      <c r="S40" s="721">
        <f ca="1">VLOOKUP($A40,'2020_ModelLink'!$A$3:$S$332,17,FALSE)</f>
        <v>38.187030879415758</v>
      </c>
      <c r="T40" s="307">
        <f>VLOOKUP(A40,Targets!$A$1:$J$301,5,FALSE)</f>
        <v>290.537060458459</v>
      </c>
      <c r="U40" s="307">
        <f>VLOOKUP(A40,Targets!$A$1:$J$301,5,FALSE)</f>
        <v>290.537060458459</v>
      </c>
      <c r="V40" s="307">
        <f>VLOOKUP(A40,Targets!$A$1:$J$301,5,FALSE)</f>
        <v>290.537060458459</v>
      </c>
      <c r="W40" s="307">
        <f>VLOOKUP(A40,Targets!$A$1:$J$301,5,FALSE)*3</f>
        <v>871.61118137537699</v>
      </c>
      <c r="X40" s="307">
        <f>VLOOKUP(A40,Targets!$A$1:$J$301,6,FALSE)*2</f>
        <v>581.07412091691799</v>
      </c>
      <c r="Y40" s="429"/>
      <c r="Z40" s="429"/>
      <c r="AA40" s="542"/>
      <c r="AB40" s="21"/>
    </row>
    <row r="41" spans="1:28" ht="135">
      <c r="A41" s="31">
        <v>38</v>
      </c>
      <c r="B41" s="22" t="s">
        <v>39</v>
      </c>
      <c r="C41" s="22" t="s">
        <v>50</v>
      </c>
      <c r="D41" s="22" t="s">
        <v>90</v>
      </c>
      <c r="E41" s="23" t="s">
        <v>91</v>
      </c>
      <c r="F41" s="22" t="s">
        <v>95</v>
      </c>
      <c r="G41" s="22" t="s">
        <v>93</v>
      </c>
      <c r="H41" s="22" t="s">
        <v>30</v>
      </c>
      <c r="I41" s="22" t="s">
        <v>94</v>
      </c>
      <c r="J41" s="22" t="s">
        <v>95</v>
      </c>
      <c r="K41" s="22" t="s">
        <v>47</v>
      </c>
      <c r="L41" s="22">
        <v>2016</v>
      </c>
      <c r="M41" s="335">
        <f ca="1">VLOOKUP(A41,'2020_ModelLink'!$A$3:$S$332,18,FALSE)</f>
        <v>0</v>
      </c>
      <c r="N41" s="335">
        <f ca="1">VLOOKUP(A41,'2020_ModelLink'!$A$3:$S$332,19,FALSE)</f>
        <v>0</v>
      </c>
      <c r="O41" s="721">
        <f ca="1">VLOOKUP($A41,'2016_ModelLink'!$A$3:$S$332,17,FALSE)</f>
        <v>6.5983874556443195E-2</v>
      </c>
      <c r="P41" s="721">
        <f ca="1">VLOOKUP($A41,'2017_ModelLink'!$A$3:$S$332,17,FALSE)</f>
        <v>2.6670905663994444E-2</v>
      </c>
      <c r="Q41" s="721">
        <f ca="1">VLOOKUP($A41,'2018_ModelLink'!$A$3:$S$332,17,FALSE)</f>
        <v>1.5040071603837258E-2</v>
      </c>
      <c r="R41" s="721">
        <f ca="1">VLOOKUP($A41,'2019_ModelLink'!$A$3:$S$332,17,FALSE)</f>
        <v>0.12039327439739812</v>
      </c>
      <c r="S41" s="721">
        <f ca="1">VLOOKUP($A41,'2020_ModelLink'!$A$3:$S$332,17,FALSE)</f>
        <v>7.742125191806469E-3</v>
      </c>
      <c r="T41" s="307">
        <f>VLOOKUP(A41,Targets!$A$1:$J$301,5,FALSE)</f>
        <v>6.3296106683271139E-2</v>
      </c>
      <c r="U41" s="307">
        <f>VLOOKUP(A41,Targets!$A$1:$J$301,5,FALSE)</f>
        <v>6.3296106683271139E-2</v>
      </c>
      <c r="V41" s="307">
        <f>VLOOKUP(A41,Targets!$A$1:$J$301,5,FALSE)</f>
        <v>6.3296106683271139E-2</v>
      </c>
      <c r="W41" s="307">
        <f>VLOOKUP(A41,Targets!$A$1:$J$301,5,FALSE)*3</f>
        <v>0.18988832004981343</v>
      </c>
      <c r="X41" s="307">
        <f>VLOOKUP(A41,Targets!$A$1:$J$301,6,FALSE)*2</f>
        <v>0.12659221336654228</v>
      </c>
      <c r="Y41" s="429"/>
      <c r="Z41" s="429"/>
      <c r="AA41" s="542"/>
      <c r="AB41" s="21"/>
    </row>
    <row r="42" spans="1:28" ht="135">
      <c r="A42" s="31">
        <v>39</v>
      </c>
      <c r="B42" s="22" t="s">
        <v>39</v>
      </c>
      <c r="C42" s="22" t="s">
        <v>50</v>
      </c>
      <c r="D42" s="22" t="s">
        <v>90</v>
      </c>
      <c r="E42" s="23" t="s">
        <v>91</v>
      </c>
      <c r="F42" s="22" t="s">
        <v>96</v>
      </c>
      <c r="G42" s="22" t="s">
        <v>93</v>
      </c>
      <c r="H42" s="22" t="s">
        <v>30</v>
      </c>
      <c r="I42" s="22" t="s">
        <v>94</v>
      </c>
      <c r="J42" s="22" t="s">
        <v>96</v>
      </c>
      <c r="K42" s="22" t="s">
        <v>47</v>
      </c>
      <c r="L42" s="22">
        <v>2016</v>
      </c>
      <c r="M42" s="335">
        <f ca="1">VLOOKUP(A42,'2020_ModelLink'!$A$3:$S$332,18,FALSE)</f>
        <v>0</v>
      </c>
      <c r="N42" s="335">
        <f ca="1">VLOOKUP(A42,'2020_ModelLink'!$A$3:$S$332,19,FALSE)</f>
        <v>0</v>
      </c>
      <c r="O42" s="721">
        <f ca="1">VLOOKUP($A42,'2016_ModelLink'!$A$3:$S$332,17,FALSE)</f>
        <v>0.52573295173332313</v>
      </c>
      <c r="P42" s="721">
        <f ca="1">VLOOKUP($A42,'2017_ModelLink'!$A$3:$S$332,17,FALSE)</f>
        <v>0.19863807912374151</v>
      </c>
      <c r="Q42" s="721">
        <f ca="1">VLOOKUP($A42,'2018_ModelLink'!$A$3:$S$332,17,FALSE)</f>
        <v>3.3116917337878429E-2</v>
      </c>
      <c r="R42" s="721">
        <f ca="1">VLOOKUP($A42,'2019_ModelLink'!$A$3:$S$332,17,FALSE)</f>
        <v>1.06881631989195</v>
      </c>
      <c r="S42" s="721">
        <f ca="1">VLOOKUP($A42,'2020_ModelLink'!$A$3:$S$332,17,FALSE)</f>
        <v>9.7724503578921096E-2</v>
      </c>
      <c r="T42" s="307">
        <f>VLOOKUP(A42,Targets!$A$1:$J$301,5,FALSE)</f>
        <v>0.41563700720718572</v>
      </c>
      <c r="U42" s="307">
        <f>VLOOKUP(A42,Targets!$A$1:$J$301,5,FALSE)</f>
        <v>0.41563700720718572</v>
      </c>
      <c r="V42" s="307">
        <f>VLOOKUP(A42,Targets!$A$1:$J$301,5,FALSE)</f>
        <v>0.41563700720718572</v>
      </c>
      <c r="W42" s="307">
        <f>VLOOKUP(A42,Targets!$A$1:$J$301,5,FALSE)*3</f>
        <v>1.2469110216215571</v>
      </c>
      <c r="X42" s="307">
        <f>VLOOKUP(A42,Targets!$A$1:$J$301,6,FALSE)*2</f>
        <v>0.83127401441437143</v>
      </c>
      <c r="Y42" s="429" t="s">
        <v>48</v>
      </c>
      <c r="Z42" s="429" t="s">
        <v>49</v>
      </c>
      <c r="AA42" s="542"/>
      <c r="AB42" s="21"/>
    </row>
    <row r="43" spans="1:28" ht="135">
      <c r="A43" s="31">
        <v>40</v>
      </c>
      <c r="B43" s="22" t="s">
        <v>39</v>
      </c>
      <c r="C43" s="22" t="s">
        <v>50</v>
      </c>
      <c r="D43" s="22" t="s">
        <v>90</v>
      </c>
      <c r="E43" s="23" t="s">
        <v>91</v>
      </c>
      <c r="F43" s="22" t="s">
        <v>97</v>
      </c>
      <c r="G43" s="22" t="s">
        <v>93</v>
      </c>
      <c r="H43" s="22" t="s">
        <v>30</v>
      </c>
      <c r="I43" s="22" t="s">
        <v>94</v>
      </c>
      <c r="J43" s="22" t="s">
        <v>97</v>
      </c>
      <c r="K43" s="22" t="s">
        <v>47</v>
      </c>
      <c r="L43" s="22">
        <v>2016</v>
      </c>
      <c r="M43" s="335">
        <f ca="1">VLOOKUP(A43,'2020_ModelLink'!$A$3:$S$332,18,FALSE)</f>
        <v>0</v>
      </c>
      <c r="N43" s="335">
        <f ca="1">VLOOKUP(A43,'2020_ModelLink'!$A$3:$S$332,19,FALSE)</f>
        <v>0</v>
      </c>
      <c r="O43" s="721">
        <f ca="1">VLOOKUP($A43,'2016_ModelLink'!$A$3:$S$332,17,FALSE)</f>
        <v>420.38822782558418</v>
      </c>
      <c r="P43" s="721">
        <f ca="1">VLOOKUP($A43,'2017_ModelLink'!$A$3:$S$332,17,FALSE)</f>
        <v>381.82048624610803</v>
      </c>
      <c r="Q43" s="721">
        <f ca="1">VLOOKUP($A43,'2018_ModelLink'!$A$3:$S$332,17,FALSE)</f>
        <v>159.34630053275419</v>
      </c>
      <c r="R43" s="721">
        <f ca="1">VLOOKUP($A43,'2019_ModelLink'!$A$3:$S$332,17,FALSE)</f>
        <v>538.62799204923965</v>
      </c>
      <c r="S43" s="721">
        <f ca="1">VLOOKUP($A43,'2020_ModelLink'!$A$3:$S$332,17,FALSE)</f>
        <v>167.9982447322794</v>
      </c>
      <c r="T43" s="307">
        <f>VLOOKUP(A43,Targets!$A$1:$J$301,5,FALSE)</f>
        <v>409.29856805963675</v>
      </c>
      <c r="U43" s="307">
        <f>VLOOKUP(A43,Targets!$A$1:$J$301,5,FALSE)</f>
        <v>409.29856805963675</v>
      </c>
      <c r="V43" s="307">
        <f>VLOOKUP(A43,Targets!$A$1:$J$301,5,FALSE)</f>
        <v>409.29856805963675</v>
      </c>
      <c r="W43" s="307">
        <f>VLOOKUP(A43,Targets!$A$1:$J$301,5,FALSE)*3</f>
        <v>1227.8957041789104</v>
      </c>
      <c r="X43" s="307">
        <f>VLOOKUP(A43,Targets!$A$1:$J$301,6,FALSE)*2</f>
        <v>818.5971361192735</v>
      </c>
      <c r="Y43" s="429"/>
      <c r="Z43" s="429"/>
      <c r="AA43" s="542"/>
      <c r="AB43" s="21"/>
    </row>
    <row r="44" spans="1:28" ht="135">
      <c r="A44" s="31">
        <v>41</v>
      </c>
      <c r="B44" s="22" t="s">
        <v>39</v>
      </c>
      <c r="C44" s="22" t="s">
        <v>50</v>
      </c>
      <c r="D44" s="22" t="s">
        <v>90</v>
      </c>
      <c r="E44" s="23" t="s">
        <v>91</v>
      </c>
      <c r="F44" s="22" t="s">
        <v>98</v>
      </c>
      <c r="G44" s="22" t="s">
        <v>93</v>
      </c>
      <c r="H44" s="22" t="s">
        <v>30</v>
      </c>
      <c r="I44" s="22" t="s">
        <v>94</v>
      </c>
      <c r="J44" s="22" t="s">
        <v>98</v>
      </c>
      <c r="K44" s="22" t="s">
        <v>47</v>
      </c>
      <c r="L44" s="22">
        <v>2016</v>
      </c>
      <c r="M44" s="335">
        <f ca="1">VLOOKUP(A44,'2020_ModelLink'!$A$3:$S$332,18,FALSE)</f>
        <v>0</v>
      </c>
      <c r="N44" s="335">
        <f ca="1">VLOOKUP(A44,'2020_ModelLink'!$A$3:$S$332,19,FALSE)</f>
        <v>0</v>
      </c>
      <c r="O44" s="721">
        <f ca="1">VLOOKUP($A44,'2016_ModelLink'!$A$3:$S$332,17,FALSE)</f>
        <v>9.2702107710692289E-2</v>
      </c>
      <c r="P44" s="721">
        <f ca="1">VLOOKUP($A44,'2017_ModelLink'!$A$3:$S$332,17,FALSE)</f>
        <v>5.4788961069329976E-2</v>
      </c>
      <c r="Q44" s="721">
        <f ca="1">VLOOKUP($A44,'2018_ModelLink'!$A$3:$S$332,17,FALSE)</f>
        <v>2.5221059821279014E-2</v>
      </c>
      <c r="R44" s="721">
        <f ca="1">VLOOKUP($A44,'2019_ModelLink'!$A$3:$S$332,17,FALSE)</f>
        <v>0.14657682054043045</v>
      </c>
      <c r="S44" s="721">
        <f ca="1">VLOOKUP($A44,'2020_ModelLink'!$A$3:$S$332,17,FALSE)</f>
        <v>3.4060344906839936E-2</v>
      </c>
      <c r="T44" s="307">
        <f>VLOOKUP(A44,Targets!$A$1:$J$301,5,FALSE)</f>
        <v>8.9169367199944768E-2</v>
      </c>
      <c r="U44" s="307">
        <f>VLOOKUP(A44,Targets!$A$1:$J$301,5,FALSE)</f>
        <v>8.9169367199944768E-2</v>
      </c>
      <c r="V44" s="307">
        <f>VLOOKUP(A44,Targets!$A$1:$J$301,5,FALSE)</f>
        <v>8.9169367199944768E-2</v>
      </c>
      <c r="W44" s="307">
        <f>VLOOKUP(A44,Targets!$A$1:$J$301,5,FALSE)*3</f>
        <v>0.26750810159983429</v>
      </c>
      <c r="X44" s="307">
        <f>VLOOKUP(A44,Targets!$A$1:$J$301,6,FALSE)*2</f>
        <v>0.17833873439988954</v>
      </c>
      <c r="Y44" s="429"/>
      <c r="Z44" s="429"/>
      <c r="AA44" s="542"/>
      <c r="AB44" s="21"/>
    </row>
    <row r="45" spans="1:28" ht="135">
      <c r="A45" s="31">
        <v>42</v>
      </c>
      <c r="B45" s="22" t="s">
        <v>39</v>
      </c>
      <c r="C45" s="22" t="s">
        <v>50</v>
      </c>
      <c r="D45" s="22" t="s">
        <v>90</v>
      </c>
      <c r="E45" s="23" t="s">
        <v>91</v>
      </c>
      <c r="F45" s="22" t="s">
        <v>99</v>
      </c>
      <c r="G45" s="22" t="s">
        <v>93</v>
      </c>
      <c r="H45" s="22" t="s">
        <v>30</v>
      </c>
      <c r="I45" s="22" t="s">
        <v>94</v>
      </c>
      <c r="J45" s="22" t="s">
        <v>99</v>
      </c>
      <c r="K45" s="22" t="s">
        <v>47</v>
      </c>
      <c r="L45" s="22">
        <v>2016</v>
      </c>
      <c r="M45" s="335">
        <f ca="1">VLOOKUP(A45,'2020_ModelLink'!$A$3:$S$332,18,FALSE)</f>
        <v>0</v>
      </c>
      <c r="N45" s="335">
        <f ca="1">VLOOKUP(A45,'2020_ModelLink'!$A$3:$S$332,19,FALSE)</f>
        <v>0</v>
      </c>
      <c r="O45" s="721">
        <f ca="1">VLOOKUP($A45,'2016_ModelLink'!$A$3:$S$332,17,FALSE)</f>
        <v>0.7386130785174343</v>
      </c>
      <c r="P45" s="721">
        <f ca="1">VLOOKUP($A45,'2017_ModelLink'!$A$3:$S$332,17,FALSE)</f>
        <v>0.40805415913151299</v>
      </c>
      <c r="Q45" s="721">
        <f ca="1">VLOOKUP($A45,'2018_ModelLink'!$A$3:$S$332,17,FALSE)</f>
        <v>5.5534559626822765E-2</v>
      </c>
      <c r="R45" s="721">
        <f ca="1">VLOOKUP($A45,'2019_ModelLink'!$A$3:$S$332,17,FALSE)</f>
        <v>1.3012661936111558</v>
      </c>
      <c r="S45" s="721">
        <f ca="1">VLOOKUP($A45,'2020_ModelLink'!$A$3:$S$332,17,FALSE)</f>
        <v>0.4299246286110649</v>
      </c>
      <c r="T45" s="307">
        <f>VLOOKUP(A45,Targets!$A$1:$J$301,5,FALSE)</f>
        <v>0.58553504883008811</v>
      </c>
      <c r="U45" s="307">
        <f>VLOOKUP(A45,Targets!$A$1:$J$301,5,FALSE)</f>
        <v>0.58553504883008811</v>
      </c>
      <c r="V45" s="307">
        <f>VLOOKUP(A45,Targets!$A$1:$J$301,5,FALSE)</f>
        <v>0.58553504883008811</v>
      </c>
      <c r="W45" s="307">
        <f>VLOOKUP(A45,Targets!$A$1:$J$301,5,FALSE)*3</f>
        <v>1.7566051464902643</v>
      </c>
      <c r="X45" s="307">
        <f>VLOOKUP(A45,Targets!$A$1:$J$301,6,FALSE)*2</f>
        <v>1.1710700976601762</v>
      </c>
      <c r="Y45" s="429" t="s">
        <v>48</v>
      </c>
      <c r="Z45" s="429" t="s">
        <v>49</v>
      </c>
      <c r="AA45" s="542"/>
      <c r="AB45" s="21"/>
    </row>
    <row r="46" spans="1:28" ht="195">
      <c r="A46" s="31">
        <v>43</v>
      </c>
      <c r="B46" s="22" t="s">
        <v>39</v>
      </c>
      <c r="C46" s="22" t="s">
        <v>50</v>
      </c>
      <c r="D46" s="22" t="s">
        <v>100</v>
      </c>
      <c r="E46" s="23" t="s">
        <v>51</v>
      </c>
      <c r="F46" s="22" t="s">
        <v>52</v>
      </c>
      <c r="G46" s="22" t="s">
        <v>53</v>
      </c>
      <c r="H46" s="22" t="s">
        <v>30</v>
      </c>
      <c r="I46" s="22" t="s">
        <v>101</v>
      </c>
      <c r="J46" s="22" t="s">
        <v>52</v>
      </c>
      <c r="K46" s="22" t="s">
        <v>102</v>
      </c>
      <c r="L46" s="22">
        <v>2016</v>
      </c>
      <c r="M46" s="335" t="str">
        <f ca="1">VLOOKUP(A46,'2020_ModelLink'!$A$3:$S$332,18,FALSE)</f>
        <v>N/A</v>
      </c>
      <c r="N46" s="335" t="str">
        <f ca="1">VLOOKUP(A46,'2020_ModelLink'!$A$3:$S$332,19,FALSE)</f>
        <v>N/A</v>
      </c>
      <c r="O46" s="721">
        <f ca="1">VLOOKUP($A46,'2016_ModelLink'!$A$3:$S$332,17,FALSE)</f>
        <v>37359.942249947097</v>
      </c>
      <c r="P46" s="721">
        <f ca="1">VLOOKUP($A46,'2017_ModelLink'!$A$3:$S$332,17,FALSE)</f>
        <v>28969.162092688963</v>
      </c>
      <c r="Q46" s="721">
        <f ca="1">VLOOKUP($A46,'2018_ModelLink'!$A$3:$S$332,17,FALSE)</f>
        <v>66741.149765853857</v>
      </c>
      <c r="R46" s="721">
        <f ca="1">VLOOKUP($A46,'2019_ModelLink'!$A$3:$S$332,17,FALSE)</f>
        <v>111.749128412769</v>
      </c>
      <c r="S46" s="721">
        <f ca="1">VLOOKUP($A46,'2020_ModelLink'!$A$3:$S$332,17,FALSE)</f>
        <v>5310.0314466642203</v>
      </c>
      <c r="T46" s="307">
        <f>VLOOKUP(A46,Targets!$A$1:$J$301,5,FALSE)</f>
        <v>38055.983396743606</v>
      </c>
      <c r="U46" s="307">
        <f>VLOOKUP(A46,Targets!$A$1:$J$301,5,FALSE)</f>
        <v>38055.983396743606</v>
      </c>
      <c r="V46" s="307">
        <f>VLOOKUP(A46,Targets!$A$1:$J$301,5,FALSE)</f>
        <v>38055.983396743606</v>
      </c>
      <c r="W46" s="307">
        <f>VLOOKUP(A46,Targets!$A$1:$J$301,5,FALSE)*3</f>
        <v>114167.95019023083</v>
      </c>
      <c r="X46" s="307">
        <f>VLOOKUP(A46,Targets!$A$1:$J$301,6,FALSE)*2</f>
        <v>76111.966793487212</v>
      </c>
      <c r="Y46" s="429"/>
      <c r="Z46" s="429"/>
      <c r="AA46" s="542"/>
      <c r="AB46" s="21"/>
    </row>
    <row r="47" spans="1:28" ht="195">
      <c r="A47" s="31">
        <v>44</v>
      </c>
      <c r="B47" s="22" t="s">
        <v>39</v>
      </c>
      <c r="C47" s="22" t="s">
        <v>50</v>
      </c>
      <c r="D47" s="22" t="s">
        <v>100</v>
      </c>
      <c r="E47" s="23" t="s">
        <v>51</v>
      </c>
      <c r="F47" s="22" t="s">
        <v>55</v>
      </c>
      <c r="G47" s="22" t="s">
        <v>53</v>
      </c>
      <c r="H47" s="22" t="s">
        <v>30</v>
      </c>
      <c r="I47" s="22" t="s">
        <v>101</v>
      </c>
      <c r="J47" s="22" t="s">
        <v>55</v>
      </c>
      <c r="K47" s="22" t="s">
        <v>102</v>
      </c>
      <c r="L47" s="22">
        <v>2016</v>
      </c>
      <c r="M47" s="335" t="str">
        <f ca="1">VLOOKUP(A47,'2020_ModelLink'!$A$3:$S$332,18,FALSE)</f>
        <v>N/A</v>
      </c>
      <c r="N47" s="335" t="str">
        <f ca="1">VLOOKUP(A47,'2020_ModelLink'!$A$3:$S$332,19,FALSE)</f>
        <v>N/A</v>
      </c>
      <c r="O47" s="721">
        <f ca="1">VLOOKUP($A47,'2016_ModelLink'!$A$3:$S$332,17,FALSE)</f>
        <v>36438.311610215598</v>
      </c>
      <c r="P47" s="721">
        <f ca="1">VLOOKUP($A47,'2017_ModelLink'!$A$3:$S$332,17,FALSE)</f>
        <v>26882.147796141435</v>
      </c>
      <c r="Q47" s="721">
        <f ca="1">VLOOKUP($A47,'2018_ModelLink'!$A$3:$S$332,17,FALSE)</f>
        <v>68352.677258835494</v>
      </c>
      <c r="R47" s="721">
        <f ca="1">VLOOKUP($A47,'2019_ModelLink'!$A$3:$S$332,17,FALSE)</f>
        <v>74.695319897478598</v>
      </c>
      <c r="S47" s="721">
        <f ca="1">VLOOKUP($A47,'2020_ModelLink'!$A$3:$S$332,17,FALSE)</f>
        <v>5518.9322076968392</v>
      </c>
      <c r="T47" s="307">
        <f>VLOOKUP(A47,Targets!$A$1:$J$301,5,FALSE)</f>
        <v>35093.260469887748</v>
      </c>
      <c r="U47" s="307">
        <f>VLOOKUP(A47,Targets!$A$1:$J$301,5,FALSE)</f>
        <v>35093.260469887748</v>
      </c>
      <c r="V47" s="307">
        <f>VLOOKUP(A47,Targets!$A$1:$J$301,5,FALSE)</f>
        <v>35093.260469887748</v>
      </c>
      <c r="W47" s="307">
        <f>VLOOKUP(A47,Targets!$A$1:$J$301,5,FALSE)*3</f>
        <v>105279.78140966324</v>
      </c>
      <c r="X47" s="307">
        <f>VLOOKUP(A47,Targets!$A$1:$J$301,6,FALSE)*2</f>
        <v>70186.520939775495</v>
      </c>
      <c r="Y47" s="429"/>
      <c r="Z47" s="429"/>
      <c r="AA47" s="542"/>
      <c r="AB47" s="21"/>
    </row>
    <row r="48" spans="1:28" ht="195">
      <c r="A48" s="31">
        <v>45</v>
      </c>
      <c r="B48" s="22" t="s">
        <v>39</v>
      </c>
      <c r="C48" s="22" t="s">
        <v>50</v>
      </c>
      <c r="D48" s="22" t="s">
        <v>100</v>
      </c>
      <c r="E48" s="23" t="s">
        <v>51</v>
      </c>
      <c r="F48" s="22" t="s">
        <v>56</v>
      </c>
      <c r="G48" s="22" t="s">
        <v>53</v>
      </c>
      <c r="H48" s="22" t="s">
        <v>30</v>
      </c>
      <c r="I48" s="22" t="s">
        <v>101</v>
      </c>
      <c r="J48" s="22" t="s">
        <v>56</v>
      </c>
      <c r="K48" s="22" t="s">
        <v>102</v>
      </c>
      <c r="L48" s="22">
        <v>2016</v>
      </c>
      <c r="M48" s="335" t="str">
        <f ca="1">VLOOKUP(A48,'2020_ModelLink'!$A$3:$S$332,18,FALSE)</f>
        <v>N/A</v>
      </c>
      <c r="N48" s="335" t="str">
        <f ca="1">VLOOKUP(A48,'2020_ModelLink'!$A$3:$S$332,19,FALSE)</f>
        <v>N/A</v>
      </c>
      <c r="O48" s="721">
        <f ca="1">VLOOKUP($A48,'2016_ModelLink'!$A$3:$S$332,17,FALSE)</f>
        <v>67699410.8394586</v>
      </c>
      <c r="P48" s="721">
        <f ca="1">VLOOKUP($A48,'2017_ModelLink'!$A$3:$S$332,17,FALSE)</f>
        <v>172800465.07203701</v>
      </c>
      <c r="Q48" s="721">
        <f ca="1">VLOOKUP($A48,'2018_ModelLink'!$A$3:$S$332,17,FALSE)</f>
        <v>172460845.21371642</v>
      </c>
      <c r="R48" s="721">
        <f ca="1">VLOOKUP($A48,'2019_ModelLink'!$A$3:$S$332,17,FALSE)</f>
        <v>1032489.93762617</v>
      </c>
      <c r="S48" s="721">
        <f ca="1">VLOOKUP($A48,'2020_ModelLink'!$A$3:$S$332,17,FALSE)</f>
        <v>33263728.448498197</v>
      </c>
      <c r="T48" s="307">
        <f>VLOOKUP(A48,Targets!$A$1:$J$301,5,FALSE)</f>
        <v>70479219.393036798</v>
      </c>
      <c r="U48" s="307">
        <f>VLOOKUP(A48,Targets!$A$1:$J$301,5,FALSE)</f>
        <v>70479219.393036798</v>
      </c>
      <c r="V48" s="307">
        <f>VLOOKUP(A48,Targets!$A$1:$J$301,5,FALSE)</f>
        <v>70479219.393036798</v>
      </c>
      <c r="W48" s="307">
        <f>VLOOKUP(A48,Targets!$A$1:$J$301,5,FALSE)*3</f>
        <v>211437658.17911041</v>
      </c>
      <c r="X48" s="307">
        <f>VLOOKUP(A48,Targets!$A$1:$J$301,6,FALSE)*2</f>
        <v>140958438.7860736</v>
      </c>
      <c r="Y48" s="429"/>
      <c r="Z48" s="429"/>
      <c r="AA48" s="542"/>
      <c r="AB48" s="21"/>
    </row>
    <row r="49" spans="1:28" ht="195">
      <c r="A49" s="31">
        <v>46</v>
      </c>
      <c r="B49" s="22" t="s">
        <v>39</v>
      </c>
      <c r="C49" s="22" t="s">
        <v>50</v>
      </c>
      <c r="D49" s="22" t="s">
        <v>100</v>
      </c>
      <c r="E49" s="23" t="s">
        <v>51</v>
      </c>
      <c r="F49" s="22" t="s">
        <v>57</v>
      </c>
      <c r="G49" s="22" t="s">
        <v>53</v>
      </c>
      <c r="H49" s="22" t="s">
        <v>30</v>
      </c>
      <c r="I49" s="22" t="s">
        <v>101</v>
      </c>
      <c r="J49" s="22" t="s">
        <v>57</v>
      </c>
      <c r="K49" s="22" t="s">
        <v>102</v>
      </c>
      <c r="L49" s="22">
        <v>2016</v>
      </c>
      <c r="M49" s="335" t="str">
        <f ca="1">VLOOKUP(A49,'2020_ModelLink'!$A$3:$S$332,18,FALSE)</f>
        <v>N/A</v>
      </c>
      <c r="N49" s="335" t="str">
        <f ca="1">VLOOKUP(A49,'2020_ModelLink'!$A$3:$S$332,19,FALSE)</f>
        <v>N/A</v>
      </c>
      <c r="O49" s="721">
        <f ca="1">VLOOKUP($A49,'2016_ModelLink'!$A$3:$S$332,17,FALSE)</f>
        <v>54672508.702405602</v>
      </c>
      <c r="P49" s="721">
        <f ca="1">VLOOKUP($A49,'2017_ModelLink'!$A$3:$S$332,17,FALSE)</f>
        <v>158258802.05444619</v>
      </c>
      <c r="Q49" s="721">
        <f ca="1">VLOOKUP($A49,'2018_ModelLink'!$A$3:$S$332,17,FALSE)</f>
        <v>167737013.89033544</v>
      </c>
      <c r="R49" s="721">
        <f ca="1">VLOOKUP($A49,'2019_ModelLink'!$A$3:$S$332,17,FALSE)</f>
        <v>624041.56883064599</v>
      </c>
      <c r="S49" s="721">
        <f ca="1">VLOOKUP($A49,'2020_ModelLink'!$A$3:$S$332,17,FALSE)</f>
        <v>33868101.648062274</v>
      </c>
      <c r="T49" s="307">
        <f>VLOOKUP(A49,Targets!$A$1:$J$301,5,FALSE)</f>
        <v>53104884.395673916</v>
      </c>
      <c r="U49" s="307">
        <f>VLOOKUP(A49,Targets!$A$1:$J$301,5,FALSE)</f>
        <v>53104884.395673916</v>
      </c>
      <c r="V49" s="307">
        <f>VLOOKUP(A49,Targets!$A$1:$J$301,5,FALSE)</f>
        <v>53104884.395673916</v>
      </c>
      <c r="W49" s="307">
        <f>VLOOKUP(A49,Targets!$A$1:$J$301,5,FALSE)*3</f>
        <v>159314653.18702173</v>
      </c>
      <c r="X49" s="307">
        <f>VLOOKUP(A49,Targets!$A$1:$J$301,6,FALSE)*2</f>
        <v>106209768.79134783</v>
      </c>
      <c r="Y49" s="429"/>
      <c r="Z49" s="429"/>
      <c r="AA49" s="542"/>
      <c r="AB49" s="21"/>
    </row>
    <row r="50" spans="1:28" ht="195">
      <c r="A50" s="31">
        <v>47</v>
      </c>
      <c r="B50" s="22" t="s">
        <v>39</v>
      </c>
      <c r="C50" s="22" t="s">
        <v>50</v>
      </c>
      <c r="D50" s="22" t="s">
        <v>100</v>
      </c>
      <c r="E50" s="23" t="s">
        <v>51</v>
      </c>
      <c r="F50" s="22" t="s">
        <v>58</v>
      </c>
      <c r="G50" s="22" t="s">
        <v>53</v>
      </c>
      <c r="H50" s="22" t="s">
        <v>30</v>
      </c>
      <c r="I50" s="22" t="s">
        <v>101</v>
      </c>
      <c r="J50" s="22" t="s">
        <v>58</v>
      </c>
      <c r="K50" s="22" t="s">
        <v>102</v>
      </c>
      <c r="L50" s="22">
        <v>2016</v>
      </c>
      <c r="M50" s="335" t="str">
        <f ca="1">VLOOKUP(A50,'2020_ModelLink'!$A$3:$S$332,18,FALSE)</f>
        <v>N/A</v>
      </c>
      <c r="N50" s="335" t="str">
        <f ca="1">VLOOKUP(A50,'2020_ModelLink'!$A$3:$S$332,19,FALSE)</f>
        <v>N/A</v>
      </c>
      <c r="O50" s="721">
        <f ca="1">VLOOKUP($A50,'2016_ModelLink'!$A$3:$S$332,17,FALSE)</f>
        <v>822665.18352141499</v>
      </c>
      <c r="P50" s="721">
        <f ca="1">VLOOKUP($A50,'2017_ModelLink'!$A$3:$S$332,17,FALSE)</f>
        <v>-933885.90742931678</v>
      </c>
      <c r="Q50" s="721">
        <f ca="1">VLOOKUP($A50,'2018_ModelLink'!$A$3:$S$332,17,FALSE)</f>
        <v>-780082.90165939706</v>
      </c>
      <c r="R50" s="721">
        <f ca="1">VLOOKUP($A50,'2019_ModelLink'!$A$3:$S$332,17,FALSE)</f>
        <v>67210.402317334898</v>
      </c>
      <c r="S50" s="721">
        <f ca="1">VLOOKUP($A50,'2020_ModelLink'!$A$3:$S$332,17,FALSE)</f>
        <v>836574.30775762093</v>
      </c>
      <c r="T50" s="307">
        <f>VLOOKUP(A50,Targets!$A$1:$J$301,5,FALSE)</f>
        <v>885322.77227546775</v>
      </c>
      <c r="U50" s="307">
        <f>VLOOKUP(A50,Targets!$A$1:$J$301,5,FALSE)</f>
        <v>885322.77227546775</v>
      </c>
      <c r="V50" s="307">
        <f>VLOOKUP(A50,Targets!$A$1:$J$301,5,FALSE)</f>
        <v>885322.77227546775</v>
      </c>
      <c r="W50" s="307">
        <f>VLOOKUP(A50,Targets!$A$1:$J$301,5,FALSE)*3</f>
        <v>2655968.3168264031</v>
      </c>
      <c r="X50" s="307">
        <f>VLOOKUP(A50,Targets!$A$1:$J$301,6,FALSE)*2</f>
        <v>1770645.5445509355</v>
      </c>
      <c r="Y50" s="429" t="s">
        <v>48</v>
      </c>
      <c r="Z50" s="429" t="s">
        <v>49</v>
      </c>
      <c r="AA50" s="542"/>
      <c r="AB50" s="21"/>
    </row>
    <row r="51" spans="1:28" ht="195">
      <c r="A51" s="31">
        <v>48</v>
      </c>
      <c r="B51" s="22" t="s">
        <v>39</v>
      </c>
      <c r="C51" s="22" t="s">
        <v>50</v>
      </c>
      <c r="D51" s="22" t="s">
        <v>100</v>
      </c>
      <c r="E51" s="23" t="s">
        <v>51</v>
      </c>
      <c r="F51" s="22" t="s">
        <v>60</v>
      </c>
      <c r="G51" s="22" t="s">
        <v>53</v>
      </c>
      <c r="H51" s="22" t="s">
        <v>30</v>
      </c>
      <c r="I51" s="22" t="s">
        <v>101</v>
      </c>
      <c r="J51" s="22" t="s">
        <v>60</v>
      </c>
      <c r="K51" s="22" t="s">
        <v>102</v>
      </c>
      <c r="L51" s="22">
        <v>2016</v>
      </c>
      <c r="M51" s="335" t="str">
        <f ca="1">VLOOKUP(A51,'2020_ModelLink'!$A$3:$S$332,18,FALSE)</f>
        <v>N/A</v>
      </c>
      <c r="N51" s="335" t="str">
        <f ca="1">VLOOKUP(A51,'2020_ModelLink'!$A$3:$S$332,19,FALSE)</f>
        <v>N/A</v>
      </c>
      <c r="O51" s="721">
        <f ca="1">VLOOKUP($A51,'2016_ModelLink'!$A$3:$S$332,17,FALSE)</f>
        <v>716993.593016561</v>
      </c>
      <c r="P51" s="721">
        <f ca="1">VLOOKUP($A51,'2017_ModelLink'!$A$3:$S$332,17,FALSE)</f>
        <v>-835957.48843687319</v>
      </c>
      <c r="Q51" s="721">
        <f ca="1">VLOOKUP($A51,'2018_ModelLink'!$A$3:$S$332,17,FALSE)</f>
        <v>-790274.81353473954</v>
      </c>
      <c r="R51" s="721">
        <f ca="1">VLOOKUP($A51,'2019_ModelLink'!$A$3:$S$332,17,FALSE)</f>
        <v>38763.076341592903</v>
      </c>
      <c r="S51" s="721">
        <f ca="1">VLOOKUP($A51,'2020_ModelLink'!$A$3:$S$332,17,FALSE)</f>
        <v>845800.47900917358</v>
      </c>
      <c r="T51" s="307">
        <f>VLOOKUP(A51,Targets!$A$1:$J$301,5,FALSE)</f>
        <v>701654.88071326318</v>
      </c>
      <c r="U51" s="307">
        <f>VLOOKUP(A51,Targets!$A$1:$J$301,5,FALSE)</f>
        <v>701654.88071326318</v>
      </c>
      <c r="V51" s="307">
        <f>VLOOKUP(A51,Targets!$A$1:$J$301,5,FALSE)</f>
        <v>701654.88071326318</v>
      </c>
      <c r="W51" s="307">
        <f>VLOOKUP(A51,Targets!$A$1:$J$301,5,FALSE)*3</f>
        <v>2104964.6421397896</v>
      </c>
      <c r="X51" s="307">
        <f>VLOOKUP(A51,Targets!$A$1:$J$301,6,FALSE)*2</f>
        <v>1403309.7614265264</v>
      </c>
      <c r="Y51" s="429" t="s">
        <v>48</v>
      </c>
      <c r="Z51" s="429" t="s">
        <v>49</v>
      </c>
      <c r="AA51" s="542"/>
      <c r="AB51" s="21"/>
    </row>
    <row r="52" spans="1:28" ht="195">
      <c r="A52" s="31">
        <v>49</v>
      </c>
      <c r="B52" s="22" t="s">
        <v>39</v>
      </c>
      <c r="C52" s="22" t="s">
        <v>50</v>
      </c>
      <c r="D52" s="22" t="s">
        <v>100</v>
      </c>
      <c r="E52" s="23" t="s">
        <v>51</v>
      </c>
      <c r="F52" s="22" t="s">
        <v>61</v>
      </c>
      <c r="G52" s="22" t="s">
        <v>53</v>
      </c>
      <c r="H52" s="22" t="s">
        <v>30</v>
      </c>
      <c r="I52" s="22" t="s">
        <v>101</v>
      </c>
      <c r="J52" s="22" t="s">
        <v>61</v>
      </c>
      <c r="K52" s="22" t="s">
        <v>102</v>
      </c>
      <c r="L52" s="22">
        <v>2016</v>
      </c>
      <c r="M52" s="335" t="str">
        <f ca="1">VLOOKUP(A52,'2020_ModelLink'!$A$3:$S$332,18,FALSE)</f>
        <v>N/A</v>
      </c>
      <c r="N52" s="335" t="str">
        <f ca="1">VLOOKUP(A52,'2020_ModelLink'!$A$3:$S$332,19,FALSE)</f>
        <v>N/A</v>
      </c>
      <c r="O52" s="721">
        <f ca="1">VLOOKUP($A52,'2016_ModelLink'!$A$3:$S$332,17,FALSE)</f>
        <v>128250.001890332</v>
      </c>
      <c r="P52" s="721">
        <f ca="1">VLOOKUP($A52,'2017_ModelLink'!$A$3:$S$332,17,FALSE)</f>
        <v>269132.43180932821</v>
      </c>
      <c r="Q52" s="721">
        <f ca="1">VLOOKUP($A52,'2018_ModelLink'!$A$3:$S$332,17,FALSE)</f>
        <v>296697.17006932048</v>
      </c>
      <c r="R52" s="721">
        <f ca="1">VLOOKUP($A52,'2019_ModelLink'!$A$3:$S$332,17,FALSE)</f>
        <v>1260.8270398638001</v>
      </c>
      <c r="S52" s="721">
        <f ca="1">VLOOKUP($A52,'2020_ModelLink'!$A$3:$S$332,17,FALSE)</f>
        <v>6442.0477026642202</v>
      </c>
      <c r="T52" s="307">
        <f>VLOOKUP(A52,Targets!$A$1:$J$301,5,FALSE)</f>
        <v>141338.4441734117</v>
      </c>
      <c r="U52" s="307">
        <f>VLOOKUP(A52,Targets!$A$1:$J$301,5,FALSE)</f>
        <v>141338.4441734117</v>
      </c>
      <c r="V52" s="307">
        <f>VLOOKUP(A52,Targets!$A$1:$J$301,5,FALSE)</f>
        <v>141338.4441734117</v>
      </c>
      <c r="W52" s="307">
        <f>VLOOKUP(A52,Targets!$A$1:$J$301,5,FALSE)*3</f>
        <v>424015.3325202351</v>
      </c>
      <c r="X52" s="307">
        <f>VLOOKUP(A52,Targets!$A$1:$J$301,6,FALSE)*2</f>
        <v>282676.8883468234</v>
      </c>
      <c r="Y52" s="429"/>
      <c r="Z52" s="429"/>
      <c r="AA52" s="542"/>
      <c r="AB52" s="21"/>
    </row>
    <row r="53" spans="1:28" ht="195">
      <c r="A53" s="31">
        <v>50</v>
      </c>
      <c r="B53" s="22" t="s">
        <v>39</v>
      </c>
      <c r="C53" s="22" t="s">
        <v>50</v>
      </c>
      <c r="D53" s="22" t="s">
        <v>100</v>
      </c>
      <c r="E53" s="23" t="s">
        <v>51</v>
      </c>
      <c r="F53" s="22" t="s">
        <v>62</v>
      </c>
      <c r="G53" s="22" t="s">
        <v>53</v>
      </c>
      <c r="H53" s="22" t="s">
        <v>30</v>
      </c>
      <c r="I53" s="22" t="s">
        <v>101</v>
      </c>
      <c r="J53" s="22" t="s">
        <v>62</v>
      </c>
      <c r="K53" s="22" t="s">
        <v>102</v>
      </c>
      <c r="L53" s="22">
        <v>2016</v>
      </c>
      <c r="M53" s="335" t="str">
        <f ca="1">VLOOKUP(A53,'2020_ModelLink'!$A$3:$S$332,18,FALSE)</f>
        <v>N/A</v>
      </c>
      <c r="N53" s="335" t="str">
        <f ca="1">VLOOKUP(A53,'2020_ModelLink'!$A$3:$S$332,19,FALSE)</f>
        <v>N/A</v>
      </c>
      <c r="O53" s="721">
        <f ca="1">VLOOKUP($A53,'2016_ModelLink'!$A$3:$S$332,17,FALSE)</f>
        <v>97804.343194222107</v>
      </c>
      <c r="P53" s="721">
        <f ca="1">VLOOKUP($A53,'2017_ModelLink'!$A$3:$S$332,17,FALSE)</f>
        <v>236796.75498653812</v>
      </c>
      <c r="Q53" s="721">
        <f ca="1">VLOOKUP($A53,'2018_ModelLink'!$A$3:$S$332,17,FALSE)</f>
        <v>287151.68807807314</v>
      </c>
      <c r="R53" s="721">
        <f ca="1">VLOOKUP($A53,'2019_ModelLink'!$A$3:$S$332,17,FALSE)</f>
        <v>825.33274796973899</v>
      </c>
      <c r="S53" s="721">
        <f ca="1">VLOOKUP($A53,'2020_ModelLink'!$A$3:$S$332,17,FALSE)</f>
        <v>6198.1419747915243</v>
      </c>
      <c r="T53" s="307">
        <f>VLOOKUP(A53,Targets!$A$1:$J$301,5,FALSE)</f>
        <v>100926.04588659786</v>
      </c>
      <c r="U53" s="307">
        <f>VLOOKUP(A53,Targets!$A$1:$J$301,5,FALSE)</f>
        <v>100926.04588659786</v>
      </c>
      <c r="V53" s="307">
        <f>VLOOKUP(A53,Targets!$A$1:$J$301,5,FALSE)</f>
        <v>100926.04588659786</v>
      </c>
      <c r="W53" s="307">
        <f>VLOOKUP(A53,Targets!$A$1:$J$301,5,FALSE)*3</f>
        <v>302778.1376597936</v>
      </c>
      <c r="X53" s="307">
        <f>VLOOKUP(A53,Targets!$A$1:$J$301,6,FALSE)*2</f>
        <v>201852.09177319572</v>
      </c>
      <c r="Y53" s="429"/>
      <c r="Z53" s="429"/>
      <c r="AA53" s="542"/>
      <c r="AB53" s="21"/>
    </row>
    <row r="54" spans="1:28" ht="195">
      <c r="A54" s="31">
        <v>51</v>
      </c>
      <c r="B54" s="22" t="s">
        <v>39</v>
      </c>
      <c r="C54" s="22" t="s">
        <v>50</v>
      </c>
      <c r="D54" s="22" t="s">
        <v>100</v>
      </c>
      <c r="E54" s="23" t="s">
        <v>51</v>
      </c>
      <c r="F54" s="22" t="s">
        <v>63</v>
      </c>
      <c r="G54" s="22" t="s">
        <v>53</v>
      </c>
      <c r="H54" s="22" t="s">
        <v>30</v>
      </c>
      <c r="I54" s="22" t="s">
        <v>101</v>
      </c>
      <c r="J54" s="22" t="s">
        <v>63</v>
      </c>
      <c r="K54" s="22" t="s">
        <v>102</v>
      </c>
      <c r="L54" s="22">
        <v>2016</v>
      </c>
      <c r="M54" s="335" t="str">
        <f ca="1">VLOOKUP(A54,'2020_ModelLink'!$A$3:$S$332,18,FALSE)</f>
        <v>N/A</v>
      </c>
      <c r="N54" s="335" t="str">
        <f ca="1">VLOOKUP(A54,'2020_ModelLink'!$A$3:$S$332,19,FALSE)</f>
        <v>N/A</v>
      </c>
      <c r="O54" s="721">
        <f ca="1">VLOOKUP($A54,'2016_ModelLink'!$A$3:$S$332,17,FALSE)</f>
        <v>622467999.60087097</v>
      </c>
      <c r="P54" s="721">
        <f ca="1">VLOOKUP($A54,'2017_ModelLink'!$A$3:$S$332,17,FALSE)</f>
        <v>2169183161.5208969</v>
      </c>
      <c r="Q54" s="721">
        <f ca="1">VLOOKUP($A54,'2018_ModelLink'!$A$3:$S$332,17,FALSE)</f>
        <v>2170897257.3384709</v>
      </c>
      <c r="R54" s="721">
        <f ca="1">VLOOKUP($A54,'2019_ModelLink'!$A$3:$S$332,17,FALSE)</f>
        <v>11133227.128706099</v>
      </c>
      <c r="S54" s="721">
        <f ca="1">VLOOKUP($A54,'2020_ModelLink'!$A$3:$S$332,17,FALSE)</f>
        <v>53946269.870446295</v>
      </c>
      <c r="T54" s="307">
        <f>VLOOKUP(A54,Targets!$A$1:$J$301,5,FALSE)</f>
        <v>669008045.25631535</v>
      </c>
      <c r="U54" s="307">
        <f>VLOOKUP(A54,Targets!$A$1:$J$301,5,FALSE)</f>
        <v>669008045.25631535</v>
      </c>
      <c r="V54" s="307">
        <f>VLOOKUP(A54,Targets!$A$1:$J$301,5,FALSE)</f>
        <v>669008045.25631535</v>
      </c>
      <c r="W54" s="307">
        <f>VLOOKUP(A54,Targets!$A$1:$J$301,5,FALSE)*3</f>
        <v>2007024135.7689462</v>
      </c>
      <c r="X54" s="307">
        <f>VLOOKUP(A54,Targets!$A$1:$J$301,6,FALSE)*2</f>
        <v>1338016090.5126307</v>
      </c>
      <c r="Y54" s="429"/>
      <c r="Z54" s="429"/>
      <c r="AA54" s="542"/>
      <c r="AB54" s="21"/>
    </row>
    <row r="55" spans="1:28" ht="195">
      <c r="A55" s="31">
        <v>52</v>
      </c>
      <c r="B55" s="22" t="s">
        <v>39</v>
      </c>
      <c r="C55" s="22" t="s">
        <v>50</v>
      </c>
      <c r="D55" s="22" t="s">
        <v>100</v>
      </c>
      <c r="E55" s="23" t="s">
        <v>51</v>
      </c>
      <c r="F55" s="22" t="s">
        <v>64</v>
      </c>
      <c r="G55" s="22" t="s">
        <v>53</v>
      </c>
      <c r="H55" s="22" t="s">
        <v>30</v>
      </c>
      <c r="I55" s="22" t="s">
        <v>101</v>
      </c>
      <c r="J55" s="22" t="s">
        <v>64</v>
      </c>
      <c r="K55" s="22" t="s">
        <v>102</v>
      </c>
      <c r="L55" s="22">
        <v>2016</v>
      </c>
      <c r="M55" s="335" t="str">
        <f ca="1">VLOOKUP(A55,'2020_ModelLink'!$A$3:$S$332,18,FALSE)</f>
        <v>N/A</v>
      </c>
      <c r="N55" s="335" t="str">
        <f ca="1">VLOOKUP(A55,'2020_ModelLink'!$A$3:$S$332,19,FALSE)</f>
        <v>N/A</v>
      </c>
      <c r="O55" s="721">
        <f ca="1">VLOOKUP($A55,'2016_ModelLink'!$A$3:$S$332,17,FALSE)</f>
        <v>424281432.92512399</v>
      </c>
      <c r="P55" s="721">
        <f ca="1">VLOOKUP($A55,'2017_ModelLink'!$A$3:$S$332,17,FALSE)</f>
        <v>1934264941.6334074</v>
      </c>
      <c r="Q55" s="721">
        <f ca="1">VLOOKUP($A55,'2018_ModelLink'!$A$3:$S$332,17,FALSE)</f>
        <v>2075911835.8221164</v>
      </c>
      <c r="R55" s="721">
        <f ca="1">VLOOKUP($A55,'2019_ModelLink'!$A$3:$S$332,17,FALSE)</f>
        <v>6751199.06814628</v>
      </c>
      <c r="S55" s="721">
        <f ca="1">VLOOKUP($A55,'2020_ModelLink'!$A$3:$S$332,17,FALSE)</f>
        <v>46277626.747786298</v>
      </c>
      <c r="T55" s="307">
        <f>VLOOKUP(A55,Targets!$A$1:$J$301,5,FALSE)</f>
        <v>424986810.56923443</v>
      </c>
      <c r="U55" s="307">
        <f>VLOOKUP(A55,Targets!$A$1:$J$301,5,FALSE)</f>
        <v>424986810.56923443</v>
      </c>
      <c r="V55" s="307">
        <f>VLOOKUP(A55,Targets!$A$1:$J$301,5,FALSE)</f>
        <v>424986810.56923443</v>
      </c>
      <c r="W55" s="307">
        <f>VLOOKUP(A55,Targets!$A$1:$J$301,5,FALSE)*3</f>
        <v>1274960431.7077034</v>
      </c>
      <c r="X55" s="307">
        <f>VLOOKUP(A55,Targets!$A$1:$J$301,6,FALSE)*2</f>
        <v>849973621.13846886</v>
      </c>
      <c r="Y55" s="429"/>
      <c r="Z55" s="429"/>
      <c r="AA55" s="542"/>
      <c r="AB55" s="21"/>
    </row>
    <row r="56" spans="1:28" ht="195">
      <c r="A56" s="31">
        <v>53</v>
      </c>
      <c r="B56" s="22" t="s">
        <v>39</v>
      </c>
      <c r="C56" s="22" t="s">
        <v>50</v>
      </c>
      <c r="D56" s="22" t="s">
        <v>100</v>
      </c>
      <c r="E56" s="23" t="s">
        <v>51</v>
      </c>
      <c r="F56" s="22" t="s">
        <v>65</v>
      </c>
      <c r="G56" s="22" t="s">
        <v>53</v>
      </c>
      <c r="H56" s="22" t="s">
        <v>30</v>
      </c>
      <c r="I56" s="22" t="s">
        <v>101</v>
      </c>
      <c r="J56" s="22" t="s">
        <v>65</v>
      </c>
      <c r="K56" s="22" t="s">
        <v>102</v>
      </c>
      <c r="L56" s="22">
        <v>2016</v>
      </c>
      <c r="M56" s="335" t="str">
        <f ca="1">VLOOKUP(A56,'2020_ModelLink'!$A$3:$S$332,18,FALSE)</f>
        <v>N/A</v>
      </c>
      <c r="N56" s="335" t="str">
        <f ca="1">VLOOKUP(A56,'2020_ModelLink'!$A$3:$S$332,19,FALSE)</f>
        <v>N/A</v>
      </c>
      <c r="O56" s="721">
        <f ca="1">VLOOKUP($A56,'2016_ModelLink'!$A$3:$S$332,17,FALSE)</f>
        <v>1238409.8967502301</v>
      </c>
      <c r="P56" s="721">
        <f ca="1">VLOOKUP($A56,'2017_ModelLink'!$A$3:$S$332,17,FALSE)</f>
        <v>-28473475.208798978</v>
      </c>
      <c r="Q56" s="721">
        <f ca="1">VLOOKUP($A56,'2018_ModelLink'!$A$3:$S$332,17,FALSE)</f>
        <v>-29464988.738078784</v>
      </c>
      <c r="R56" s="721">
        <f ca="1">VLOOKUP($A56,'2019_ModelLink'!$A$3:$S$332,17,FALSE)</f>
        <v>806223.21620807797</v>
      </c>
      <c r="S56" s="721">
        <f ca="1">VLOOKUP($A56,'2020_ModelLink'!$A$3:$S$332,17,FALSE)</f>
        <v>1486699.8226902529</v>
      </c>
      <c r="T56" s="307">
        <f>VLOOKUP(A56,Targets!$A$1:$J$301,5,FALSE)</f>
        <v>1784810.1444445392</v>
      </c>
      <c r="U56" s="307">
        <f>VLOOKUP(A56,Targets!$A$1:$J$301,5,FALSE)</f>
        <v>1784810.1444445392</v>
      </c>
      <c r="V56" s="307">
        <f>VLOOKUP(A56,Targets!$A$1:$J$301,5,FALSE)</f>
        <v>1784810.1444445392</v>
      </c>
      <c r="W56" s="307">
        <f>VLOOKUP(A56,Targets!$A$1:$J$301,5,FALSE)*3</f>
        <v>5354430.4333336176</v>
      </c>
      <c r="X56" s="307">
        <f>VLOOKUP(A56,Targets!$A$1:$J$301,6,FALSE)*2</f>
        <v>3569620.2888890784</v>
      </c>
      <c r="Y56" s="429" t="s">
        <v>48</v>
      </c>
      <c r="Z56" s="429" t="s">
        <v>49</v>
      </c>
      <c r="AA56" s="542"/>
      <c r="AB56" s="21"/>
    </row>
    <row r="57" spans="1:28" ht="195">
      <c r="A57" s="31">
        <v>54</v>
      </c>
      <c r="B57" s="22" t="s">
        <v>39</v>
      </c>
      <c r="C57" s="22" t="s">
        <v>50</v>
      </c>
      <c r="D57" s="22" t="s">
        <v>100</v>
      </c>
      <c r="E57" s="23" t="s">
        <v>51</v>
      </c>
      <c r="F57" s="22" t="s">
        <v>66</v>
      </c>
      <c r="G57" s="22" t="s">
        <v>53</v>
      </c>
      <c r="H57" s="22" t="s">
        <v>30</v>
      </c>
      <c r="I57" s="22" t="s">
        <v>101</v>
      </c>
      <c r="J57" s="22" t="s">
        <v>66</v>
      </c>
      <c r="K57" s="22" t="s">
        <v>102</v>
      </c>
      <c r="L57" s="22">
        <v>2016</v>
      </c>
      <c r="M57" s="335" t="str">
        <f ca="1">VLOOKUP(A57,'2020_ModelLink'!$A$3:$S$332,18,FALSE)</f>
        <v>N/A</v>
      </c>
      <c r="N57" s="335" t="str">
        <f ca="1">VLOOKUP(A57,'2020_ModelLink'!$A$3:$S$332,19,FALSE)</f>
        <v>N/A</v>
      </c>
      <c r="O57" s="721">
        <f ca="1">VLOOKUP($A57,'2016_ModelLink'!$A$3:$S$332,17,FALSE)</f>
        <v>451045.580858309</v>
      </c>
      <c r="P57" s="721">
        <f ca="1">VLOOKUP($A57,'2017_ModelLink'!$A$3:$S$332,17,FALSE)</f>
        <v>-26334895.867990877</v>
      </c>
      <c r="Q57" s="721">
        <f ca="1">VLOOKUP($A57,'2018_ModelLink'!$A$3:$S$332,17,FALSE)</f>
        <v>-29056739.574923828</v>
      </c>
      <c r="R57" s="721">
        <f ca="1">VLOOKUP($A57,'2019_ModelLink'!$A$3:$S$332,17,FALSE)</f>
        <v>462418.04391632299</v>
      </c>
      <c r="S57" s="721">
        <f ca="1">VLOOKUP($A57,'2020_ModelLink'!$A$3:$S$332,17,FALSE)</f>
        <v>1235875.7957188531</v>
      </c>
      <c r="T57" s="307">
        <f>VLOOKUP(A57,Targets!$A$1:$J$301,5,FALSE)</f>
        <v>679849.33936842519</v>
      </c>
      <c r="U57" s="307">
        <f>VLOOKUP(A57,Targets!$A$1:$J$301,5,FALSE)</f>
        <v>679849.33936842519</v>
      </c>
      <c r="V57" s="307">
        <f>VLOOKUP(A57,Targets!$A$1:$J$301,5,FALSE)</f>
        <v>679849.33936842519</v>
      </c>
      <c r="W57" s="307">
        <f>VLOOKUP(A57,Targets!$A$1:$J$301,5,FALSE)*3</f>
        <v>2039548.0181052755</v>
      </c>
      <c r="X57" s="307">
        <f>VLOOKUP(A57,Targets!$A$1:$J$301,6,FALSE)*2</f>
        <v>1359698.6787368504</v>
      </c>
      <c r="Y57" s="429" t="s">
        <v>48</v>
      </c>
      <c r="Z57" s="429" t="s">
        <v>49</v>
      </c>
      <c r="AA57" s="542"/>
      <c r="AB57" s="21"/>
    </row>
    <row r="58" spans="1:28" ht="225">
      <c r="A58" s="31">
        <v>55</v>
      </c>
      <c r="B58" s="22" t="s">
        <v>39</v>
      </c>
      <c r="C58" s="22" t="s">
        <v>40</v>
      </c>
      <c r="D58" s="22" t="s">
        <v>103</v>
      </c>
      <c r="E58" s="23" t="s">
        <v>42</v>
      </c>
      <c r="F58" s="22" t="s">
        <v>43</v>
      </c>
      <c r="G58" s="22" t="s">
        <v>44</v>
      </c>
      <c r="H58" s="22" t="s">
        <v>30</v>
      </c>
      <c r="I58" s="22" t="s">
        <v>104</v>
      </c>
      <c r="J58" s="19" t="s">
        <v>46</v>
      </c>
      <c r="K58" s="22" t="s">
        <v>102</v>
      </c>
      <c r="L58" s="22">
        <v>2016</v>
      </c>
      <c r="M58" s="335" t="str">
        <f ca="1">VLOOKUP(A58,'2020_ModelLink'!$A$3:$S$332,18,FALSE)</f>
        <v>N/A</v>
      </c>
      <c r="N58" s="335" t="str">
        <f ca="1">VLOOKUP(A58,'2020_ModelLink'!$A$3:$S$332,19,FALSE)</f>
        <v>N/A</v>
      </c>
      <c r="O58" s="721">
        <f ca="1">VLOOKUP($A58,'2016_ModelLink'!$A$3:$S$332,17,FALSE)</f>
        <v>42453.529695588535</v>
      </c>
      <c r="P58" s="721">
        <f ca="1">VLOOKUP($A58,'2017_ModelLink'!$A$3:$S$332,17,FALSE)</f>
        <v>107458.39836377802</v>
      </c>
      <c r="Q58" s="721">
        <f ca="1">VLOOKUP($A58,'2018_ModelLink'!$A$3:$S$332,17,FALSE)</f>
        <v>114401.61230873302</v>
      </c>
      <c r="R58" s="721">
        <f ca="1">VLOOKUP($A58,'2019_ModelLink'!$A$3:$S$332,17,FALSE)</f>
        <v>646.64169377370911</v>
      </c>
      <c r="S58" s="721">
        <f ca="1">VLOOKUP($A58,'2020_ModelLink'!$A$3:$S$332,17,FALSE)</f>
        <v>28427.490403928648</v>
      </c>
      <c r="T58" s="307">
        <f>VLOOKUP(A58,Targets!$A$1:$J$301,5,FALSE)</f>
        <v>25311.150040951987</v>
      </c>
      <c r="U58" s="307">
        <f>VLOOKUP(A58,Targets!$A$1:$J$301,5,FALSE)</f>
        <v>25311.150040951987</v>
      </c>
      <c r="V58" s="307">
        <f>VLOOKUP(A58,Targets!$A$1:$J$301,5,FALSE)</f>
        <v>25311.150040951987</v>
      </c>
      <c r="W58" s="307">
        <f>VLOOKUP(A58,Targets!$A$1:$J$301,5,FALSE)*3</f>
        <v>75933.450122855953</v>
      </c>
      <c r="X58" s="307">
        <f>VLOOKUP(A58,Targets!$A$1:$J$301,6,FALSE)*2</f>
        <v>50622.300081903973</v>
      </c>
      <c r="Y58" s="429" t="s">
        <v>48</v>
      </c>
      <c r="Z58" s="429" t="s">
        <v>105</v>
      </c>
      <c r="AA58" s="542"/>
      <c r="AB58" s="21"/>
    </row>
    <row r="59" spans="1:28" ht="210">
      <c r="A59" s="31">
        <v>56</v>
      </c>
      <c r="B59" s="22" t="s">
        <v>39</v>
      </c>
      <c r="C59" s="22" t="s">
        <v>40</v>
      </c>
      <c r="D59" s="22" t="s">
        <v>106</v>
      </c>
      <c r="E59" s="23" t="s">
        <v>107</v>
      </c>
      <c r="F59" s="22" t="s">
        <v>108</v>
      </c>
      <c r="G59" s="22" t="s">
        <v>109</v>
      </c>
      <c r="H59" s="22" t="s">
        <v>30</v>
      </c>
      <c r="I59" s="22" t="s">
        <v>110</v>
      </c>
      <c r="J59" s="101" t="s">
        <v>111</v>
      </c>
      <c r="K59" s="22" t="s">
        <v>102</v>
      </c>
      <c r="L59" s="22">
        <v>2016</v>
      </c>
      <c r="M59" s="335">
        <f ca="1">VLOOKUP(A59,'2020_ModelLink'!$A$3:$S$332,18,FALSE)</f>
        <v>0</v>
      </c>
      <c r="N59" s="335">
        <f ca="1">VLOOKUP(A59,'2020_ModelLink'!$A$3:$S$332,19,FALSE)</f>
        <v>0</v>
      </c>
      <c r="O59" s="721">
        <f ca="1">VLOOKUP($A59,'2016_ModelLink'!$A$3:$S$332,17,FALSE)</f>
        <v>3.7510014566642389</v>
      </c>
      <c r="P59" s="721">
        <f ca="1">VLOOKUP($A59,'2017_ModelLink'!$A$3:$S$332,17,FALSE)</f>
        <v>7.3340558175075525</v>
      </c>
      <c r="Q59" s="721">
        <f ca="1">VLOOKUP($A59,'2018_ModelLink'!$A$3:$S$332,17,FALSE)</f>
        <v>13.499810030395137</v>
      </c>
      <c r="R59" s="721">
        <f ca="1">VLOOKUP($A59,'2019_ModelLink'!$A$3:$S$332,17,FALSE)</f>
        <v>0.70816317545376795</v>
      </c>
      <c r="S59" s="721">
        <f ca="1">VLOOKUP($A59,'2020_ModelLink'!$A$3:$S$332,17,FALSE)</f>
        <v>0.96906534940455347</v>
      </c>
      <c r="T59" s="307">
        <f>VLOOKUP(A59,Targets!$A$1:$J$301,5,FALSE)</f>
        <v>0.4587736522038085</v>
      </c>
      <c r="U59" s="307">
        <f>VLOOKUP(A59,Targets!$A$1:$J$301,5,FALSE)</f>
        <v>0.4587736522038085</v>
      </c>
      <c r="V59" s="307">
        <f>VLOOKUP(A59,Targets!$A$1:$J$301,5,FALSE)</f>
        <v>0.4587736522038085</v>
      </c>
      <c r="W59" s="307">
        <f>VLOOKUP(A59,Targets!$A$1:$J$301,5,FALSE)*3</f>
        <v>1.3763209566114254</v>
      </c>
      <c r="X59" s="307">
        <f>VLOOKUP(A59,Targets!$A$1:$J$301,6,FALSE)*2</f>
        <v>0.917547304407617</v>
      </c>
      <c r="Y59" s="429"/>
      <c r="Z59" s="429"/>
      <c r="AA59" s="542"/>
      <c r="AB59" s="21"/>
    </row>
    <row r="60" spans="1:28" ht="210">
      <c r="A60" s="31">
        <v>57</v>
      </c>
      <c r="B60" s="22" t="s">
        <v>39</v>
      </c>
      <c r="C60" s="22" t="s">
        <v>40</v>
      </c>
      <c r="D60" s="22" t="s">
        <v>106</v>
      </c>
      <c r="E60" s="23" t="s">
        <v>107</v>
      </c>
      <c r="F60" s="22" t="s">
        <v>112</v>
      </c>
      <c r="G60" s="22" t="s">
        <v>109</v>
      </c>
      <c r="H60" s="22" t="s">
        <v>30</v>
      </c>
      <c r="I60" s="22" t="s">
        <v>110</v>
      </c>
      <c r="J60" s="101" t="s">
        <v>113</v>
      </c>
      <c r="K60" s="22" t="s">
        <v>102</v>
      </c>
      <c r="L60" s="22">
        <v>2016</v>
      </c>
      <c r="M60" s="335">
        <f ca="1">VLOOKUP(A60,'2020_ModelLink'!$A$3:$S$332,18,FALSE)</f>
        <v>0</v>
      </c>
      <c r="N60" s="335">
        <f ca="1">VLOOKUP(A60,'2020_ModelLink'!$A$3:$S$332,19,FALSE)</f>
        <v>0</v>
      </c>
      <c r="O60" s="721">
        <f ca="1">VLOOKUP($A60,'2016_ModelLink'!$A$3:$S$332,17,FALSE)</f>
        <v>17791.417197742172</v>
      </c>
      <c r="P60" s="721">
        <f ca="1">VLOOKUP($A60,'2017_ModelLink'!$A$3:$S$332,17,FALSE)</f>
        <v>61441.877780799441</v>
      </c>
      <c r="Q60" s="721">
        <f ca="1">VLOOKUP($A60,'2018_ModelLink'!$A$3:$S$332,17,FALSE)</f>
        <v>98316.27268759931</v>
      </c>
      <c r="R60" s="721">
        <f ca="1">VLOOKUP($A60,'2019_ModelLink'!$A$3:$S$332,17,FALSE)</f>
        <v>3845.101555649735</v>
      </c>
      <c r="S60" s="721">
        <f ca="1">VLOOKUP($A60,'2020_ModelLink'!$A$3:$S$332,17,FALSE)</f>
        <v>7235.4013051573329</v>
      </c>
      <c r="T60" s="307">
        <f>VLOOKUP(A60,Targets!$A$1:$J$301,5,FALSE)</f>
        <v>3288.086214407957</v>
      </c>
      <c r="U60" s="307">
        <f>VLOOKUP(A60,Targets!$A$1:$J$301,5,FALSE)</f>
        <v>3288.086214407957</v>
      </c>
      <c r="V60" s="307">
        <f>VLOOKUP(A60,Targets!$A$1:$J$301,5,FALSE)</f>
        <v>3288.086214407957</v>
      </c>
      <c r="W60" s="307">
        <f>VLOOKUP(A60,Targets!$A$1:$J$301,5,FALSE)*3</f>
        <v>9864.2586432238713</v>
      </c>
      <c r="X60" s="307">
        <f>VLOOKUP(A60,Targets!$A$1:$J$301,6,FALSE)*2</f>
        <v>6576.1724288159139</v>
      </c>
      <c r="Y60" s="429"/>
      <c r="Z60" s="429"/>
      <c r="AA60" s="542"/>
      <c r="AB60" s="21"/>
    </row>
    <row r="61" spans="1:28" ht="210">
      <c r="A61" s="31">
        <v>58</v>
      </c>
      <c r="B61" s="22" t="s">
        <v>39</v>
      </c>
      <c r="C61" s="22" t="s">
        <v>40</v>
      </c>
      <c r="D61" s="22" t="s">
        <v>106</v>
      </c>
      <c r="E61" s="23" t="s">
        <v>107</v>
      </c>
      <c r="F61" s="22" t="s">
        <v>114</v>
      </c>
      <c r="G61" s="22" t="s">
        <v>109</v>
      </c>
      <c r="H61" s="22" t="s">
        <v>30</v>
      </c>
      <c r="I61" s="22" t="s">
        <v>110</v>
      </c>
      <c r="J61" s="101" t="s">
        <v>115</v>
      </c>
      <c r="K61" s="22" t="s">
        <v>102</v>
      </c>
      <c r="L61" s="22">
        <v>2016</v>
      </c>
      <c r="M61" s="335">
        <f ca="1">VLOOKUP(A61,'2020_ModelLink'!$A$3:$S$332,18,FALSE)</f>
        <v>0</v>
      </c>
      <c r="N61" s="335">
        <f ca="1">VLOOKUP(A61,'2020_ModelLink'!$A$3:$S$332,19,FALSE)</f>
        <v>0</v>
      </c>
      <c r="O61" s="721">
        <f ca="1">VLOOKUP($A61,'2016_ModelLink'!$A$3:$S$332,17,FALSE)</f>
        <v>3.8351758779093545</v>
      </c>
      <c r="P61" s="721">
        <f ca="1">VLOOKUP($A61,'2017_ModelLink'!$A$3:$S$332,17,FALSE)</f>
        <v>-854.08657015297149</v>
      </c>
      <c r="Q61" s="721">
        <f ca="1">VLOOKUP($A61,'2018_ModelLink'!$A$3:$S$332,17,FALSE)</f>
        <v>-1395.6140195788223</v>
      </c>
      <c r="R61" s="721">
        <f ca="1">VLOOKUP($A61,'2019_ModelLink'!$A$3:$S$332,17,FALSE)</f>
        <v>132.09404088456441</v>
      </c>
      <c r="S61" s="721">
        <f ca="1">VLOOKUP($A61,'2020_ModelLink'!$A$3:$S$332,17,FALSE)</f>
        <v>193.22635955579318</v>
      </c>
      <c r="T61" s="307">
        <f>VLOOKUP(A61,Targets!$A$1:$J$301,5,FALSE)</f>
        <v>-5.4602621085363587</v>
      </c>
      <c r="U61" s="307">
        <f>VLOOKUP(A61,Targets!$A$1:$J$301,5,FALSE)</f>
        <v>-5.4602621085363587</v>
      </c>
      <c r="V61" s="307">
        <f>VLOOKUP(A61,Targets!$A$1:$J$301,5,FALSE)</f>
        <v>-5.4602621085363587</v>
      </c>
      <c r="W61" s="307">
        <f>VLOOKUP(A61,Targets!$A$1:$J$301,5,FALSE)*3</f>
        <v>-16.380786325609076</v>
      </c>
      <c r="X61" s="307">
        <f>VLOOKUP(A61,Targets!$A$1:$J$301,6,FALSE)*2</f>
        <v>-10.920524217072717</v>
      </c>
      <c r="Y61" s="429" t="s">
        <v>116</v>
      </c>
      <c r="Z61" s="429" t="s">
        <v>117</v>
      </c>
      <c r="AA61" s="542"/>
      <c r="AB61" s="21"/>
    </row>
    <row r="62" spans="1:28" ht="210">
      <c r="A62" s="31">
        <v>59</v>
      </c>
      <c r="B62" s="22" t="s">
        <v>39</v>
      </c>
      <c r="C62" s="22" t="s">
        <v>40</v>
      </c>
      <c r="D62" s="22" t="s">
        <v>106</v>
      </c>
      <c r="E62" s="23" t="s">
        <v>118</v>
      </c>
      <c r="F62" s="22" t="s">
        <v>108</v>
      </c>
      <c r="G62" s="22" t="s">
        <v>119</v>
      </c>
      <c r="H62" s="22" t="s">
        <v>30</v>
      </c>
      <c r="I62" s="22" t="s">
        <v>120</v>
      </c>
      <c r="J62" s="101" t="s">
        <v>121</v>
      </c>
      <c r="K62" s="22" t="s">
        <v>102</v>
      </c>
      <c r="L62" s="22">
        <v>2016</v>
      </c>
      <c r="M62" s="335">
        <f ca="1">VLOOKUP(A62,'2020_ModelLink'!$A$3:$S$332,18,FALSE)</f>
        <v>0</v>
      </c>
      <c r="N62" s="335">
        <f ca="1">VLOOKUP(A62,'2020_ModelLink'!$A$3:$S$332,19,FALSE)</f>
        <v>0</v>
      </c>
      <c r="O62" s="721">
        <f ca="1">VLOOKUP($A62,'2016_ModelLink'!$A$3:$S$332,17,FALSE)</f>
        <v>3.2393629493648981</v>
      </c>
      <c r="P62" s="721">
        <f ca="1">VLOOKUP($A62,'2017_ModelLink'!$A$3:$S$332,17,FALSE)</f>
        <v>7.5565565730015862</v>
      </c>
      <c r="Q62" s="721">
        <f ca="1">VLOOKUP($A62,'2018_ModelLink'!$A$3:$S$332,17,FALSE)</f>
        <v>16.91622014213597</v>
      </c>
      <c r="R62" s="721">
        <f ca="1">VLOOKUP($A62,'2019_ModelLink'!$A$3:$S$332,17,FALSE)</f>
        <v>1.8624585434977029E-2</v>
      </c>
      <c r="S62" s="721">
        <f ca="1">VLOOKUP($A62,'2020_ModelLink'!$A$3:$S$332,17,FALSE)</f>
        <v>0.11933547106168485</v>
      </c>
      <c r="T62" s="307" t="str">
        <f>VLOOKUP(A62,Targets!$A$1:$J$301,5,FALSE)</f>
        <v>NOT FEASIBLE</v>
      </c>
      <c r="U62" s="307" t="str">
        <f>VLOOKUP(A62,Targets!$A$1:$J$301,5,FALSE)</f>
        <v>NOT FEASIBLE</v>
      </c>
      <c r="V62" s="307" t="str">
        <f>VLOOKUP(A62,Targets!$A$1:$J$301,5,FALSE)</f>
        <v>NOT FEASIBLE</v>
      </c>
      <c r="W62" s="307" t="e">
        <f>VLOOKUP(B62,Targets!$A$1:$J$301,5,FALSE)</f>
        <v>#N/A</v>
      </c>
      <c r="X62" s="307" t="e">
        <f>VLOOKUP(C62,Targets!$A$1:$J$301,5,FALSE)</f>
        <v>#N/A</v>
      </c>
      <c r="Y62" s="429"/>
      <c r="Z62" s="429"/>
      <c r="AA62" s="542"/>
      <c r="AB62" s="21"/>
    </row>
    <row r="63" spans="1:28" ht="210">
      <c r="A63" s="31">
        <v>60</v>
      </c>
      <c r="B63" s="22" t="s">
        <v>39</v>
      </c>
      <c r="C63" s="22" t="s">
        <v>40</v>
      </c>
      <c r="D63" s="22" t="s">
        <v>106</v>
      </c>
      <c r="E63" s="23" t="s">
        <v>118</v>
      </c>
      <c r="F63" s="22" t="s">
        <v>112</v>
      </c>
      <c r="G63" s="22" t="s">
        <v>119</v>
      </c>
      <c r="H63" s="22" t="s">
        <v>30</v>
      </c>
      <c r="I63" s="22" t="s">
        <v>120</v>
      </c>
      <c r="J63" s="101" t="s">
        <v>122</v>
      </c>
      <c r="K63" s="22" t="s">
        <v>102</v>
      </c>
      <c r="L63" s="22">
        <v>2016</v>
      </c>
      <c r="M63" s="335">
        <f ca="1">VLOOKUP(A63,'2020_ModelLink'!$A$3:$S$332,18,FALSE)</f>
        <v>0</v>
      </c>
      <c r="N63" s="335">
        <f ca="1">VLOOKUP(A63,'2020_ModelLink'!$A$3:$S$332,19,FALSE)</f>
        <v>0</v>
      </c>
      <c r="O63" s="721">
        <f ca="1">VLOOKUP($A63,'2016_ModelLink'!$A$3:$S$332,17,FALSE)</f>
        <v>26408.666304034865</v>
      </c>
      <c r="P63" s="721">
        <f ca="1">VLOOKUP($A63,'2017_ModelLink'!$A$3:$S$332,17,FALSE)</f>
        <v>65949.398012764752</v>
      </c>
      <c r="Q63" s="721">
        <f ca="1">VLOOKUP($A63,'2018_ModelLink'!$A$3:$S$332,17,FALSE)</f>
        <v>150255.9347505201</v>
      </c>
      <c r="R63" s="721">
        <f ca="1">VLOOKUP($A63,'2019_ModelLink'!$A$3:$S$332,17,FALSE)</f>
        <v>824.67508692301249</v>
      </c>
      <c r="S63" s="721">
        <f ca="1">VLOOKUP($A63,'2020_ModelLink'!$A$3:$S$332,17,FALSE)</f>
        <v>2185.5275346277672</v>
      </c>
      <c r="T63" s="307" t="str">
        <f>VLOOKUP(A63,Targets!$A$1:$J$301,5,FALSE)</f>
        <v>NOT FEASIBLE</v>
      </c>
      <c r="U63" s="307" t="str">
        <f>VLOOKUP(A63,Targets!$A$1:$J$301,5,FALSE)</f>
        <v>NOT FEASIBLE</v>
      </c>
      <c r="V63" s="307" t="str">
        <f>VLOOKUP(A63,Targets!$A$1:$J$301,5,FALSE)</f>
        <v>NOT FEASIBLE</v>
      </c>
      <c r="W63" s="307" t="e">
        <f>VLOOKUP(B63,Targets!$A$1:$J$301,5,FALSE)</f>
        <v>#N/A</v>
      </c>
      <c r="X63" s="307" t="e">
        <f>VLOOKUP(C63,Targets!$A$1:$J$301,5,FALSE)</f>
        <v>#N/A</v>
      </c>
      <c r="Y63" s="429"/>
      <c r="Z63" s="429"/>
      <c r="AA63" s="542"/>
      <c r="AB63" s="21"/>
    </row>
    <row r="64" spans="1:28" ht="240">
      <c r="A64" s="31">
        <v>61</v>
      </c>
      <c r="B64" s="22" t="s">
        <v>39</v>
      </c>
      <c r="C64" s="22" t="s">
        <v>40</v>
      </c>
      <c r="D64" s="22" t="s">
        <v>106</v>
      </c>
      <c r="E64" s="23" t="s">
        <v>118</v>
      </c>
      <c r="F64" s="22" t="s">
        <v>114</v>
      </c>
      <c r="G64" s="22" t="s">
        <v>119</v>
      </c>
      <c r="H64" s="22" t="s">
        <v>30</v>
      </c>
      <c r="I64" s="22" t="s">
        <v>120</v>
      </c>
      <c r="J64" s="101" t="s">
        <v>123</v>
      </c>
      <c r="K64" s="22" t="s">
        <v>102</v>
      </c>
      <c r="L64" s="22">
        <v>2016</v>
      </c>
      <c r="M64" s="335">
        <f ca="1">VLOOKUP(A64,'2020_ModelLink'!$A$3:$S$332,18,FALSE)</f>
        <v>0</v>
      </c>
      <c r="N64" s="335">
        <f ca="1">VLOOKUP(A64,'2020_ModelLink'!$A$3:$S$332,19,FALSE)</f>
        <v>0</v>
      </c>
      <c r="O64" s="721">
        <f ca="1">VLOOKUP($A64,'2016_ModelLink'!$A$3:$S$332,17,FALSE)</f>
        <v>-75.019524055109414</v>
      </c>
      <c r="P64" s="721">
        <f ca="1">VLOOKUP($A64,'2017_ModelLink'!$A$3:$S$332,17,FALSE)</f>
        <v>-968.65441579763183</v>
      </c>
      <c r="Q64" s="721">
        <f ca="1">VLOOKUP($A64,'2018_ModelLink'!$A$3:$S$332,17,FALSE)</f>
        <v>-2253.965942153563</v>
      </c>
      <c r="R64" s="721">
        <f ca="1">VLOOKUP($A64,'2019_ModelLink'!$A$3:$S$332,17,FALSE)</f>
        <v>52.180663016717212</v>
      </c>
      <c r="S64" s="721">
        <f ca="1">VLOOKUP($A64,'2020_ModelLink'!$A$3:$S$332,17,FALSE)</f>
        <v>68.555562551130933</v>
      </c>
      <c r="T64" s="307" t="str">
        <f>VLOOKUP(A64,Targets!$A$1:$J$301,5,FALSE)</f>
        <v>NOT FEASIBLE</v>
      </c>
      <c r="U64" s="307" t="str">
        <f>VLOOKUP(A64,Targets!$A$1:$J$301,5,FALSE)</f>
        <v>NOT FEASIBLE</v>
      </c>
      <c r="V64" s="307" t="str">
        <f>VLOOKUP(A64,Targets!$A$1:$J$301,5,FALSE)</f>
        <v>NOT FEASIBLE</v>
      </c>
      <c r="W64" s="307" t="e">
        <f>VLOOKUP(B64,Targets!$A$1:$J$301,5,FALSE)</f>
        <v>#N/A</v>
      </c>
      <c r="X64" s="307" t="e">
        <f>VLOOKUP(C64,Targets!$A$1:$J$301,5,FALSE)</f>
        <v>#N/A</v>
      </c>
      <c r="Y64" s="429" t="s">
        <v>124</v>
      </c>
      <c r="Z64" s="429" t="s">
        <v>117</v>
      </c>
      <c r="AA64" s="542"/>
      <c r="AB64" s="21"/>
    </row>
    <row r="65" spans="1:28" ht="210">
      <c r="A65" s="31">
        <v>62</v>
      </c>
      <c r="B65" s="22" t="s">
        <v>39</v>
      </c>
      <c r="C65" s="22" t="s">
        <v>40</v>
      </c>
      <c r="D65" s="22" t="s">
        <v>106</v>
      </c>
      <c r="E65" s="23" t="s">
        <v>125</v>
      </c>
      <c r="F65" s="22" t="s">
        <v>108</v>
      </c>
      <c r="G65" s="22" t="s">
        <v>126</v>
      </c>
      <c r="H65" s="22" t="s">
        <v>30</v>
      </c>
      <c r="I65" s="22" t="s">
        <v>127</v>
      </c>
      <c r="J65" s="101" t="s">
        <v>128</v>
      </c>
      <c r="K65" s="22" t="s">
        <v>102</v>
      </c>
      <c r="L65" s="22">
        <v>2016</v>
      </c>
      <c r="M65" s="335" t="str">
        <f ca="1">VLOOKUP(A65,'2020_ModelLink'!$A$3:$S$332,18,FALSE)</f>
        <v>N/A</v>
      </c>
      <c r="N65" s="335" t="str">
        <f ca="1">VLOOKUP(A65,'2020_ModelLink'!$A$3:$S$332,19,FALSE)</f>
        <v>N/A</v>
      </c>
      <c r="O65" s="721" t="e">
        <v>#N/A</v>
      </c>
      <c r="P65" s="721" t="e">
        <v>#N/A</v>
      </c>
      <c r="Q65" s="721" t="e">
        <v>#N/A</v>
      </c>
      <c r="R65" s="721" t="e">
        <v>#N/A</v>
      </c>
      <c r="S65" s="721" t="e">
        <v>#N/A</v>
      </c>
      <c r="T65" s="307">
        <f>VLOOKUP(A65,Targets!$A$1:$J$301,5,FALSE)</f>
        <v>1.47</v>
      </c>
      <c r="U65" s="307">
        <f>VLOOKUP(A65,Targets!$A$1:$J$301,5,FALSE)</f>
        <v>1.47</v>
      </c>
      <c r="V65" s="307">
        <f>VLOOKUP(A65,Targets!$A$1:$J$301,5,FALSE)</f>
        <v>1.47</v>
      </c>
      <c r="W65" s="307">
        <f>VLOOKUP(A65,Targets!$A$1:$J$301,5,FALSE)*3</f>
        <v>4.41</v>
      </c>
      <c r="X65" s="307">
        <f>VLOOKUP(A65,Targets!$A$1:$J$301,6,FALSE)*2</f>
        <v>2.94</v>
      </c>
      <c r="Y65" s="429"/>
      <c r="Z65" s="429"/>
      <c r="AA65" s="542"/>
      <c r="AB65" s="21"/>
    </row>
    <row r="66" spans="1:28" ht="210">
      <c r="A66" s="31">
        <v>63</v>
      </c>
      <c r="B66" s="22" t="s">
        <v>39</v>
      </c>
      <c r="C66" s="22" t="s">
        <v>40</v>
      </c>
      <c r="D66" s="22" t="s">
        <v>106</v>
      </c>
      <c r="E66" s="23" t="s">
        <v>125</v>
      </c>
      <c r="F66" s="22" t="s">
        <v>112</v>
      </c>
      <c r="G66" s="22" t="s">
        <v>126</v>
      </c>
      <c r="H66" s="22" t="s">
        <v>30</v>
      </c>
      <c r="I66" s="22" t="s">
        <v>127</v>
      </c>
      <c r="J66" s="101" t="s">
        <v>129</v>
      </c>
      <c r="K66" s="22" t="s">
        <v>102</v>
      </c>
      <c r="L66" s="22">
        <v>2016</v>
      </c>
      <c r="M66" s="335" t="str">
        <f ca="1">VLOOKUP(A66,'2020_ModelLink'!$A$3:$S$332,18,FALSE)</f>
        <v>N/A</v>
      </c>
      <c r="N66" s="335" t="str">
        <f ca="1">VLOOKUP(A66,'2020_ModelLink'!$A$3:$S$332,19,FALSE)</f>
        <v>N/A</v>
      </c>
      <c r="O66" s="721">
        <f ca="1">VLOOKUP($A66,'2016_ModelLink'!$A$3:$S$332,17,FALSE)</f>
        <v>0</v>
      </c>
      <c r="P66" s="721">
        <f ca="1">VLOOKUP($A66,'2017_ModelLink'!$A$3:$S$332,17,FALSE)</f>
        <v>0</v>
      </c>
      <c r="Q66" s="721">
        <f ca="1">VLOOKUP($A66,'2018_ModelLink'!$A$3:$S$332,17,FALSE)</f>
        <v>0</v>
      </c>
      <c r="R66" s="721">
        <f ca="1">VLOOKUP($A66,'2019_ModelLink'!$A$3:$S$332,17,FALSE)</f>
        <v>0</v>
      </c>
      <c r="S66" s="721">
        <f ca="1">VLOOKUP($A66,'2020_ModelLink'!$A$3:$S$332,17,FALSE)</f>
        <v>0</v>
      </c>
      <c r="T66" s="307">
        <f>VLOOKUP(A66,Targets!$A$1:$J$301,5,FALSE)</f>
        <v>70.650000000000006</v>
      </c>
      <c r="U66" s="307">
        <f>VLOOKUP(A66,Targets!$A$1:$J$301,5,FALSE)</f>
        <v>70.650000000000006</v>
      </c>
      <c r="V66" s="307">
        <f>VLOOKUP(A66,Targets!$A$1:$J$301,5,FALSE)</f>
        <v>70.650000000000006</v>
      </c>
      <c r="W66" s="307">
        <f>VLOOKUP(A66,Targets!$A$1:$J$301,5,FALSE)*3</f>
        <v>211.95000000000002</v>
      </c>
      <c r="X66" s="307">
        <f>VLOOKUP(A66,Targets!$A$1:$J$301,6,FALSE)*2</f>
        <v>141.30000000000001</v>
      </c>
      <c r="Y66" s="429"/>
      <c r="Z66" s="429"/>
      <c r="AA66" s="542"/>
      <c r="AB66" s="21"/>
    </row>
    <row r="67" spans="1:28" ht="285">
      <c r="A67" s="31">
        <v>64</v>
      </c>
      <c r="B67" s="22" t="s">
        <v>39</v>
      </c>
      <c r="C67" s="22" t="s">
        <v>40</v>
      </c>
      <c r="D67" s="22" t="s">
        <v>106</v>
      </c>
      <c r="E67" s="23" t="s">
        <v>125</v>
      </c>
      <c r="F67" s="22" t="s">
        <v>114</v>
      </c>
      <c r="G67" s="22" t="s">
        <v>126</v>
      </c>
      <c r="H67" s="22" t="s">
        <v>30</v>
      </c>
      <c r="I67" s="22" t="s">
        <v>127</v>
      </c>
      <c r="J67" s="101" t="s">
        <v>130</v>
      </c>
      <c r="K67" s="22" t="s">
        <v>102</v>
      </c>
      <c r="L67" s="22">
        <v>2016</v>
      </c>
      <c r="M67" s="335" t="str">
        <f ca="1">VLOOKUP(A67,'2020_ModelLink'!$A$3:$S$332,18,FALSE)</f>
        <v>N/A</v>
      </c>
      <c r="N67" s="335" t="str">
        <f ca="1">VLOOKUP(A67,'2020_ModelLink'!$A$3:$S$332,19,FALSE)</f>
        <v>N/A</v>
      </c>
      <c r="O67" s="721">
        <f ca="1">VLOOKUP($A67,'2016_ModelLink'!$A$3:$S$332,17,FALSE)</f>
        <v>0</v>
      </c>
      <c r="P67" s="721">
        <f ca="1">VLOOKUP($A67,'2017_ModelLink'!$A$3:$S$332,17,FALSE)</f>
        <v>0</v>
      </c>
      <c r="Q67" s="721">
        <f ca="1">VLOOKUP($A67,'2018_ModelLink'!$A$3:$S$332,17,FALSE)</f>
        <v>0</v>
      </c>
      <c r="R67" s="721">
        <f ca="1">VLOOKUP($A67,'2019_ModelLink'!$A$3:$S$332,17,FALSE)</f>
        <v>0</v>
      </c>
      <c r="S67" s="721">
        <f ca="1">VLOOKUP($A67,'2020_ModelLink'!$A$3:$S$332,17,FALSE)</f>
        <v>0</v>
      </c>
      <c r="T67" s="307">
        <f>VLOOKUP(A67,Targets!$A$1:$J$301,5,FALSE)</f>
        <v>2.06</v>
      </c>
      <c r="U67" s="307">
        <f>VLOOKUP(A67,Targets!$A$1:$J$301,5,FALSE)</f>
        <v>2.06</v>
      </c>
      <c r="V67" s="307">
        <f>VLOOKUP(A67,Targets!$A$1:$J$301,5,FALSE)</f>
        <v>2.06</v>
      </c>
      <c r="W67" s="307">
        <f>VLOOKUP(A67,Targets!$A$1:$J$301,5,FALSE)*3</f>
        <v>6.18</v>
      </c>
      <c r="X67" s="307">
        <f>VLOOKUP(A67,Targets!$A$1:$J$301,6,FALSE)*2</f>
        <v>4.12</v>
      </c>
      <c r="Y67" s="429" t="s">
        <v>131</v>
      </c>
      <c r="Z67" s="429" t="s">
        <v>132</v>
      </c>
      <c r="AA67" s="542"/>
      <c r="AB67" s="21"/>
    </row>
    <row r="68" spans="1:28" ht="210">
      <c r="A68" s="31">
        <v>65</v>
      </c>
      <c r="B68" s="22" t="s">
        <v>39</v>
      </c>
      <c r="C68" s="22" t="s">
        <v>40</v>
      </c>
      <c r="D68" s="22" t="s">
        <v>106</v>
      </c>
      <c r="E68" s="23" t="s">
        <v>133</v>
      </c>
      <c r="F68" s="22" t="s">
        <v>108</v>
      </c>
      <c r="G68" s="22" t="s">
        <v>134</v>
      </c>
      <c r="H68" s="22" t="s">
        <v>30</v>
      </c>
      <c r="I68" s="22" t="s">
        <v>135</v>
      </c>
      <c r="J68" s="101" t="s">
        <v>136</v>
      </c>
      <c r="K68" s="22" t="s">
        <v>102</v>
      </c>
      <c r="L68" s="22">
        <v>2016</v>
      </c>
      <c r="M68" s="335">
        <f ca="1">VLOOKUP(A68,'2020_ModelLink'!$A$3:$S$332,18,FALSE)</f>
        <v>0</v>
      </c>
      <c r="N68" s="335">
        <f ca="1">VLOOKUP(A68,'2020_ModelLink'!$A$3:$S$332,19,FALSE)</f>
        <v>0</v>
      </c>
      <c r="O68" s="721">
        <f ca="1">VLOOKUP($A68,'2016_ModelLink'!$A$3:$S$332,17,FALSE)</f>
        <v>3.5477427511241526</v>
      </c>
      <c r="P68" s="721">
        <f ca="1">VLOOKUP($A68,'2017_ModelLink'!$A$3:$S$332,17,FALSE)</f>
        <v>7.5891127354438295</v>
      </c>
      <c r="Q68" s="721">
        <f ca="1">VLOOKUP($A68,'2018_ModelLink'!$A$3:$S$332,17,FALSE)</f>
        <v>3.5473660611335993</v>
      </c>
      <c r="R68" s="721">
        <f ca="1">VLOOKUP($A68,'2019_ModelLink'!$A$3:$S$332,17,FALSE)</f>
        <v>8.1899694272682635E-2</v>
      </c>
      <c r="S68" s="721">
        <f ca="1">VLOOKUP($A68,'2020_ModelLink'!$A$3:$S$332,17,FALSE)</f>
        <v>0.11933547106168485</v>
      </c>
      <c r="T68" s="307" t="str">
        <f>VLOOKUP(A68,Targets!$A$1:$J$301,5,FALSE)</f>
        <v>NOT FEASIBLE</v>
      </c>
      <c r="U68" s="307" t="str">
        <f>VLOOKUP(A68,Targets!$A$1:$J$301,5,FALSE)</f>
        <v>NOT FEASIBLE</v>
      </c>
      <c r="V68" s="307" t="str">
        <f>VLOOKUP(A68,Targets!$A$1:$J$301,5,FALSE)</f>
        <v>NOT FEASIBLE</v>
      </c>
      <c r="W68" s="307" t="e">
        <f>VLOOKUP(A68,Targets!$A$1:$J$301,5,FALSE)*3</f>
        <v>#VALUE!</v>
      </c>
      <c r="X68" s="307" t="e">
        <f>VLOOKUP(A68,Targets!$A$1:$J$301,6,FALSE)*2</f>
        <v>#VALUE!</v>
      </c>
      <c r="Y68" s="429"/>
      <c r="Z68" s="429"/>
      <c r="AA68" s="542"/>
      <c r="AB68" s="21"/>
    </row>
    <row r="69" spans="1:28" ht="210">
      <c r="A69" s="31">
        <v>66</v>
      </c>
      <c r="B69" s="22" t="s">
        <v>39</v>
      </c>
      <c r="C69" s="22" t="s">
        <v>40</v>
      </c>
      <c r="D69" s="22" t="s">
        <v>106</v>
      </c>
      <c r="E69" s="23" t="s">
        <v>133</v>
      </c>
      <c r="F69" s="22" t="s">
        <v>112</v>
      </c>
      <c r="G69" s="22" t="s">
        <v>134</v>
      </c>
      <c r="H69" s="22" t="s">
        <v>30</v>
      </c>
      <c r="I69" s="22" t="s">
        <v>135</v>
      </c>
      <c r="J69" s="101" t="s">
        <v>137</v>
      </c>
      <c r="K69" s="22" t="s">
        <v>102</v>
      </c>
      <c r="L69" s="22">
        <v>2016</v>
      </c>
      <c r="M69" s="335">
        <f ca="1">VLOOKUP(A69,'2020_ModelLink'!$A$3:$S$332,18,FALSE)</f>
        <v>0</v>
      </c>
      <c r="N69" s="335">
        <f ca="1">VLOOKUP(A69,'2020_ModelLink'!$A$3:$S$332,19,FALSE)</f>
        <v>0</v>
      </c>
      <c r="O69" s="721">
        <f ca="1">VLOOKUP($A69,'2016_ModelLink'!$A$3:$S$332,17,FALSE)</f>
        <v>26921.303517263077</v>
      </c>
      <c r="P69" s="721">
        <f ca="1">VLOOKUP($A69,'2017_ModelLink'!$A$3:$S$332,17,FALSE)</f>
        <v>66208.753183408335</v>
      </c>
      <c r="Q69" s="721">
        <f ca="1">VLOOKUP($A69,'2018_ModelLink'!$A$3:$S$332,17,FALSE)</f>
        <v>26917.323284614697</v>
      </c>
      <c r="R69" s="721">
        <f ca="1">VLOOKUP($A69,'2019_ModelLink'!$A$3:$S$332,17,FALSE)</f>
        <v>761.27707542182577</v>
      </c>
      <c r="S69" s="721">
        <f ca="1">VLOOKUP($A69,'2020_ModelLink'!$A$3:$S$332,17,FALSE)</f>
        <v>2185.5275346277672</v>
      </c>
      <c r="T69" s="307" t="str">
        <f>VLOOKUP(A69,Targets!$A$1:$J$301,5,FALSE)</f>
        <v>NOT FEASIBLE</v>
      </c>
      <c r="U69" s="307" t="str">
        <f>VLOOKUP(A69,Targets!$A$1:$J$301,5,FALSE)</f>
        <v>NOT FEASIBLE</v>
      </c>
      <c r="V69" s="307" t="str">
        <f>VLOOKUP(A69,Targets!$A$1:$J$301,5,FALSE)</f>
        <v>NOT FEASIBLE</v>
      </c>
      <c r="W69" s="307" t="e">
        <f>VLOOKUP(A69,Targets!$A$1:$J$301,5,FALSE)*3</f>
        <v>#VALUE!</v>
      </c>
      <c r="X69" s="307" t="e">
        <f>VLOOKUP(A69,Targets!$A$1:$J$301,6,FALSE)*2</f>
        <v>#VALUE!</v>
      </c>
      <c r="Y69" s="429"/>
      <c r="Z69" s="429"/>
      <c r="AA69" s="542"/>
      <c r="AB69" s="21"/>
    </row>
    <row r="70" spans="1:28" ht="240">
      <c r="A70" s="31">
        <v>67</v>
      </c>
      <c r="B70" s="22" t="s">
        <v>39</v>
      </c>
      <c r="C70" s="22" t="s">
        <v>40</v>
      </c>
      <c r="D70" s="22" t="s">
        <v>106</v>
      </c>
      <c r="E70" s="23" t="s">
        <v>133</v>
      </c>
      <c r="F70" s="22" t="s">
        <v>114</v>
      </c>
      <c r="G70" s="22" t="s">
        <v>134</v>
      </c>
      <c r="H70" s="22" t="s">
        <v>30</v>
      </c>
      <c r="I70" s="22" t="s">
        <v>135</v>
      </c>
      <c r="J70" s="101" t="s">
        <v>138</v>
      </c>
      <c r="K70" s="22" t="s">
        <v>102</v>
      </c>
      <c r="L70" s="22">
        <v>2016</v>
      </c>
      <c r="M70" s="335">
        <f ca="1">VLOOKUP(A70,'2020_ModelLink'!$A$3:$S$332,18,FALSE)</f>
        <v>0</v>
      </c>
      <c r="N70" s="335">
        <f ca="1">VLOOKUP(A70,'2020_ModelLink'!$A$3:$S$332,19,FALSE)</f>
        <v>0</v>
      </c>
      <c r="O70" s="721">
        <f ca="1">VLOOKUP($A70,'2016_ModelLink'!$A$3:$S$332,17,FALSE)</f>
        <v>-44.401914902810184</v>
      </c>
      <c r="P70" s="721">
        <f ca="1">VLOOKUP($A70,'2017_ModelLink'!$A$3:$S$332,17,FALSE)</f>
        <v>-964.44774937687782</v>
      </c>
      <c r="Q70" s="721">
        <f ca="1">VLOOKUP($A70,'2018_ModelLink'!$A$3:$S$332,17,FALSE)</f>
        <v>-44.395202118763066</v>
      </c>
      <c r="R70" s="721">
        <f ca="1">VLOOKUP($A70,'2019_ModelLink'!$A$3:$S$332,17,FALSE)</f>
        <v>54.528459728478438</v>
      </c>
      <c r="S70" s="721">
        <f ca="1">VLOOKUP($A70,'2020_ModelLink'!$A$3:$S$332,17,FALSE)</f>
        <v>68.555562551130933</v>
      </c>
      <c r="T70" s="307" t="str">
        <f>VLOOKUP(A70,Targets!$A$1:$J$301,5,FALSE)</f>
        <v>NOT FEASIBLE</v>
      </c>
      <c r="U70" s="307" t="str">
        <f>VLOOKUP(A70,Targets!$A$1:$J$301,5,FALSE)</f>
        <v>NOT FEASIBLE</v>
      </c>
      <c r="V70" s="307" t="str">
        <f>VLOOKUP(A70,Targets!$A$1:$J$301,5,FALSE)</f>
        <v>NOT FEASIBLE</v>
      </c>
      <c r="W70" s="307" t="e">
        <f>VLOOKUP(A70,Targets!$A$1:$J$301,5,FALSE)*3</f>
        <v>#VALUE!</v>
      </c>
      <c r="X70" s="307" t="e">
        <f>VLOOKUP(A70,Targets!$A$1:$J$301,6,FALSE)*2</f>
        <v>#VALUE!</v>
      </c>
      <c r="Y70" s="429" t="s">
        <v>139</v>
      </c>
      <c r="Z70" s="429" t="s">
        <v>117</v>
      </c>
      <c r="AA70" s="542"/>
      <c r="AB70" s="21"/>
    </row>
    <row r="71" spans="1:28" ht="409.5">
      <c r="A71" s="31">
        <v>68</v>
      </c>
      <c r="B71" s="22" t="s">
        <v>39</v>
      </c>
      <c r="C71" s="22" t="s">
        <v>40</v>
      </c>
      <c r="D71" s="22" t="s">
        <v>140</v>
      </c>
      <c r="E71" s="23" t="s">
        <v>141</v>
      </c>
      <c r="F71" s="22" t="s">
        <v>142</v>
      </c>
      <c r="G71" s="22" t="s">
        <v>143</v>
      </c>
      <c r="H71" s="22" t="s">
        <v>30</v>
      </c>
      <c r="I71" s="22" t="s">
        <v>144</v>
      </c>
      <c r="J71" s="22" t="s">
        <v>145</v>
      </c>
      <c r="K71" s="22" t="s">
        <v>102</v>
      </c>
      <c r="L71" s="22">
        <v>2016</v>
      </c>
      <c r="M71" s="335">
        <f ca="1">VLOOKUP(A71,'2020_ModelLink'!$A$3:$S$332,18,FALSE)</f>
        <v>0</v>
      </c>
      <c r="N71" s="335">
        <f ca="1">VLOOKUP(A71,'2020_ModelLink'!$A$3:$S$332,19,FALSE)</f>
        <v>0</v>
      </c>
      <c r="O71" s="721">
        <f ca="1">VLOOKUP($A71,'2016_ModelLink'!$A$3:$S$332,17,FALSE)</f>
        <v>2.6745722060229009E-2</v>
      </c>
      <c r="P71" s="721">
        <f ca="1">VLOOKUP($A71,'2017_ModelLink'!$A$3:$S$332,17,FALSE)</f>
        <v>3.7552926231167474E-2</v>
      </c>
      <c r="Q71" s="721">
        <f ca="1">VLOOKUP($A71,'2018_ModelLink'!$A$3:$S$332,17,FALSE)</f>
        <v>4.1519488924159326E-2</v>
      </c>
      <c r="R71" s="721">
        <f ca="1">VLOOKUP($A71,'2019_ModelLink'!$A$3:$S$332,17,FALSE)</f>
        <v>7.7566998391272058E-3</v>
      </c>
      <c r="S71" s="721">
        <f ca="1">VLOOKUP($A71,'2020_ModelLink'!$A$3:$S$332,17,FALSE)</f>
        <v>6.4650270942856886E-3</v>
      </c>
      <c r="T71" s="714">
        <f>VLOOKUP(A71,Targets!$A$1:$J$301,5,FALSE)</f>
        <v>0.7</v>
      </c>
      <c r="U71" s="714">
        <f>VLOOKUP(A71,Targets!$A$1:$J$301,5,FALSE)</f>
        <v>0.7</v>
      </c>
      <c r="V71" s="714">
        <f>VLOOKUP(A71,Targets!$A$1:$J$301,5,FALSE)</f>
        <v>0.7</v>
      </c>
      <c r="W71" s="714">
        <f>VLOOKUP(A71,Targets!$A$1:$J$301,5,FALSE)*3</f>
        <v>2.0999999999999996</v>
      </c>
      <c r="X71" s="714">
        <f>VLOOKUP(A71,Targets!$A$1:$J$301,6,FALSE)*2</f>
        <v>1.4</v>
      </c>
      <c r="Y71" s="429" t="s">
        <v>146</v>
      </c>
      <c r="Z71" s="429" t="s">
        <v>147</v>
      </c>
      <c r="AA71" s="542"/>
      <c r="AB71" s="21"/>
    </row>
    <row r="72" spans="1:28" ht="195">
      <c r="A72" s="31">
        <v>69</v>
      </c>
      <c r="B72" s="22" t="s">
        <v>39</v>
      </c>
      <c r="C72" s="22" t="s">
        <v>40</v>
      </c>
      <c r="D72" s="22" t="s">
        <v>140</v>
      </c>
      <c r="E72" s="23" t="s">
        <v>148</v>
      </c>
      <c r="F72" s="22" t="s">
        <v>142</v>
      </c>
      <c r="G72" s="22" t="s">
        <v>149</v>
      </c>
      <c r="H72" s="22" t="s">
        <v>30</v>
      </c>
      <c r="I72" s="22" t="s">
        <v>150</v>
      </c>
      <c r="J72" s="22" t="s">
        <v>151</v>
      </c>
      <c r="K72" s="22" t="s">
        <v>102</v>
      </c>
      <c r="L72" s="22">
        <v>2016</v>
      </c>
      <c r="M72" s="335">
        <f ca="1">VLOOKUP(A72,'2020_ModelLink'!$A$3:$S$332,18,FALSE)</f>
        <v>0</v>
      </c>
      <c r="N72" s="335">
        <f ca="1">VLOOKUP(A72,'2020_ModelLink'!$A$3:$S$332,19,FALSE)</f>
        <v>0</v>
      </c>
      <c r="O72" s="722">
        <f ca="1">VLOOKUP($A72,'2016_ModelLink'!$A$3:$S$332,17,FALSE)</f>
        <v>1.6742897906088707E-2</v>
      </c>
      <c r="P72" s="722">
        <f ca="1">VLOOKUP($A72,'2017_ModelLink'!$A$3:$S$332,17,FALSE)</f>
        <v>1.8132975151108125E-2</v>
      </c>
      <c r="Q72" s="722">
        <f ca="1">VLOOKUP($A72,'2018_ModelLink'!$A$3:$S$332,17,FALSE)</f>
        <v>4.1752339389870337E-2</v>
      </c>
      <c r="R72" s="722">
        <f ca="1">VLOOKUP($A72,'2019_ModelLink'!$A$3:$S$332,17,FALSE)</f>
        <v>1.3302034428794992E-3</v>
      </c>
      <c r="S72" s="722">
        <f ca="1">VLOOKUP($A72,'2020_ModelLink'!$A$3:$S$332,17,FALSE)</f>
        <v>0</v>
      </c>
      <c r="T72" s="715">
        <f>VLOOKUP(A72,Targets!$A$1:$J$301,5,FALSE)</f>
        <v>8.1084387646647351E-3</v>
      </c>
      <c r="U72" s="715">
        <f>VLOOKUP(A72,Targets!$A$1:$J$301,5,FALSE)</f>
        <v>8.1084387646647351E-3</v>
      </c>
      <c r="V72" s="715">
        <f>VLOOKUP(A72,Targets!$A$1:$J$301,5,FALSE)</f>
        <v>8.1084387646647351E-3</v>
      </c>
      <c r="W72" s="715">
        <f>VLOOKUP(A72,Targets!$A$1:$J$301,5,FALSE)*3</f>
        <v>2.4325316293994204E-2</v>
      </c>
      <c r="X72" s="715">
        <f>VLOOKUP(A72,Targets!$A$1:$J$301,6,FALSE)*2</f>
        <v>1.621687752932947E-2</v>
      </c>
      <c r="Y72" s="429" t="s">
        <v>152</v>
      </c>
      <c r="Z72" s="429" t="str">
        <f>Definitions!C7</f>
        <v>D.18-05-041: DAC = Bill accounts in census tracts corresponding to census tracts in the top quartile of CalEnviroScreen 3.0 scores.</v>
      </c>
      <c r="AA72" s="542"/>
      <c r="AB72" s="21"/>
    </row>
    <row r="73" spans="1:28" ht="409.5">
      <c r="A73" s="31">
        <v>70</v>
      </c>
      <c r="B73" s="22" t="s">
        <v>39</v>
      </c>
      <c r="C73" s="22" t="s">
        <v>40</v>
      </c>
      <c r="D73" s="22" t="s">
        <v>140</v>
      </c>
      <c r="E73" s="23" t="s">
        <v>153</v>
      </c>
      <c r="F73" s="22" t="s">
        <v>142</v>
      </c>
      <c r="G73" s="22" t="s">
        <v>154</v>
      </c>
      <c r="H73" s="22" t="s">
        <v>30</v>
      </c>
      <c r="I73" s="22" t="s">
        <v>155</v>
      </c>
      <c r="J73" s="22" t="s">
        <v>156</v>
      </c>
      <c r="K73" s="22" t="s">
        <v>102</v>
      </c>
      <c r="L73" s="22">
        <v>2016</v>
      </c>
      <c r="M73" s="335">
        <f ca="1">VLOOKUP(A73,'2020_ModelLink'!$A$3:$S$332,18,FALSE)</f>
        <v>0</v>
      </c>
      <c r="N73" s="335">
        <f ca="1">VLOOKUP(A73,'2020_ModelLink'!$A$3:$S$332,19,FALSE)</f>
        <v>0</v>
      </c>
      <c r="O73" s="722">
        <f ca="1">VLOOKUP($A73,'2016_ModelLink'!$A$3:$S$332,17,FALSE)</f>
        <v>1.8295677799607071E-2</v>
      </c>
      <c r="P73" s="722">
        <f ca="1">VLOOKUP($A73,'2017_ModelLink'!$A$3:$S$332,17,FALSE)</f>
        <v>2.6755852842809364E-2</v>
      </c>
      <c r="Q73" s="722">
        <f ca="1">VLOOKUP($A73,'2018_ModelLink'!$A$3:$S$332,17,FALSE)</f>
        <v>5.9709586069771649E-2</v>
      </c>
      <c r="R73" s="722">
        <f ca="1">VLOOKUP($A73,'2019_ModelLink'!$A$3:$S$332,17,FALSE)</f>
        <v>4.2153438516198964E-4</v>
      </c>
      <c r="S73" s="722">
        <f ca="1">VLOOKUP($A73,'2020_ModelLink'!$A$3:$S$332,17,FALSE)</f>
        <v>0</v>
      </c>
      <c r="T73" s="715">
        <f>VLOOKUP(A73,Targets!$A$1:$J$301,5,FALSE)</f>
        <v>8.1084387646647351E-3</v>
      </c>
      <c r="U73" s="715">
        <f>VLOOKUP(A73,Targets!$A$1:$J$301,5,FALSE)</f>
        <v>8.1084387646647351E-3</v>
      </c>
      <c r="V73" s="715">
        <f>VLOOKUP(A73,Targets!$A$1:$J$301,5,FALSE)</f>
        <v>8.1084387646647351E-3</v>
      </c>
      <c r="W73" s="715">
        <f>VLOOKUP(A73,Targets!$A$1:$J$301,5,FALSE)*3</f>
        <v>2.4325316293994204E-2</v>
      </c>
      <c r="X73" s="715">
        <f>VLOOKUP(A73,Targets!$A$1:$J$301,6,FALSE)*2</f>
        <v>1.621687752932947E-2</v>
      </c>
      <c r="Y73" s="429" t="s">
        <v>157</v>
      </c>
      <c r="Z73"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73" s="542"/>
      <c r="AB73" s="21"/>
    </row>
    <row r="74" spans="1:28" ht="135">
      <c r="A74" s="31">
        <v>71</v>
      </c>
      <c r="B74" s="22" t="s">
        <v>39</v>
      </c>
      <c r="C74" s="22" t="s">
        <v>40</v>
      </c>
      <c r="D74" s="22" t="s">
        <v>158</v>
      </c>
      <c r="E74" s="23" t="s">
        <v>91</v>
      </c>
      <c r="F74" s="22" t="s">
        <v>92</v>
      </c>
      <c r="G74" s="22" t="s">
        <v>93</v>
      </c>
      <c r="H74" s="22" t="s">
        <v>30</v>
      </c>
      <c r="I74" s="22" t="s">
        <v>159</v>
      </c>
      <c r="J74" s="22" t="s">
        <v>92</v>
      </c>
      <c r="K74" s="22" t="s">
        <v>102</v>
      </c>
      <c r="L74" s="22">
        <v>2016</v>
      </c>
      <c r="M74" s="335">
        <f ca="1">VLOOKUP(A74,'2020_ModelLink'!$A$3:$S$332,18,FALSE)</f>
        <v>0</v>
      </c>
      <c r="N74" s="335">
        <f ca="1">VLOOKUP(A74,'2020_ModelLink'!$A$3:$S$332,19,FALSE)</f>
        <v>0</v>
      </c>
      <c r="O74" s="721">
        <f ca="1">VLOOKUP($A74,'2016_ModelLink'!$A$3:$S$332,17,FALSE)</f>
        <v>254.14889648737142</v>
      </c>
      <c r="P74" s="721">
        <f ca="1">VLOOKUP($A74,'2017_ModelLink'!$A$3:$S$332,17,FALSE)</f>
        <v>185.09887405791844</v>
      </c>
      <c r="Q74" s="721">
        <f ca="1">VLOOKUP($A74,'2018_ModelLink'!$A$3:$S$332,17,FALSE)</f>
        <v>119.32561930251238</v>
      </c>
      <c r="R74" s="721">
        <f ca="1">VLOOKUP($A74,'2019_ModelLink'!$A$3:$S$332,17,FALSE)</f>
        <v>962.76142935991925</v>
      </c>
      <c r="S74" s="721">
        <f ca="1">VLOOKUP($A74,'2020_ModelLink'!$A$3:$S$332,17,FALSE)</f>
        <v>791.68698077758927</v>
      </c>
      <c r="T74" s="307">
        <f>VLOOKUP(A74,Targets!$A$1:$J$301,5,FALSE)</f>
        <v>233.49104225851681</v>
      </c>
      <c r="U74" s="307">
        <f>VLOOKUP(A74,Targets!$A$1:$J$301,5,FALSE)</f>
        <v>233.49104225851681</v>
      </c>
      <c r="V74" s="307">
        <f>VLOOKUP(A74,Targets!$A$1:$J$301,5,FALSE)</f>
        <v>233.49104225851681</v>
      </c>
      <c r="W74" s="307">
        <f>VLOOKUP(A74,Targets!$A$1:$J$301,5,FALSE)*3</f>
        <v>700.47312677555044</v>
      </c>
      <c r="X74" s="307">
        <f>VLOOKUP(A74,Targets!$A$1:$J$301,6,FALSE)*2</f>
        <v>466.98208451703363</v>
      </c>
      <c r="Y74" s="429"/>
      <c r="Z74" s="429"/>
      <c r="AA74" s="542"/>
      <c r="AB74" s="21"/>
    </row>
    <row r="75" spans="1:28" ht="135">
      <c r="A75" s="31">
        <v>72</v>
      </c>
      <c r="B75" s="22" t="s">
        <v>39</v>
      </c>
      <c r="C75" s="22" t="s">
        <v>40</v>
      </c>
      <c r="D75" s="22" t="s">
        <v>158</v>
      </c>
      <c r="E75" s="23" t="s">
        <v>91</v>
      </c>
      <c r="F75" s="22" t="s">
        <v>95</v>
      </c>
      <c r="G75" s="22" t="s">
        <v>93</v>
      </c>
      <c r="H75" s="22" t="s">
        <v>30</v>
      </c>
      <c r="I75" s="22" t="s">
        <v>159</v>
      </c>
      <c r="J75" s="22" t="s">
        <v>95</v>
      </c>
      <c r="K75" s="22" t="s">
        <v>102</v>
      </c>
      <c r="L75" s="22">
        <v>2016</v>
      </c>
      <c r="M75" s="335">
        <f ca="1">VLOOKUP(A75,'2020_ModelLink'!$A$3:$S$332,18,FALSE)</f>
        <v>0</v>
      </c>
      <c r="N75" s="335">
        <f ca="1">VLOOKUP(A75,'2020_ModelLink'!$A$3:$S$332,19,FALSE)</f>
        <v>0</v>
      </c>
      <c r="O75" s="721">
        <f ca="1">VLOOKUP($A75,'2016_ModelLink'!$A$3:$S$332,17,FALSE)</f>
        <v>5.8585796986478963E-2</v>
      </c>
      <c r="P75" s="721">
        <f ca="1">VLOOKUP($A75,'2017_ModelLink'!$A$3:$S$332,17,FALSE)</f>
        <v>2.2660190848293814E-2</v>
      </c>
      <c r="Q75" s="721">
        <f ca="1">VLOOKUP($A75,'2018_ModelLink'!$A$3:$S$332,17,FALSE)</f>
        <v>1.6505784312419156E-2</v>
      </c>
      <c r="R75" s="721">
        <f ca="1">VLOOKUP($A75,'2019_ModelLink'!$A$3:$S$332,17,FALSE)</f>
        <v>0.19222505797688974</v>
      </c>
      <c r="S75" s="721">
        <f ca="1">VLOOKUP($A75,'2020_ModelLink'!$A$3:$S$332,17,FALSE)</f>
        <v>0.10603370681034921</v>
      </c>
      <c r="T75" s="307">
        <f>VLOOKUP(A75,Targets!$A$1:$J$301,5,FALSE)</f>
        <v>5.1659215319599487E-2</v>
      </c>
      <c r="U75" s="307">
        <f>VLOOKUP(A75,Targets!$A$1:$J$301,5,FALSE)</f>
        <v>5.1659215319599487E-2</v>
      </c>
      <c r="V75" s="307">
        <f>VLOOKUP(A75,Targets!$A$1:$J$301,5,FALSE)</f>
        <v>5.1659215319599487E-2</v>
      </c>
      <c r="W75" s="307">
        <f>VLOOKUP(A75,Targets!$A$1:$J$301,5,FALSE)*3</f>
        <v>0.15497764595879845</v>
      </c>
      <c r="X75" s="307">
        <f>VLOOKUP(A75,Targets!$A$1:$J$301,6,FALSE)*2</f>
        <v>0.10331843063919897</v>
      </c>
      <c r="Y75" s="429"/>
      <c r="Z75" s="429"/>
      <c r="AA75" s="542"/>
      <c r="AB75" s="21"/>
    </row>
    <row r="76" spans="1:28" ht="135">
      <c r="A76" s="31">
        <v>73</v>
      </c>
      <c r="B76" s="22" t="s">
        <v>39</v>
      </c>
      <c r="C76" s="22" t="s">
        <v>40</v>
      </c>
      <c r="D76" s="22" t="s">
        <v>158</v>
      </c>
      <c r="E76" s="23" t="s">
        <v>91</v>
      </c>
      <c r="F76" s="22" t="s">
        <v>96</v>
      </c>
      <c r="G76" s="22" t="s">
        <v>93</v>
      </c>
      <c r="H76" s="22" t="s">
        <v>30</v>
      </c>
      <c r="I76" s="22" t="s">
        <v>159</v>
      </c>
      <c r="J76" s="22" t="s">
        <v>96</v>
      </c>
      <c r="K76" s="22" t="s">
        <v>102</v>
      </c>
      <c r="L76" s="22">
        <v>2016</v>
      </c>
      <c r="M76" s="335">
        <f ca="1">VLOOKUP(A76,'2020_ModelLink'!$A$3:$S$332,18,FALSE)</f>
        <v>0</v>
      </c>
      <c r="N76" s="335">
        <f ca="1">VLOOKUP(A76,'2020_ModelLink'!$A$3:$S$332,19,FALSE)</f>
        <v>0</v>
      </c>
      <c r="O76" s="721">
        <f ca="1">VLOOKUP($A76,'2016_ModelLink'!$A$3:$S$332,17,FALSE)</f>
        <v>0.90336078837294476</v>
      </c>
      <c r="P76" s="721">
        <f ca="1">VLOOKUP($A76,'2017_ModelLink'!$A$3:$S$332,17,FALSE)</f>
        <v>0.19256602471479006</v>
      </c>
      <c r="Q76" s="721">
        <f ca="1">VLOOKUP($A76,'2018_ModelLink'!$A$3:$S$332,17,FALSE)</f>
        <v>0.15518995573662073</v>
      </c>
      <c r="R76" s="721">
        <f ca="1">VLOOKUP($A76,'2019_ModelLink'!$A$3:$S$332,17,FALSE)</f>
        <v>2.2174402850636699</v>
      </c>
      <c r="S76" s="721">
        <f ca="1">VLOOKUP($A76,'2020_ModelLink'!$A$3:$S$332,17,FALSE)</f>
        <v>1.0162588104301145</v>
      </c>
      <c r="T76" s="307">
        <f>VLOOKUP(A76,Targets!$A$1:$J$301,5,FALSE)</f>
        <v>0.13266795330321654</v>
      </c>
      <c r="U76" s="307">
        <f>VLOOKUP(A76,Targets!$A$1:$J$301,5,FALSE)</f>
        <v>0.13266795330321654</v>
      </c>
      <c r="V76" s="307">
        <f>VLOOKUP(A76,Targets!$A$1:$J$301,5,FALSE)</f>
        <v>0.13266795330321654</v>
      </c>
      <c r="W76" s="307">
        <f>VLOOKUP(A76,Targets!$A$1:$J$301,5,FALSE)*3</f>
        <v>0.39800385990964959</v>
      </c>
      <c r="X76" s="307">
        <f>VLOOKUP(A76,Targets!$A$1:$J$301,6,FALSE)*2</f>
        <v>0.26533590660643308</v>
      </c>
      <c r="Y76" s="429" t="s">
        <v>48</v>
      </c>
      <c r="Z76" s="429" t="s">
        <v>49</v>
      </c>
      <c r="AA76" s="542"/>
      <c r="AB76" s="21"/>
    </row>
    <row r="77" spans="1:28" ht="135">
      <c r="A77" s="31">
        <v>74</v>
      </c>
      <c r="B77" s="22" t="s">
        <v>39</v>
      </c>
      <c r="C77" s="22" t="s">
        <v>40</v>
      </c>
      <c r="D77" s="22" t="s">
        <v>158</v>
      </c>
      <c r="E77" s="23" t="s">
        <v>91</v>
      </c>
      <c r="F77" s="22" t="s">
        <v>97</v>
      </c>
      <c r="G77" s="22" t="s">
        <v>93</v>
      </c>
      <c r="H77" s="22" t="s">
        <v>30</v>
      </c>
      <c r="I77" s="22" t="s">
        <v>159</v>
      </c>
      <c r="J77" s="22" t="s">
        <v>97</v>
      </c>
      <c r="K77" s="22" t="s">
        <v>102</v>
      </c>
      <c r="L77" s="22">
        <v>2016</v>
      </c>
      <c r="M77" s="335">
        <f ca="1">VLOOKUP(A77,'2020_ModelLink'!$A$3:$S$332,18,FALSE)</f>
        <v>0</v>
      </c>
      <c r="N77" s="335">
        <f ca="1">VLOOKUP(A77,'2020_ModelLink'!$A$3:$S$332,19,FALSE)</f>
        <v>0</v>
      </c>
      <c r="O77" s="721">
        <f ca="1">VLOOKUP($A77,'2016_ModelLink'!$A$3:$S$332,17,FALSE)</f>
        <v>384.07231652920501</v>
      </c>
      <c r="P77" s="721">
        <f ca="1">VLOOKUP($A77,'2017_ModelLink'!$A$3:$S$332,17,FALSE)</f>
        <v>413.22048092535744</v>
      </c>
      <c r="Q77" s="721">
        <f ca="1">VLOOKUP($A77,'2018_ModelLink'!$A$3:$S$332,17,FALSE)</f>
        <v>276.57103073558193</v>
      </c>
      <c r="R77" s="721">
        <f ca="1">VLOOKUP($A77,'2019_ModelLink'!$A$3:$S$332,17,FALSE)</f>
        <v>1078.0793842289152</v>
      </c>
      <c r="S77" s="721">
        <f ca="1">VLOOKUP($A77,'2020_ModelLink'!$A$3:$S$332,17,FALSE)</f>
        <v>839.00673256190248</v>
      </c>
      <c r="T77" s="307">
        <f>VLOOKUP(A77,Targets!$A$1:$J$301,5,FALSE)</f>
        <v>357.02014108757282</v>
      </c>
      <c r="U77" s="307">
        <f>VLOOKUP(A77,Targets!$A$1:$J$301,5,FALSE)</f>
        <v>357.02014108757282</v>
      </c>
      <c r="V77" s="307">
        <f>VLOOKUP(A77,Targets!$A$1:$J$301,5,FALSE)</f>
        <v>357.02014108757282</v>
      </c>
      <c r="W77" s="307">
        <f>VLOOKUP(A77,Targets!$A$1:$J$301,5,FALSE)*3</f>
        <v>1071.0604232627184</v>
      </c>
      <c r="X77" s="307">
        <f>VLOOKUP(A77,Targets!$A$1:$J$301,6,FALSE)*2</f>
        <v>714.04028217514565</v>
      </c>
      <c r="Y77" s="429"/>
      <c r="Z77" s="429"/>
      <c r="AA77" s="542"/>
      <c r="AB77" s="21"/>
    </row>
    <row r="78" spans="1:28" ht="135">
      <c r="A78" s="31">
        <v>75</v>
      </c>
      <c r="B78" s="22" t="s">
        <v>39</v>
      </c>
      <c r="C78" s="22" t="s">
        <v>40</v>
      </c>
      <c r="D78" s="22" t="s">
        <v>158</v>
      </c>
      <c r="E78" s="23" t="s">
        <v>91</v>
      </c>
      <c r="F78" s="22" t="s">
        <v>98</v>
      </c>
      <c r="G78" s="22" t="s">
        <v>93</v>
      </c>
      <c r="H78" s="22" t="s">
        <v>30</v>
      </c>
      <c r="I78" s="22" t="s">
        <v>159</v>
      </c>
      <c r="J78" s="22" t="s">
        <v>98</v>
      </c>
      <c r="K78" s="22" t="s">
        <v>102</v>
      </c>
      <c r="L78" s="22">
        <v>2016</v>
      </c>
      <c r="M78" s="335">
        <f ca="1">VLOOKUP(A78,'2020_ModelLink'!$A$3:$S$332,18,FALSE)</f>
        <v>0</v>
      </c>
      <c r="N78" s="335">
        <f ca="1">VLOOKUP(A78,'2020_ModelLink'!$A$3:$S$332,19,FALSE)</f>
        <v>0</v>
      </c>
      <c r="O78" s="721">
        <f ca="1">VLOOKUP($A78,'2016_ModelLink'!$A$3:$S$332,17,FALSE)</f>
        <v>8.8535433658374227E-2</v>
      </c>
      <c r="P78" s="721">
        <f ca="1">VLOOKUP($A78,'2017_ModelLink'!$A$3:$S$332,17,FALSE)</f>
        <v>5.0587314525005783E-2</v>
      </c>
      <c r="Q78" s="721">
        <f ca="1">VLOOKUP($A78,'2018_ModelLink'!$A$3:$S$332,17,FALSE)</f>
        <v>3.8256845487738847E-2</v>
      </c>
      <c r="R78" s="721">
        <f ca="1">VLOOKUP($A78,'2019_ModelLink'!$A$3:$S$332,17,FALSE)</f>
        <v>0.21524945414033653</v>
      </c>
      <c r="S78" s="721">
        <f ca="1">VLOOKUP($A78,'2020_ModelLink'!$A$3:$S$332,17,FALSE)</f>
        <v>0.11237142463173895</v>
      </c>
      <c r="T78" s="307">
        <f>VLOOKUP(A78,Targets!$A$1:$J$301,5,FALSE)</f>
        <v>7.8989669854043293E-2</v>
      </c>
      <c r="U78" s="307">
        <f>VLOOKUP(A78,Targets!$A$1:$J$301,5,FALSE)</f>
        <v>7.8989669854043293E-2</v>
      </c>
      <c r="V78" s="307">
        <f>VLOOKUP(A78,Targets!$A$1:$J$301,5,FALSE)</f>
        <v>7.8989669854043293E-2</v>
      </c>
      <c r="W78" s="307">
        <f>VLOOKUP(A78,Targets!$A$1:$J$301,5,FALSE)*3</f>
        <v>0.23696900956212988</v>
      </c>
      <c r="X78" s="307">
        <f>VLOOKUP(A78,Targets!$A$1:$J$301,6,FALSE)*2</f>
        <v>0.15797933970808659</v>
      </c>
      <c r="Y78" s="429"/>
      <c r="Z78" s="429"/>
      <c r="AA78" s="542"/>
      <c r="AB78" s="21"/>
    </row>
    <row r="79" spans="1:28" ht="135">
      <c r="A79" s="31">
        <v>76</v>
      </c>
      <c r="B79" s="22" t="s">
        <v>39</v>
      </c>
      <c r="C79" s="22" t="s">
        <v>40</v>
      </c>
      <c r="D79" s="22" t="s">
        <v>158</v>
      </c>
      <c r="E79" s="23" t="s">
        <v>91</v>
      </c>
      <c r="F79" s="22" t="s">
        <v>99</v>
      </c>
      <c r="G79" s="22" t="s">
        <v>93</v>
      </c>
      <c r="H79" s="22" t="s">
        <v>30</v>
      </c>
      <c r="I79" s="22" t="s">
        <v>159</v>
      </c>
      <c r="J79" s="22" t="s">
        <v>99</v>
      </c>
      <c r="K79" s="22" t="s">
        <v>102</v>
      </c>
      <c r="L79" s="22">
        <v>2016</v>
      </c>
      <c r="M79" s="335">
        <f ca="1">VLOOKUP(A79,'2020_ModelLink'!$A$3:$S$332,18,FALSE)</f>
        <v>0</v>
      </c>
      <c r="N79" s="335">
        <f ca="1">VLOOKUP(A79,'2020_ModelLink'!$A$3:$S$332,19,FALSE)</f>
        <v>0</v>
      </c>
      <c r="O79" s="721">
        <f ca="1">VLOOKUP($A79,'2016_ModelLink'!$A$3:$S$332,17,FALSE)</f>
        <v>1.3651677243040317</v>
      </c>
      <c r="P79" s="721">
        <f ca="1">VLOOKUP($A79,'2017_ModelLink'!$A$3:$S$332,17,FALSE)</f>
        <v>0.42989038019556641</v>
      </c>
      <c r="Q79" s="721">
        <f ca="1">VLOOKUP($A79,'2018_ModelLink'!$A$3:$S$332,17,FALSE)</f>
        <v>0.35969682176192008</v>
      </c>
      <c r="R79" s="721">
        <f ca="1">VLOOKUP($A79,'2019_ModelLink'!$A$3:$S$332,17,FALSE)</f>
        <v>2.4830415762243181</v>
      </c>
      <c r="S79" s="721">
        <f ca="1">VLOOKUP($A79,'2020_ModelLink'!$A$3:$S$332,17,FALSE)</f>
        <v>1.0770013966110084</v>
      </c>
      <c r="T79" s="307">
        <f>VLOOKUP(A79,Targets!$A$1:$J$301,5,FALSE)</f>
        <v>0.20285631066596607</v>
      </c>
      <c r="U79" s="307">
        <f>VLOOKUP(A79,Targets!$A$1:$J$301,5,FALSE)</f>
        <v>0.20285631066596607</v>
      </c>
      <c r="V79" s="307">
        <f>VLOOKUP(A79,Targets!$A$1:$J$301,5,FALSE)</f>
        <v>0.20285631066596607</v>
      </c>
      <c r="W79" s="307">
        <f>VLOOKUP(A79,Targets!$A$1:$J$301,5,FALSE)*3</f>
        <v>0.60856893199789819</v>
      </c>
      <c r="X79" s="307">
        <f>VLOOKUP(A79,Targets!$A$1:$J$301,6,FALSE)*2</f>
        <v>0.40571262133193214</v>
      </c>
      <c r="Y79" s="429" t="s">
        <v>48</v>
      </c>
      <c r="Z79" s="429" t="s">
        <v>49</v>
      </c>
      <c r="AA79" s="542"/>
      <c r="AB79" s="21"/>
    </row>
    <row r="80" spans="1:28" ht="165">
      <c r="A80" s="31">
        <v>77</v>
      </c>
      <c r="B80" s="22" t="s">
        <v>39</v>
      </c>
      <c r="C80" s="22" t="s">
        <v>40</v>
      </c>
      <c r="D80" s="22" t="s">
        <v>160</v>
      </c>
      <c r="E80" s="23" t="s">
        <v>161</v>
      </c>
      <c r="F80" s="22" t="s">
        <v>162</v>
      </c>
      <c r="G80" s="22" t="s">
        <v>163</v>
      </c>
      <c r="H80" s="22" t="s">
        <v>164</v>
      </c>
      <c r="I80" s="22" t="s">
        <v>165</v>
      </c>
      <c r="J80" s="22" t="s">
        <v>166</v>
      </c>
      <c r="K80" s="22" t="s">
        <v>102</v>
      </c>
      <c r="L80" s="22" t="s">
        <v>167</v>
      </c>
      <c r="M80" s="335" t="str">
        <f ca="1">VLOOKUP(A80,'2020_ModelLink'!$A$3:$S$332,18,FALSE)</f>
        <v>N/A</v>
      </c>
      <c r="N80" s="335" t="str">
        <f ca="1">VLOOKUP(A80,'2020_ModelLink'!$A$3:$S$332,19,FALSE)</f>
        <v>N/A</v>
      </c>
      <c r="O80" s="721">
        <f ca="1">VLOOKUP($A80,'2016_ModelLink'!$A$3:$S$332,17,FALSE)</f>
        <v>0</v>
      </c>
      <c r="P80" s="721">
        <f ca="1">VLOOKUP($A80,'2017_ModelLink'!$A$3:$S$332,17,FALSE)</f>
        <v>19533.959284520995</v>
      </c>
      <c r="Q80" s="721">
        <f ca="1">VLOOKUP($A80,'2018_ModelLink'!$A$3:$S$332,17,FALSE)</f>
        <v>18683.521073355674</v>
      </c>
      <c r="R80" s="721">
        <f ca="1">VLOOKUP($A80,'2019_ModelLink'!$A$3:$S$332,17,FALSE)</f>
        <v>36845.376452039825</v>
      </c>
      <c r="S80" s="721">
        <f ca="1">VLOOKUP($A80,'2020_ModelLink'!$A$3:$S$332,17,FALSE)</f>
        <v>37390.980254976144</v>
      </c>
      <c r="T80" s="307" t="str">
        <f>VLOOKUP(A80,Targets!$A$1:$J$301,5,FALSE)</f>
        <v xml:space="preserve"> N/A - Indicator</v>
      </c>
      <c r="U80" s="307" t="str">
        <f>VLOOKUP(A80,Targets!$A$1:$J$301,5,FALSE)</f>
        <v xml:space="preserve"> N/A - Indicator</v>
      </c>
      <c r="V80" s="307" t="str">
        <f>VLOOKUP(A80,Targets!$A$1:$J$301,5,FALSE)</f>
        <v xml:space="preserve"> N/A - Indicator</v>
      </c>
      <c r="W80" s="307" t="e">
        <f>VLOOKUP(A80,Targets!$A$1:$J$301,5,FALSE)*3</f>
        <v>#VALUE!</v>
      </c>
      <c r="X80" s="307" t="e">
        <f>VLOOKUP(A80,Targets!$A$1:$J$301,6,FALSE)*2</f>
        <v>#VALUE!</v>
      </c>
      <c r="Y80" s="429" t="s">
        <v>168</v>
      </c>
      <c r="Z80" s="429" t="s">
        <v>169</v>
      </c>
      <c r="AA80" s="542"/>
      <c r="AB80" s="21"/>
    </row>
    <row r="81" spans="1:28" ht="285">
      <c r="A81" s="31">
        <v>78</v>
      </c>
      <c r="B81" s="22" t="s">
        <v>39</v>
      </c>
      <c r="C81" s="22" t="s">
        <v>40</v>
      </c>
      <c r="D81" s="22" t="s">
        <v>170</v>
      </c>
      <c r="E81" s="23" t="s">
        <v>171</v>
      </c>
      <c r="F81" s="22" t="s">
        <v>52</v>
      </c>
      <c r="G81" s="22" t="s">
        <v>53</v>
      </c>
      <c r="H81" s="22" t="s">
        <v>30</v>
      </c>
      <c r="I81" s="22" t="s">
        <v>172</v>
      </c>
      <c r="J81" s="22" t="s">
        <v>173</v>
      </c>
      <c r="K81" s="22" t="s">
        <v>174</v>
      </c>
      <c r="L81" s="22">
        <v>2016</v>
      </c>
      <c r="M81" s="335" t="str">
        <f ca="1">VLOOKUP(A81,'2020_ModelLink'!$A$3:$S$332,18,FALSE)</f>
        <v>N/A</v>
      </c>
      <c r="N81" s="335" t="str">
        <f ca="1">VLOOKUP(A81,'2020_ModelLink'!$A$3:$S$332,19,FALSE)</f>
        <v>N/A</v>
      </c>
      <c r="O81" s="721">
        <f ca="1">VLOOKUP($A81,'2016_ModelLink'!$A$3:$S$332,17,FALSE)</f>
        <v>929.27079517745756</v>
      </c>
      <c r="P81" s="721">
        <f ca="1">VLOOKUP($A81,'2017_ModelLink'!$A$3:$S$332,17,FALSE)</f>
        <v>491.41787051347353</v>
      </c>
      <c r="Q81" s="721">
        <f ca="1">VLOOKUP($A81,'2018_ModelLink'!$A$3:$S$332,17,FALSE)</f>
        <v>219.03197422503709</v>
      </c>
      <c r="R81" s="721">
        <f ca="1">VLOOKUP($A81,'2019_ModelLink'!$A$3:$S$332,17,FALSE)</f>
        <v>472.46451493200942</v>
      </c>
      <c r="S81" s="721">
        <f ca="1">VLOOKUP($A81,'2020_ModelLink'!$A$3:$S$332,17,FALSE)</f>
        <v>2846.1503726502024</v>
      </c>
      <c r="T81" s="307">
        <f>VLOOKUP(A81,Targets!$A$1:$J$301,5,FALSE)</f>
        <v>2045.6073286677167</v>
      </c>
      <c r="U81" s="307">
        <f>VLOOKUP(A81,Targets!$A$1:$J$301,5,FALSE)</f>
        <v>2045.6073286677167</v>
      </c>
      <c r="V81" s="307">
        <f>VLOOKUP(A81,Targets!$A$1:$J$301,5,FALSE)</f>
        <v>2045.6073286677167</v>
      </c>
      <c r="W81" s="307">
        <f>VLOOKUP(A81,Targets!$A$1:$J$301,5,FALSE)*3</f>
        <v>6136.8219860031504</v>
      </c>
      <c r="X81" s="307">
        <f>VLOOKUP(A81,Targets!$A$1:$J$301,6,FALSE)*2</f>
        <v>4091.2146573354335</v>
      </c>
      <c r="Y81" s="429"/>
      <c r="Z81" s="429"/>
      <c r="AA81" s="542"/>
      <c r="AB81" s="21"/>
    </row>
    <row r="82" spans="1:28" ht="285">
      <c r="A82" s="31">
        <v>79</v>
      </c>
      <c r="B82" s="22" t="s">
        <v>39</v>
      </c>
      <c r="C82" s="22" t="s">
        <v>40</v>
      </c>
      <c r="D82" s="22" t="s">
        <v>170</v>
      </c>
      <c r="E82" s="23" t="s">
        <v>171</v>
      </c>
      <c r="F82" s="22" t="s">
        <v>55</v>
      </c>
      <c r="G82" s="22" t="s">
        <v>53</v>
      </c>
      <c r="H82" s="22" t="s">
        <v>30</v>
      </c>
      <c r="I82" s="22" t="s">
        <v>172</v>
      </c>
      <c r="J82" s="22" t="s">
        <v>175</v>
      </c>
      <c r="K82" s="22" t="s">
        <v>174</v>
      </c>
      <c r="L82" s="22">
        <v>2016</v>
      </c>
      <c r="M82" s="335" t="str">
        <f ca="1">VLOOKUP(A82,'2020_ModelLink'!$A$3:$S$332,18,FALSE)</f>
        <v>N/A</v>
      </c>
      <c r="N82" s="335" t="str">
        <f ca="1">VLOOKUP(A82,'2020_ModelLink'!$A$3:$S$332,19,FALSE)</f>
        <v>N/A</v>
      </c>
      <c r="O82" s="721">
        <f ca="1">VLOOKUP($A82,'2016_ModelLink'!$A$3:$S$332,17,FALSE)</f>
        <v>740.14404512616363</v>
      </c>
      <c r="P82" s="721">
        <f ca="1">VLOOKUP($A82,'2017_ModelLink'!$A$3:$S$332,17,FALSE)</f>
        <v>318.91910754790689</v>
      </c>
      <c r="Q82" s="721">
        <f ca="1">VLOOKUP($A82,'2018_ModelLink'!$A$3:$S$332,17,FALSE)</f>
        <v>142.14357720803355</v>
      </c>
      <c r="R82" s="721">
        <f ca="1">VLOOKUP($A82,'2019_ModelLink'!$A$3:$S$332,17,FALSE)</f>
        <v>375.30491883338573</v>
      </c>
      <c r="S82" s="721">
        <f ca="1">VLOOKUP($A82,'2020_ModelLink'!$A$3:$S$332,17,FALSE)</f>
        <v>2834.2529214697938</v>
      </c>
      <c r="T82" s="307">
        <f>VLOOKUP(A82,Targets!$A$1:$J$301,5,FALSE)</f>
        <v>1879.2156065807903</v>
      </c>
      <c r="U82" s="307">
        <f>VLOOKUP(A82,Targets!$A$1:$J$301,5,FALSE)</f>
        <v>1879.2156065807903</v>
      </c>
      <c r="V82" s="307">
        <f>VLOOKUP(A82,Targets!$A$1:$J$301,5,FALSE)</f>
        <v>1879.2156065807903</v>
      </c>
      <c r="W82" s="307">
        <f>VLOOKUP(A82,Targets!$A$1:$J$301,5,FALSE)*3</f>
        <v>5637.646819742371</v>
      </c>
      <c r="X82" s="307">
        <f>VLOOKUP(A82,Targets!$A$1:$J$301,6,FALSE)*2</f>
        <v>3758.4312131615807</v>
      </c>
      <c r="Y82" s="429"/>
      <c r="Z82" s="429"/>
      <c r="AA82" s="542"/>
      <c r="AB82" s="21"/>
    </row>
    <row r="83" spans="1:28" ht="285">
      <c r="A83" s="31">
        <v>80</v>
      </c>
      <c r="B83" s="22" t="s">
        <v>39</v>
      </c>
      <c r="C83" s="22" t="s">
        <v>40</v>
      </c>
      <c r="D83" s="22" t="s">
        <v>170</v>
      </c>
      <c r="E83" s="23" t="s">
        <v>171</v>
      </c>
      <c r="F83" s="22" t="s">
        <v>56</v>
      </c>
      <c r="G83" s="22" t="s">
        <v>53</v>
      </c>
      <c r="H83" s="22" t="s">
        <v>30</v>
      </c>
      <c r="I83" s="22" t="s">
        <v>172</v>
      </c>
      <c r="J83" s="22" t="s">
        <v>176</v>
      </c>
      <c r="K83" s="22" t="s">
        <v>174</v>
      </c>
      <c r="L83" s="22">
        <v>2016</v>
      </c>
      <c r="M83" s="335" t="str">
        <f ca="1">VLOOKUP(A83,'2020_ModelLink'!$A$3:$S$332,18,FALSE)</f>
        <v>N/A</v>
      </c>
      <c r="N83" s="335" t="str">
        <f ca="1">VLOOKUP(A83,'2020_ModelLink'!$A$3:$S$332,19,FALSE)</f>
        <v>N/A</v>
      </c>
      <c r="O83" s="721">
        <f ca="1">VLOOKUP($A83,'2016_ModelLink'!$A$3:$S$332,17,FALSE)</f>
        <v>3515134.8480861313</v>
      </c>
      <c r="P83" s="721">
        <f ca="1">VLOOKUP($A83,'2017_ModelLink'!$A$3:$S$332,17,FALSE)</f>
        <v>1927660.3566466852</v>
      </c>
      <c r="Q83" s="721">
        <f ca="1">VLOOKUP($A83,'2018_ModelLink'!$A$3:$S$332,17,FALSE)</f>
        <v>1278348.796947879</v>
      </c>
      <c r="R83" s="721">
        <f ca="1">VLOOKUP($A83,'2019_ModelLink'!$A$3:$S$332,17,FALSE)</f>
        <v>2351367.3470587926</v>
      </c>
      <c r="S83" s="721">
        <f ca="1">VLOOKUP($A83,'2020_ModelLink'!$A$3:$S$332,17,FALSE)</f>
        <v>15494532.942354519</v>
      </c>
      <c r="T83" s="307">
        <f>VLOOKUP(A83,Targets!$A$1:$J$301,5,FALSE)</f>
        <v>4163975.6682137055</v>
      </c>
      <c r="U83" s="307">
        <f>VLOOKUP(A83,Targets!$A$1:$J$301,5,FALSE)</f>
        <v>4163975.6682137055</v>
      </c>
      <c r="V83" s="307">
        <f>VLOOKUP(A83,Targets!$A$1:$J$301,5,FALSE)</f>
        <v>4163975.6682137055</v>
      </c>
      <c r="W83" s="307">
        <f>VLOOKUP(A83,Targets!$A$1:$J$301,5,FALSE)*3</f>
        <v>12491927.004641116</v>
      </c>
      <c r="X83" s="307">
        <f>VLOOKUP(A83,Targets!$A$1:$J$301,6,FALSE)*2</f>
        <v>8327951.3364274111</v>
      </c>
      <c r="Y83" s="429"/>
      <c r="Z83" s="429"/>
      <c r="AA83" s="542"/>
      <c r="AB83" s="21"/>
    </row>
    <row r="84" spans="1:28" ht="285">
      <c r="A84" s="31">
        <v>81</v>
      </c>
      <c r="B84" s="22" t="s">
        <v>39</v>
      </c>
      <c r="C84" s="22" t="s">
        <v>40</v>
      </c>
      <c r="D84" s="22" t="s">
        <v>170</v>
      </c>
      <c r="E84" s="23" t="s">
        <v>171</v>
      </c>
      <c r="F84" s="22" t="s">
        <v>57</v>
      </c>
      <c r="G84" s="22" t="s">
        <v>53</v>
      </c>
      <c r="H84" s="22" t="s">
        <v>30</v>
      </c>
      <c r="I84" s="22" t="s">
        <v>172</v>
      </c>
      <c r="J84" s="22" t="s">
        <v>177</v>
      </c>
      <c r="K84" s="22" t="s">
        <v>174</v>
      </c>
      <c r="L84" s="22">
        <v>2016</v>
      </c>
      <c r="M84" s="335" t="str">
        <f ca="1">VLOOKUP(A84,'2020_ModelLink'!$A$3:$S$332,18,FALSE)</f>
        <v>N/A</v>
      </c>
      <c r="N84" s="335" t="str">
        <f ca="1">VLOOKUP(A84,'2020_ModelLink'!$A$3:$S$332,19,FALSE)</f>
        <v>N/A</v>
      </c>
      <c r="O84" s="721">
        <f ca="1">VLOOKUP($A84,'2016_ModelLink'!$A$3:$S$332,17,FALSE)</f>
        <v>2625359.8568609315</v>
      </c>
      <c r="P84" s="721">
        <f ca="1">VLOOKUP($A84,'2017_ModelLink'!$A$3:$S$332,17,FALSE)</f>
        <v>1313895.7263670263</v>
      </c>
      <c r="Q84" s="721">
        <f ca="1">VLOOKUP($A84,'2018_ModelLink'!$A$3:$S$332,17,FALSE)</f>
        <v>825918.07880019047</v>
      </c>
      <c r="R84" s="721">
        <f ca="1">VLOOKUP($A84,'2019_ModelLink'!$A$3:$S$332,17,FALSE)</f>
        <v>1668325.764766549</v>
      </c>
      <c r="S84" s="721">
        <f ca="1">VLOOKUP($A84,'2020_ModelLink'!$A$3:$S$332,17,FALSE)</f>
        <v>15890094.776891826</v>
      </c>
      <c r="T84" s="307">
        <f>VLOOKUP(A84,Targets!$A$1:$J$301,5,FALSE)</f>
        <v>3152613.0685632708</v>
      </c>
      <c r="U84" s="307">
        <f>VLOOKUP(A84,Targets!$A$1:$J$301,5,FALSE)</f>
        <v>3152613.0685632708</v>
      </c>
      <c r="V84" s="307">
        <f>VLOOKUP(A84,Targets!$A$1:$J$301,5,FALSE)</f>
        <v>3152613.0685632708</v>
      </c>
      <c r="W84" s="307">
        <f>VLOOKUP(A84,Targets!$A$1:$J$301,5,FALSE)*3</f>
        <v>9457839.2056898121</v>
      </c>
      <c r="X84" s="307">
        <f>VLOOKUP(A84,Targets!$A$1:$J$301,6,FALSE)*2</f>
        <v>6305226.1371265417</v>
      </c>
      <c r="Y84" s="429"/>
      <c r="Z84" s="429"/>
      <c r="AA84" s="542"/>
      <c r="AB84" s="21"/>
    </row>
    <row r="85" spans="1:28" ht="285">
      <c r="A85" s="31">
        <v>82</v>
      </c>
      <c r="B85" s="22" t="s">
        <v>39</v>
      </c>
      <c r="C85" s="22" t="s">
        <v>40</v>
      </c>
      <c r="D85" s="22" t="s">
        <v>170</v>
      </c>
      <c r="E85" s="23" t="s">
        <v>171</v>
      </c>
      <c r="F85" s="22" t="s">
        <v>58</v>
      </c>
      <c r="G85" s="22" t="s">
        <v>53</v>
      </c>
      <c r="H85" s="22" t="s">
        <v>30</v>
      </c>
      <c r="I85" s="22" t="s">
        <v>172</v>
      </c>
      <c r="J85" s="22" t="s">
        <v>178</v>
      </c>
      <c r="K85" s="22" t="s">
        <v>174</v>
      </c>
      <c r="L85" s="22">
        <v>2016</v>
      </c>
      <c r="M85" s="335" t="str">
        <f ca="1">VLOOKUP(A85,'2020_ModelLink'!$A$3:$S$332,18,FALSE)</f>
        <v>N/A</v>
      </c>
      <c r="N85" s="335" t="str">
        <f ca="1">VLOOKUP(A85,'2020_ModelLink'!$A$3:$S$332,19,FALSE)</f>
        <v>N/A</v>
      </c>
      <c r="O85" s="721">
        <f ca="1">VLOOKUP($A85,'2016_ModelLink'!$A$3:$S$332,17,FALSE)</f>
        <v>40721.875985925755</v>
      </c>
      <c r="P85" s="721">
        <f ca="1">VLOOKUP($A85,'2017_ModelLink'!$A$3:$S$332,17,FALSE)</f>
        <v>36224.955523545803</v>
      </c>
      <c r="Q85" s="721">
        <f ca="1">VLOOKUP($A85,'2018_ModelLink'!$A$3:$S$332,17,FALSE)</f>
        <v>10484.676605899693</v>
      </c>
      <c r="R85" s="721">
        <f ca="1">VLOOKUP($A85,'2019_ModelLink'!$A$3:$S$332,17,FALSE)</f>
        <v>24608.467718135285</v>
      </c>
      <c r="S85" s="721">
        <f ca="1">VLOOKUP($A85,'2020_ModelLink'!$A$3:$S$332,17,FALSE)</f>
        <v>374173.23724446661</v>
      </c>
      <c r="T85" s="307">
        <f>VLOOKUP(A85,Targets!$A$1:$J$301,5,FALSE)</f>
        <v>50326.729533214566</v>
      </c>
      <c r="U85" s="307">
        <f>VLOOKUP(A85,Targets!$A$1:$J$301,5,FALSE)</f>
        <v>50326.729533214566</v>
      </c>
      <c r="V85" s="307">
        <f>VLOOKUP(A85,Targets!$A$1:$J$301,5,FALSE)</f>
        <v>50326.729533214566</v>
      </c>
      <c r="W85" s="307">
        <f>VLOOKUP(A85,Targets!$A$1:$J$301,5,FALSE)*3</f>
        <v>150980.1885996437</v>
      </c>
      <c r="X85" s="307">
        <f>VLOOKUP(A85,Targets!$A$1:$J$301,6,FALSE)*2</f>
        <v>100653.45906642913</v>
      </c>
      <c r="Y85" s="429" t="s">
        <v>179</v>
      </c>
      <c r="Z85" s="429" t="str">
        <f>Definitions!C$20</f>
        <v>A multi-family unit. Designated by a unique billing account under rate GR and location code (LC_CD) = B, C, D (&gt;= 2 units)</v>
      </c>
      <c r="AA85" s="542"/>
      <c r="AB85" s="21"/>
    </row>
    <row r="86" spans="1:28" ht="285">
      <c r="A86" s="31">
        <v>83</v>
      </c>
      <c r="B86" s="22" t="s">
        <v>39</v>
      </c>
      <c r="C86" s="22" t="s">
        <v>40</v>
      </c>
      <c r="D86" s="22" t="s">
        <v>170</v>
      </c>
      <c r="E86" s="23" t="s">
        <v>171</v>
      </c>
      <c r="F86" s="22" t="s">
        <v>60</v>
      </c>
      <c r="G86" s="22" t="s">
        <v>53</v>
      </c>
      <c r="H86" s="22" t="s">
        <v>30</v>
      </c>
      <c r="I86" s="22" t="s">
        <v>172</v>
      </c>
      <c r="J86" s="22" t="s">
        <v>180</v>
      </c>
      <c r="K86" s="22" t="s">
        <v>174</v>
      </c>
      <c r="L86" s="22">
        <v>2016</v>
      </c>
      <c r="M86" s="335" t="str">
        <f ca="1">VLOOKUP(A86,'2020_ModelLink'!$A$3:$S$332,18,FALSE)</f>
        <v>N/A</v>
      </c>
      <c r="N86" s="335" t="str">
        <f ca="1">VLOOKUP(A86,'2020_ModelLink'!$A$3:$S$332,19,FALSE)</f>
        <v>N/A</v>
      </c>
      <c r="O86" s="721">
        <f ca="1">VLOOKUP($A86,'2016_ModelLink'!$A$3:$S$332,17,FALSE)</f>
        <v>25268.224979089129</v>
      </c>
      <c r="P86" s="721">
        <f ca="1">VLOOKUP($A86,'2017_ModelLink'!$A$3:$S$332,17,FALSE)</f>
        <v>24024.130264612726</v>
      </c>
      <c r="Q86" s="721">
        <f ca="1">VLOOKUP($A86,'2018_ModelLink'!$A$3:$S$332,17,FALSE)</f>
        <v>5865.7814489256234</v>
      </c>
      <c r="R86" s="721">
        <f ca="1">VLOOKUP($A86,'2019_ModelLink'!$A$3:$S$332,17,FALSE)</f>
        <v>13695.783272898685</v>
      </c>
      <c r="S86" s="721">
        <f ca="1">VLOOKUP($A86,'2020_ModelLink'!$A$3:$S$332,17,FALSE)</f>
        <v>387621.69002220535</v>
      </c>
      <c r="T86" s="307">
        <f>VLOOKUP(A86,Targets!$A$1:$J$301,5,FALSE)</f>
        <v>39616.648223838019</v>
      </c>
      <c r="U86" s="307">
        <f>VLOOKUP(A86,Targets!$A$1:$J$301,5,FALSE)</f>
        <v>39616.648223838019</v>
      </c>
      <c r="V86" s="307">
        <f>VLOOKUP(A86,Targets!$A$1:$J$301,5,FALSE)</f>
        <v>39616.648223838019</v>
      </c>
      <c r="W86" s="307">
        <f>VLOOKUP(A86,Targets!$A$1:$J$301,5,FALSE)*3</f>
        <v>118849.94467151407</v>
      </c>
      <c r="X86" s="307">
        <f>VLOOKUP(A86,Targets!$A$1:$J$301,6,FALSE)*2</f>
        <v>79233.296447676039</v>
      </c>
      <c r="Y86" s="429" t="s">
        <v>179</v>
      </c>
      <c r="Z86" s="429" t="str">
        <f>Definitions!C$20</f>
        <v>A multi-family unit. Designated by a unique billing account under rate GR and location code (LC_CD) = B, C, D (&gt;= 2 units)</v>
      </c>
      <c r="AA86" s="542"/>
      <c r="AB86" s="21"/>
    </row>
    <row r="87" spans="1:28" ht="285">
      <c r="A87" s="31">
        <v>84</v>
      </c>
      <c r="B87" s="22" t="s">
        <v>39</v>
      </c>
      <c r="C87" s="22" t="s">
        <v>40</v>
      </c>
      <c r="D87" s="22" t="s">
        <v>170</v>
      </c>
      <c r="E87" s="23" t="s">
        <v>171</v>
      </c>
      <c r="F87" s="22" t="s">
        <v>61</v>
      </c>
      <c r="G87" s="22" t="s">
        <v>53</v>
      </c>
      <c r="H87" s="22" t="s">
        <v>30</v>
      </c>
      <c r="I87" s="22" t="s">
        <v>172</v>
      </c>
      <c r="J87" s="22" t="s">
        <v>181</v>
      </c>
      <c r="K87" s="22" t="s">
        <v>174</v>
      </c>
      <c r="L87" s="22">
        <v>2016</v>
      </c>
      <c r="M87" s="335" t="str">
        <f ca="1">VLOOKUP(A87,'2020_ModelLink'!$A$3:$S$332,18,FALSE)</f>
        <v>N/A</v>
      </c>
      <c r="N87" s="335" t="str">
        <f ca="1">VLOOKUP(A87,'2020_ModelLink'!$A$3:$S$332,19,FALSE)</f>
        <v>N/A</v>
      </c>
      <c r="O87" s="721">
        <f ca="1">VLOOKUP($A87,'2016_ModelLink'!$A$3:$S$332,17,FALSE)</f>
        <v>12212.805663345569</v>
      </c>
      <c r="P87" s="721">
        <f ca="1">VLOOKUP($A87,'2017_ModelLink'!$A$3:$S$332,17,FALSE)</f>
        <v>6857.0031069133192</v>
      </c>
      <c r="Q87" s="721">
        <f ca="1">VLOOKUP($A87,'2018_ModelLink'!$A$3:$S$332,17,FALSE)</f>
        <v>2944.1001747175792</v>
      </c>
      <c r="R87" s="721">
        <f ca="1">VLOOKUP($A87,'2019_ModelLink'!$A$3:$S$332,17,FALSE)</f>
        <v>1509.0301823954469</v>
      </c>
      <c r="S87" s="721">
        <f ca="1">VLOOKUP($A87,'2020_ModelLink'!$A$3:$S$332,17,FALSE)</f>
        <v>4054.2623407428978</v>
      </c>
      <c r="T87" s="307">
        <f>VLOOKUP(A87,Targets!$A$1:$J$301,5,FALSE)</f>
        <v>7306.4063528787756</v>
      </c>
      <c r="U87" s="307">
        <f>VLOOKUP(A87,Targets!$A$1:$J$301,5,FALSE)</f>
        <v>7306.4063528787756</v>
      </c>
      <c r="V87" s="307">
        <f>VLOOKUP(A87,Targets!$A$1:$J$301,5,FALSE)</f>
        <v>7306.4063528787756</v>
      </c>
      <c r="W87" s="307">
        <f>VLOOKUP(A87,Targets!$A$1:$J$301,5,FALSE)*3</f>
        <v>21919.219058636329</v>
      </c>
      <c r="X87" s="307">
        <f>VLOOKUP(A87,Targets!$A$1:$J$301,6,FALSE)*2</f>
        <v>14612.812705757551</v>
      </c>
      <c r="Y87" s="429"/>
      <c r="Z87" s="429"/>
      <c r="AA87" s="542"/>
      <c r="AB87" s="21"/>
    </row>
    <row r="88" spans="1:28" ht="285">
      <c r="A88" s="31">
        <v>85</v>
      </c>
      <c r="B88" s="22" t="s">
        <v>39</v>
      </c>
      <c r="C88" s="22" t="s">
        <v>40</v>
      </c>
      <c r="D88" s="22" t="s">
        <v>170</v>
      </c>
      <c r="E88" s="23" t="s">
        <v>171</v>
      </c>
      <c r="F88" s="22" t="s">
        <v>62</v>
      </c>
      <c r="G88" s="22" t="s">
        <v>53</v>
      </c>
      <c r="H88" s="22" t="s">
        <v>30</v>
      </c>
      <c r="I88" s="22" t="s">
        <v>172</v>
      </c>
      <c r="J88" s="22" t="s">
        <v>182</v>
      </c>
      <c r="K88" s="22" t="s">
        <v>174</v>
      </c>
      <c r="L88" s="22">
        <v>2016</v>
      </c>
      <c r="M88" s="335" t="str">
        <f ca="1">VLOOKUP(A88,'2020_ModelLink'!$A$3:$S$332,18,FALSE)</f>
        <v>N/A</v>
      </c>
      <c r="N88" s="335" t="str">
        <f ca="1">VLOOKUP(A88,'2020_ModelLink'!$A$3:$S$332,19,FALSE)</f>
        <v>N/A</v>
      </c>
      <c r="O88" s="721">
        <f ca="1">VLOOKUP($A88,'2016_ModelLink'!$A$3:$S$332,17,FALSE)</f>
        <v>9561.106466467374</v>
      </c>
      <c r="P88" s="721">
        <f ca="1">VLOOKUP($A88,'2017_ModelLink'!$A$3:$S$332,17,FALSE)</f>
        <v>4339.8669662691809</v>
      </c>
      <c r="Q88" s="721">
        <f ca="1">VLOOKUP($A88,'2018_ModelLink'!$A$3:$S$332,17,FALSE)</f>
        <v>1803.5670695796587</v>
      </c>
      <c r="R88" s="721">
        <f ca="1">VLOOKUP($A88,'2019_ModelLink'!$A$3:$S$332,17,FALSE)</f>
        <v>1186.4867226503263</v>
      </c>
      <c r="S88" s="721">
        <f ca="1">VLOOKUP($A88,'2020_ModelLink'!$A$3:$S$332,17,FALSE)</f>
        <v>3637.1866576251391</v>
      </c>
      <c r="T88" s="307">
        <f>VLOOKUP(A88,Targets!$A$1:$J$301,5,FALSE)</f>
        <v>5396.1399023338818</v>
      </c>
      <c r="U88" s="307">
        <f>VLOOKUP(A88,Targets!$A$1:$J$301,5,FALSE)</f>
        <v>5396.1399023338818</v>
      </c>
      <c r="V88" s="307">
        <f>VLOOKUP(A88,Targets!$A$1:$J$301,5,FALSE)</f>
        <v>5396.1399023338818</v>
      </c>
      <c r="W88" s="307">
        <f>VLOOKUP(A88,Targets!$A$1:$J$301,5,FALSE)*3</f>
        <v>16188.419707001645</v>
      </c>
      <c r="X88" s="307">
        <f>VLOOKUP(A88,Targets!$A$1:$J$301,6,FALSE)*2</f>
        <v>10792.279804667764</v>
      </c>
      <c r="Y88" s="429"/>
      <c r="Z88" s="429"/>
      <c r="AA88" s="542"/>
      <c r="AB88" s="21"/>
    </row>
    <row r="89" spans="1:28" ht="285">
      <c r="A89" s="31">
        <v>86</v>
      </c>
      <c r="B89" s="22" t="s">
        <v>39</v>
      </c>
      <c r="C89" s="22" t="s">
        <v>40</v>
      </c>
      <c r="D89" s="22" t="s">
        <v>170</v>
      </c>
      <c r="E89" s="23" t="s">
        <v>171</v>
      </c>
      <c r="F89" s="22" t="s">
        <v>63</v>
      </c>
      <c r="G89" s="22" t="s">
        <v>53</v>
      </c>
      <c r="H89" s="22" t="s">
        <v>30</v>
      </c>
      <c r="I89" s="22" t="s">
        <v>172</v>
      </c>
      <c r="J89" s="22" t="s">
        <v>183</v>
      </c>
      <c r="K89" s="22" t="s">
        <v>174</v>
      </c>
      <c r="L89" s="22">
        <v>2016</v>
      </c>
      <c r="M89" s="335" t="str">
        <f ca="1">VLOOKUP(A89,'2020_ModelLink'!$A$3:$S$332,18,FALSE)</f>
        <v>N/A</v>
      </c>
      <c r="N89" s="335" t="str">
        <f ca="1">VLOOKUP(A89,'2020_ModelLink'!$A$3:$S$332,19,FALSE)</f>
        <v>N/A</v>
      </c>
      <c r="O89" s="721">
        <f ca="1">VLOOKUP($A89,'2016_ModelLink'!$A$3:$S$332,17,FALSE)</f>
        <v>46049141.974360339</v>
      </c>
      <c r="P89" s="721">
        <f ca="1">VLOOKUP($A89,'2017_ModelLink'!$A$3:$S$332,17,FALSE)</f>
        <v>25237042.285346583</v>
      </c>
      <c r="Q89" s="721">
        <f ca="1">VLOOKUP($A89,'2018_ModelLink'!$A$3:$S$332,17,FALSE)</f>
        <v>16714964.959891923</v>
      </c>
      <c r="R89" s="721">
        <f ca="1">VLOOKUP($A89,'2019_ModelLink'!$A$3:$S$332,17,FALSE)</f>
        <v>14804156.202913992</v>
      </c>
      <c r="S89" s="721">
        <f ca="1">VLOOKUP($A89,'2020_ModelLink'!$A$3:$S$332,17,FALSE)</f>
        <v>20109152.663810141</v>
      </c>
      <c r="T89" s="307">
        <f>VLOOKUP(A89,Targets!$A$1:$J$301,5,FALSE)</f>
        <v>34835587.671396069</v>
      </c>
      <c r="U89" s="307">
        <f>VLOOKUP(A89,Targets!$A$1:$J$301,5,FALSE)</f>
        <v>34835587.671396069</v>
      </c>
      <c r="V89" s="307">
        <f>VLOOKUP(A89,Targets!$A$1:$J$301,5,FALSE)</f>
        <v>34835587.671396069</v>
      </c>
      <c r="W89" s="307">
        <f>VLOOKUP(A89,Targets!$A$1:$J$301,5,FALSE)*3</f>
        <v>104506763.0141882</v>
      </c>
      <c r="X89" s="307">
        <f>VLOOKUP(A89,Targets!$A$1:$J$301,6,FALSE)*2</f>
        <v>69671175.342792138</v>
      </c>
      <c r="Y89" s="429"/>
      <c r="Z89" s="429"/>
      <c r="AA89" s="542"/>
      <c r="AB89" s="21"/>
    </row>
    <row r="90" spans="1:28" ht="285">
      <c r="A90" s="31">
        <v>87</v>
      </c>
      <c r="B90" s="22" t="s">
        <v>39</v>
      </c>
      <c r="C90" s="22" t="s">
        <v>40</v>
      </c>
      <c r="D90" s="22" t="s">
        <v>170</v>
      </c>
      <c r="E90" s="23" t="s">
        <v>171</v>
      </c>
      <c r="F90" s="22" t="s">
        <v>64</v>
      </c>
      <c r="G90" s="22" t="s">
        <v>53</v>
      </c>
      <c r="H90" s="22" t="s">
        <v>30</v>
      </c>
      <c r="I90" s="22" t="s">
        <v>172</v>
      </c>
      <c r="J90" s="22" t="s">
        <v>184</v>
      </c>
      <c r="K90" s="22" t="s">
        <v>174</v>
      </c>
      <c r="L90" s="22">
        <v>2016</v>
      </c>
      <c r="M90" s="335" t="str">
        <f ca="1">VLOOKUP(A90,'2020_ModelLink'!$A$3:$S$332,18,FALSE)</f>
        <v>N/A</v>
      </c>
      <c r="N90" s="335" t="str">
        <f ca="1">VLOOKUP(A90,'2020_ModelLink'!$A$3:$S$332,19,FALSE)</f>
        <v>N/A</v>
      </c>
      <c r="O90" s="721">
        <f ca="1">VLOOKUP($A90,'2016_ModelLink'!$A$3:$S$332,17,FALSE)</f>
        <v>33164544.343028806</v>
      </c>
      <c r="P90" s="721">
        <f ca="1">VLOOKUP($A90,'2017_ModelLink'!$A$3:$S$332,17,FALSE)</f>
        <v>16538879.534338683</v>
      </c>
      <c r="Q90" s="721">
        <f ca="1">VLOOKUP($A90,'2018_ModelLink'!$A$3:$S$332,17,FALSE)</f>
        <v>10317369.910208927</v>
      </c>
      <c r="R90" s="721">
        <f ca="1">VLOOKUP($A90,'2019_ModelLink'!$A$3:$S$332,17,FALSE)</f>
        <v>10036625.689705309</v>
      </c>
      <c r="S90" s="721">
        <f ca="1">VLOOKUP($A90,'2020_ModelLink'!$A$3:$S$332,17,FALSE)</f>
        <v>18847541.687370114</v>
      </c>
      <c r="T90" s="307">
        <f>VLOOKUP(A90,Targets!$A$1:$J$301,5,FALSE)</f>
        <v>21815455.059507266</v>
      </c>
      <c r="U90" s="307">
        <f>VLOOKUP(A90,Targets!$A$1:$J$301,5,FALSE)</f>
        <v>21815455.059507266</v>
      </c>
      <c r="V90" s="307">
        <f>VLOOKUP(A90,Targets!$A$1:$J$301,5,FALSE)</f>
        <v>21815455.059507266</v>
      </c>
      <c r="W90" s="307">
        <f>VLOOKUP(A90,Targets!$A$1:$J$301,5,FALSE)*3</f>
        <v>65446365.178521797</v>
      </c>
      <c r="X90" s="307">
        <f>VLOOKUP(A90,Targets!$A$1:$J$301,6,FALSE)*2</f>
        <v>43630910.119014531</v>
      </c>
      <c r="Y90" s="429"/>
      <c r="Z90" s="429"/>
      <c r="AA90" s="542"/>
      <c r="AB90" s="21"/>
    </row>
    <row r="91" spans="1:28" ht="285">
      <c r="A91" s="31">
        <v>88</v>
      </c>
      <c r="B91" s="22" t="s">
        <v>39</v>
      </c>
      <c r="C91" s="22" t="s">
        <v>40</v>
      </c>
      <c r="D91" s="22" t="s">
        <v>170</v>
      </c>
      <c r="E91" s="23" t="s">
        <v>171</v>
      </c>
      <c r="F91" s="22" t="s">
        <v>65</v>
      </c>
      <c r="G91" s="22" t="s">
        <v>53</v>
      </c>
      <c r="H91" s="22" t="s">
        <v>30</v>
      </c>
      <c r="I91" s="22" t="s">
        <v>172</v>
      </c>
      <c r="J91" s="22" t="s">
        <v>185</v>
      </c>
      <c r="K91" s="22" t="s">
        <v>174</v>
      </c>
      <c r="L91" s="22">
        <v>2016</v>
      </c>
      <c r="M91" s="335" t="str">
        <f ca="1">VLOOKUP(A91,'2020_ModelLink'!$A$3:$S$332,18,FALSE)</f>
        <v>N/A</v>
      </c>
      <c r="N91" s="335" t="str">
        <f ca="1">VLOOKUP(A91,'2020_ModelLink'!$A$3:$S$332,19,FALSE)</f>
        <v>N/A</v>
      </c>
      <c r="O91" s="721">
        <f ca="1">VLOOKUP($A91,'2016_ModelLink'!$A$3:$S$332,17,FALSE)</f>
        <v>560964.19382027769</v>
      </c>
      <c r="P91" s="721">
        <f ca="1">VLOOKUP($A91,'2017_ModelLink'!$A$3:$S$332,17,FALSE)</f>
        <v>525635.65437626862</v>
      </c>
      <c r="Q91" s="721">
        <f ca="1">VLOOKUP($A91,'2018_ModelLink'!$A$3:$S$332,17,FALSE)</f>
        <v>167769.44976755657</v>
      </c>
      <c r="R91" s="721">
        <f ca="1">VLOOKUP($A91,'2019_ModelLink'!$A$3:$S$332,17,FALSE)</f>
        <v>345872.63006051077</v>
      </c>
      <c r="S91" s="721">
        <f ca="1">VLOOKUP($A91,'2020_ModelLink'!$A$3:$S$332,17,FALSE)</f>
        <v>463920.78687777388</v>
      </c>
      <c r="T91" s="307">
        <f>VLOOKUP(A91,Targets!$A$1:$J$301,5,FALSE)</f>
        <v>195129.59938028964</v>
      </c>
      <c r="U91" s="307">
        <f>VLOOKUP(A91,Targets!$A$1:$J$301,5,FALSE)</f>
        <v>195129.59938028964</v>
      </c>
      <c r="V91" s="307">
        <f>VLOOKUP(A91,Targets!$A$1:$J$301,5,FALSE)</f>
        <v>195129.59938028964</v>
      </c>
      <c r="W91" s="307">
        <f>VLOOKUP(A91,Targets!$A$1:$J$301,5,FALSE)*3</f>
        <v>585388.79814086889</v>
      </c>
      <c r="X91" s="307">
        <f>VLOOKUP(A91,Targets!$A$1:$J$301,6,FALSE)*2</f>
        <v>390259.19876057928</v>
      </c>
      <c r="Y91" s="429" t="s">
        <v>179</v>
      </c>
      <c r="Z91" s="429" t="str">
        <f>Definitions!C$20</f>
        <v>A multi-family unit. Designated by a unique billing account under rate GR and location code (LC_CD) = B, C, D (&gt;= 2 units)</v>
      </c>
      <c r="AA91" s="542"/>
      <c r="AB91" s="21"/>
    </row>
    <row r="92" spans="1:28" ht="285">
      <c r="A92" s="31">
        <v>89</v>
      </c>
      <c r="B92" s="22" t="s">
        <v>39</v>
      </c>
      <c r="C92" s="22" t="s">
        <v>40</v>
      </c>
      <c r="D92" s="22" t="s">
        <v>170</v>
      </c>
      <c r="E92" s="23" t="s">
        <v>171</v>
      </c>
      <c r="F92" s="22" t="s">
        <v>66</v>
      </c>
      <c r="G92" s="22" t="s">
        <v>53</v>
      </c>
      <c r="H92" s="22" t="s">
        <v>30</v>
      </c>
      <c r="I92" s="22" t="s">
        <v>172</v>
      </c>
      <c r="J92" s="22" t="s">
        <v>186</v>
      </c>
      <c r="K92" s="22" t="s">
        <v>174</v>
      </c>
      <c r="L92" s="22">
        <v>2016</v>
      </c>
      <c r="M92" s="335" t="str">
        <f ca="1">VLOOKUP(A92,'2020_ModelLink'!$A$3:$S$332,18,FALSE)</f>
        <v>N/A</v>
      </c>
      <c r="N92" s="335" t="str">
        <f ca="1">VLOOKUP(A92,'2020_ModelLink'!$A$3:$S$332,19,FALSE)</f>
        <v>N/A</v>
      </c>
      <c r="O92" s="721">
        <f ca="1">VLOOKUP($A92,'2016_ModelLink'!$A$3:$S$332,17,FALSE)</f>
        <v>371293.58326287294</v>
      </c>
      <c r="P92" s="721">
        <f ca="1">VLOOKUP($A92,'2017_ModelLink'!$A$3:$S$332,17,FALSE)</f>
        <v>349439.29916558019</v>
      </c>
      <c r="Q92" s="721">
        <f ca="1">VLOOKUP($A92,'2018_ModelLink'!$A$3:$S$332,17,FALSE)</f>
        <v>99843.581838185171</v>
      </c>
      <c r="R92" s="721">
        <f ca="1">VLOOKUP($A92,'2019_ModelLink'!$A$3:$S$332,17,FALSE)</f>
        <v>200510.07670012189</v>
      </c>
      <c r="S92" s="721">
        <f ca="1">VLOOKUP($A92,'2020_ModelLink'!$A$3:$S$332,17,FALSE)</f>
        <v>447181.16146424651</v>
      </c>
      <c r="T92" s="307">
        <f>VLOOKUP(A92,Targets!$A$1:$J$301,5,FALSE)</f>
        <v>120004.51135934365</v>
      </c>
      <c r="U92" s="307">
        <f>VLOOKUP(A92,Targets!$A$1:$J$301,5,FALSE)</f>
        <v>120004.51135934365</v>
      </c>
      <c r="V92" s="307">
        <f>VLOOKUP(A92,Targets!$A$1:$J$301,5,FALSE)</f>
        <v>120004.51135934365</v>
      </c>
      <c r="W92" s="307">
        <f>VLOOKUP(A92,Targets!$A$1:$J$301,5,FALSE)*3</f>
        <v>360013.53407803096</v>
      </c>
      <c r="X92" s="307">
        <f>VLOOKUP(A92,Targets!$A$1:$J$301,6,FALSE)*2</f>
        <v>240009.02271868731</v>
      </c>
      <c r="Y92" s="429" t="s">
        <v>179</v>
      </c>
      <c r="Z92" s="429" t="str">
        <f>Definitions!C$20</f>
        <v>A multi-family unit. Designated by a unique billing account under rate GR and location code (LC_CD) = B, C, D (&gt;= 2 units)</v>
      </c>
      <c r="AA92" s="542"/>
      <c r="AB92" s="21"/>
    </row>
    <row r="93" spans="1:28" ht="285">
      <c r="A93" s="31">
        <v>90</v>
      </c>
      <c r="B93" s="22" t="s">
        <v>39</v>
      </c>
      <c r="C93" s="22" t="s">
        <v>40</v>
      </c>
      <c r="D93" s="22" t="s">
        <v>170</v>
      </c>
      <c r="E93" s="23" t="s">
        <v>187</v>
      </c>
      <c r="F93" s="22" t="s">
        <v>52</v>
      </c>
      <c r="G93" s="22" t="s">
        <v>53</v>
      </c>
      <c r="H93" s="22" t="s">
        <v>30</v>
      </c>
      <c r="I93" s="22" t="s">
        <v>172</v>
      </c>
      <c r="J93" s="22" t="s">
        <v>188</v>
      </c>
      <c r="K93" s="22" t="s">
        <v>174</v>
      </c>
      <c r="L93" s="22">
        <v>2016</v>
      </c>
      <c r="M93" s="335" t="str">
        <f ca="1">VLOOKUP(A93,'2020_ModelLink'!$A$3:$S$332,18,FALSE)</f>
        <v>N/A</v>
      </c>
      <c r="N93" s="335" t="str">
        <f ca="1">VLOOKUP(A93,'2020_ModelLink'!$A$3:$S$332,19,FALSE)</f>
        <v>N/A</v>
      </c>
      <c r="O93" s="721">
        <f ca="1">VLOOKUP($A93,'2016_ModelLink'!$A$3:$S$332,17,FALSE)</f>
        <v>179.66311391256937</v>
      </c>
      <c r="P93" s="721">
        <f ca="1">VLOOKUP($A93,'2017_ModelLink'!$A$3:$S$332,17,FALSE)</f>
        <v>3.2145977314806737</v>
      </c>
      <c r="Q93" s="721">
        <f ca="1">VLOOKUP($A93,'2018_ModelLink'!$A$3:$S$332,17,FALSE)</f>
        <v>0</v>
      </c>
      <c r="R93" s="721">
        <f ca="1">VLOOKUP($A93,'2019_ModelLink'!$A$3:$S$332,17,FALSE)</f>
        <v>612.81753846723996</v>
      </c>
      <c r="S93" s="721">
        <f ca="1">VLOOKUP($A93,'2020_ModelLink'!$A$3:$S$332,17,FALSE)</f>
        <v>473.23329797333901</v>
      </c>
      <c r="T93" s="307">
        <f>VLOOKUP(A93,Targets!$A$1:$J$301,5,FALSE)</f>
        <v>174.5346430703155</v>
      </c>
      <c r="U93" s="307">
        <f>VLOOKUP(A93,Targets!$A$1:$J$301,5,FALSE)</f>
        <v>174.5346430703155</v>
      </c>
      <c r="V93" s="307">
        <f>VLOOKUP(A93,Targets!$A$1:$J$301,5,FALSE)</f>
        <v>174.5346430703155</v>
      </c>
      <c r="W93" s="307">
        <f>VLOOKUP(A93,Targets!$A$1:$J$301,5,FALSE)*3</f>
        <v>523.60392921094649</v>
      </c>
      <c r="X93" s="307">
        <f>VLOOKUP(A93,Targets!$A$1:$J$301,6,FALSE)*2</f>
        <v>349.06928614063099</v>
      </c>
      <c r="Y93" s="429"/>
      <c r="Z93" s="429"/>
      <c r="AA93" s="542"/>
      <c r="AB93" s="21"/>
    </row>
    <row r="94" spans="1:28" ht="285">
      <c r="A94" s="31">
        <v>91</v>
      </c>
      <c r="B94" s="22" t="s">
        <v>39</v>
      </c>
      <c r="C94" s="22" t="s">
        <v>40</v>
      </c>
      <c r="D94" s="22" t="s">
        <v>170</v>
      </c>
      <c r="E94" s="23" t="s">
        <v>187</v>
      </c>
      <c r="F94" s="22" t="s">
        <v>55</v>
      </c>
      <c r="G94" s="22" t="s">
        <v>53</v>
      </c>
      <c r="H94" s="22" t="s">
        <v>30</v>
      </c>
      <c r="I94" s="22" t="s">
        <v>172</v>
      </c>
      <c r="J94" s="22" t="s">
        <v>189</v>
      </c>
      <c r="K94" s="22" t="s">
        <v>174</v>
      </c>
      <c r="L94" s="22">
        <v>2016</v>
      </c>
      <c r="M94" s="335" t="str">
        <f ca="1">VLOOKUP(A94,'2020_ModelLink'!$A$3:$S$332,18,FALSE)</f>
        <v>N/A</v>
      </c>
      <c r="N94" s="335" t="str">
        <f ca="1">VLOOKUP(A94,'2020_ModelLink'!$A$3:$S$332,19,FALSE)</f>
        <v>N/A</v>
      </c>
      <c r="O94" s="721">
        <f ca="1">VLOOKUP($A94,'2016_ModelLink'!$A$3:$S$332,17,FALSE)</f>
        <v>136.97370720813427</v>
      </c>
      <c r="P94" s="721">
        <f ca="1">VLOOKUP($A94,'2017_ModelLink'!$A$3:$S$332,17,FALSE)</f>
        <v>2.4964126509166493</v>
      </c>
      <c r="Q94" s="721">
        <f ca="1">VLOOKUP($A94,'2018_ModelLink'!$A$3:$S$332,17,FALSE)</f>
        <v>0</v>
      </c>
      <c r="R94" s="721">
        <f ca="1">VLOOKUP($A94,'2019_ModelLink'!$A$3:$S$332,17,FALSE)</f>
        <v>466.77326383783571</v>
      </c>
      <c r="S94" s="721">
        <f ca="1">VLOOKUP($A94,'2020_ModelLink'!$A$3:$S$332,17,FALSE)</f>
        <v>317.6270806321217</v>
      </c>
      <c r="T94" s="307">
        <f>VLOOKUP(A94,Targets!$A$1:$J$301,5,FALSE)</f>
        <v>160.33782268484541</v>
      </c>
      <c r="U94" s="307">
        <f>VLOOKUP(A94,Targets!$A$1:$J$301,5,FALSE)</f>
        <v>160.33782268484541</v>
      </c>
      <c r="V94" s="307">
        <f>VLOOKUP(A94,Targets!$A$1:$J$301,5,FALSE)</f>
        <v>160.33782268484541</v>
      </c>
      <c r="W94" s="307">
        <f>VLOOKUP(A94,Targets!$A$1:$J$301,5,FALSE)*3</f>
        <v>481.01346805453625</v>
      </c>
      <c r="X94" s="307">
        <f>VLOOKUP(A94,Targets!$A$1:$J$301,6,FALSE)*2</f>
        <v>320.67564536969081</v>
      </c>
      <c r="Y94" s="429"/>
      <c r="Z94" s="429"/>
      <c r="AA94" s="542"/>
      <c r="AB94" s="21"/>
    </row>
    <row r="95" spans="1:28" ht="285">
      <c r="A95" s="31">
        <v>92</v>
      </c>
      <c r="B95" s="22" t="s">
        <v>39</v>
      </c>
      <c r="C95" s="22" t="s">
        <v>40</v>
      </c>
      <c r="D95" s="22" t="s">
        <v>170</v>
      </c>
      <c r="E95" s="23" t="s">
        <v>187</v>
      </c>
      <c r="F95" s="22" t="s">
        <v>56</v>
      </c>
      <c r="G95" s="22" t="s">
        <v>53</v>
      </c>
      <c r="H95" s="22" t="s">
        <v>30</v>
      </c>
      <c r="I95" s="22" t="s">
        <v>172</v>
      </c>
      <c r="J95" s="22" t="s">
        <v>190</v>
      </c>
      <c r="K95" s="22" t="s">
        <v>174</v>
      </c>
      <c r="L95" s="22">
        <v>2016</v>
      </c>
      <c r="M95" s="335" t="str">
        <f ca="1">VLOOKUP(A95,'2020_ModelLink'!$A$3:$S$332,18,FALSE)</f>
        <v>N/A</v>
      </c>
      <c r="N95" s="335" t="str">
        <f ca="1">VLOOKUP(A95,'2020_ModelLink'!$A$3:$S$332,19,FALSE)</f>
        <v>N/A</v>
      </c>
      <c r="O95" s="721">
        <f ca="1">VLOOKUP($A95,'2016_ModelLink'!$A$3:$S$332,17,FALSE)</f>
        <v>964484.10927345138</v>
      </c>
      <c r="P95" s="721">
        <f ca="1">VLOOKUP($A95,'2017_ModelLink'!$A$3:$S$332,17,FALSE)</f>
        <v>75731.238205650938</v>
      </c>
      <c r="Q95" s="721">
        <f ca="1">VLOOKUP($A95,'2018_ModelLink'!$A$3:$S$332,17,FALSE)</f>
        <v>0</v>
      </c>
      <c r="R95" s="721">
        <f ca="1">VLOOKUP($A95,'2019_ModelLink'!$A$3:$S$332,17,FALSE)</f>
        <v>1505805.4656984</v>
      </c>
      <c r="S95" s="721">
        <f ca="1">VLOOKUP($A95,'2020_ModelLink'!$A$3:$S$332,17,FALSE)</f>
        <v>894302.95553985599</v>
      </c>
      <c r="T95" s="307">
        <f>VLOOKUP(A95,Targets!$A$1:$J$301,5,FALSE)</f>
        <v>355277.37744197831</v>
      </c>
      <c r="U95" s="307">
        <f>VLOOKUP(A95,Targets!$A$1:$J$301,5,FALSE)</f>
        <v>355277.37744197831</v>
      </c>
      <c r="V95" s="307">
        <f>VLOOKUP(A95,Targets!$A$1:$J$301,5,FALSE)</f>
        <v>355277.37744197831</v>
      </c>
      <c r="W95" s="307">
        <f>VLOOKUP(A95,Targets!$A$1:$J$301,5,FALSE)*3</f>
        <v>1065832.1323259349</v>
      </c>
      <c r="X95" s="307">
        <f>VLOOKUP(A95,Targets!$A$1:$J$301,6,FALSE)*2</f>
        <v>710554.75488395663</v>
      </c>
      <c r="Y95" s="429"/>
      <c r="Z95" s="429"/>
      <c r="AA95" s="542"/>
      <c r="AB95" s="21"/>
    </row>
    <row r="96" spans="1:28" ht="285">
      <c r="A96" s="31">
        <v>93</v>
      </c>
      <c r="B96" s="22" t="s">
        <v>39</v>
      </c>
      <c r="C96" s="22" t="s">
        <v>40</v>
      </c>
      <c r="D96" s="22" t="s">
        <v>170</v>
      </c>
      <c r="E96" s="23" t="s">
        <v>187</v>
      </c>
      <c r="F96" s="22" t="s">
        <v>57</v>
      </c>
      <c r="G96" s="22" t="s">
        <v>53</v>
      </c>
      <c r="H96" s="22" t="s">
        <v>30</v>
      </c>
      <c r="I96" s="22" t="s">
        <v>172</v>
      </c>
      <c r="J96" s="22" t="s">
        <v>191</v>
      </c>
      <c r="K96" s="22" t="s">
        <v>174</v>
      </c>
      <c r="L96" s="22">
        <v>2016</v>
      </c>
      <c r="M96" s="335" t="str">
        <f ca="1">VLOOKUP(A96,'2020_ModelLink'!$A$3:$S$332,18,FALSE)</f>
        <v>N/A</v>
      </c>
      <c r="N96" s="335" t="str">
        <f ca="1">VLOOKUP(A96,'2020_ModelLink'!$A$3:$S$332,19,FALSE)</f>
        <v>N/A</v>
      </c>
      <c r="O96" s="721">
        <f ca="1">VLOOKUP($A96,'2016_ModelLink'!$A$3:$S$332,17,FALSE)</f>
        <v>695274.22810670407</v>
      </c>
      <c r="P96" s="721">
        <f ca="1">VLOOKUP($A96,'2017_ModelLink'!$A$3:$S$332,17,FALSE)</f>
        <v>51888.273623867812</v>
      </c>
      <c r="Q96" s="721">
        <f ca="1">VLOOKUP($A96,'2018_ModelLink'!$A$3:$S$332,17,FALSE)</f>
        <v>0</v>
      </c>
      <c r="R96" s="721">
        <f ca="1">VLOOKUP($A96,'2019_ModelLink'!$A$3:$S$332,17,FALSE)</f>
        <v>996265.9581351541</v>
      </c>
      <c r="S96" s="721">
        <f ca="1">VLOOKUP($A96,'2020_ModelLink'!$A$3:$S$332,17,FALSE)</f>
        <v>597915.3801314208</v>
      </c>
      <c r="T96" s="307">
        <f>VLOOKUP(A96,Targets!$A$1:$J$301,5,FALSE)</f>
        <v>268986.22670601611</v>
      </c>
      <c r="U96" s="307">
        <f>VLOOKUP(A96,Targets!$A$1:$J$301,5,FALSE)</f>
        <v>268986.22670601611</v>
      </c>
      <c r="V96" s="307">
        <f>VLOOKUP(A96,Targets!$A$1:$J$301,5,FALSE)</f>
        <v>268986.22670601611</v>
      </c>
      <c r="W96" s="307">
        <f>VLOOKUP(A96,Targets!$A$1:$J$301,5,FALSE)*3</f>
        <v>806958.68011804833</v>
      </c>
      <c r="X96" s="307">
        <f>VLOOKUP(A96,Targets!$A$1:$J$301,6,FALSE)*2</f>
        <v>537972.45341203222</v>
      </c>
      <c r="Y96" s="429"/>
      <c r="Z96" s="429"/>
      <c r="AA96" s="542"/>
      <c r="AB96" s="21"/>
    </row>
    <row r="97" spans="1:28" ht="285">
      <c r="A97" s="31">
        <v>94</v>
      </c>
      <c r="B97" s="22" t="s">
        <v>39</v>
      </c>
      <c r="C97" s="22" t="s">
        <v>40</v>
      </c>
      <c r="D97" s="22" t="s">
        <v>170</v>
      </c>
      <c r="E97" s="23" t="s">
        <v>187</v>
      </c>
      <c r="F97" s="22" t="s">
        <v>58</v>
      </c>
      <c r="G97" s="22" t="s">
        <v>53</v>
      </c>
      <c r="H97" s="22" t="s">
        <v>30</v>
      </c>
      <c r="I97" s="22" t="s">
        <v>172</v>
      </c>
      <c r="J97" s="22" t="s">
        <v>192</v>
      </c>
      <c r="K97" s="22" t="s">
        <v>174</v>
      </c>
      <c r="L97" s="22">
        <v>2016</v>
      </c>
      <c r="M97" s="335" t="str">
        <f ca="1">VLOOKUP(A97,'2020_ModelLink'!$A$3:$S$332,18,FALSE)</f>
        <v>N/A</v>
      </c>
      <c r="N97" s="335" t="str">
        <f ca="1">VLOOKUP(A97,'2020_ModelLink'!$A$3:$S$332,19,FALSE)</f>
        <v>N/A</v>
      </c>
      <c r="O97" s="721">
        <f ca="1">VLOOKUP($A97,'2016_ModelLink'!$A$3:$S$332,17,FALSE)</f>
        <v>8792.2766963747308</v>
      </c>
      <c r="P97" s="721">
        <f ca="1">VLOOKUP($A97,'2017_ModelLink'!$A$3:$S$332,17,FALSE)</f>
        <v>340.85037339717735</v>
      </c>
      <c r="Q97" s="721">
        <f ca="1">VLOOKUP($A97,'2018_ModelLink'!$A$3:$S$332,17,FALSE)</f>
        <v>0</v>
      </c>
      <c r="R97" s="721">
        <f ca="1">VLOOKUP($A97,'2019_ModelLink'!$A$3:$S$332,17,FALSE)</f>
        <v>47831.746023068205</v>
      </c>
      <c r="S97" s="721">
        <f ca="1">VLOOKUP($A97,'2020_ModelLink'!$A$3:$S$332,17,FALSE)</f>
        <v>24000.382445871961</v>
      </c>
      <c r="T97" s="307">
        <f>VLOOKUP(A97,Targets!$A$1:$J$301,5,FALSE)</f>
        <v>4293.9608461887365</v>
      </c>
      <c r="U97" s="307">
        <f>VLOOKUP(A97,Targets!$A$1:$J$301,5,FALSE)</f>
        <v>4293.9608461887365</v>
      </c>
      <c r="V97" s="307">
        <f>VLOOKUP(A97,Targets!$A$1:$J$301,5,FALSE)</f>
        <v>4293.9608461887365</v>
      </c>
      <c r="W97" s="307">
        <f>VLOOKUP(A97,Targets!$A$1:$J$301,5,FALSE)*3</f>
        <v>12881.882538566209</v>
      </c>
      <c r="X97" s="307">
        <f>VLOOKUP(A97,Targets!$A$1:$J$301,6,FALSE)*2</f>
        <v>8587.9216923774729</v>
      </c>
      <c r="Y97" s="429" t="s">
        <v>179</v>
      </c>
      <c r="Z97" s="429" t="str">
        <f>Definitions!C$22</f>
        <v>AL 3826. Natural gas procurement for MF accomodations supply Baseline uses through one meter. Such as service will be billed under rates designated for GM-E, GM-BE or GM-BEC, as appropriate.</v>
      </c>
      <c r="AA97" s="542"/>
      <c r="AB97" s="21"/>
    </row>
    <row r="98" spans="1:28" ht="285">
      <c r="A98" s="31">
        <v>95</v>
      </c>
      <c r="B98" s="22" t="s">
        <v>39</v>
      </c>
      <c r="C98" s="22" t="s">
        <v>40</v>
      </c>
      <c r="D98" s="22" t="s">
        <v>170</v>
      </c>
      <c r="E98" s="23" t="s">
        <v>187</v>
      </c>
      <c r="F98" s="22" t="s">
        <v>60</v>
      </c>
      <c r="G98" s="22" t="s">
        <v>53</v>
      </c>
      <c r="H98" s="22" t="s">
        <v>30</v>
      </c>
      <c r="I98" s="22" t="s">
        <v>172</v>
      </c>
      <c r="J98" s="22" t="s">
        <v>193</v>
      </c>
      <c r="K98" s="22" t="s">
        <v>174</v>
      </c>
      <c r="L98" s="22">
        <v>2016</v>
      </c>
      <c r="M98" s="335" t="str">
        <f ca="1">VLOOKUP(A98,'2020_ModelLink'!$A$3:$S$332,18,FALSE)</f>
        <v>N/A</v>
      </c>
      <c r="N98" s="335" t="str">
        <f ca="1">VLOOKUP(A98,'2020_ModelLink'!$A$3:$S$332,19,FALSE)</f>
        <v>N/A</v>
      </c>
      <c r="O98" s="721">
        <f ca="1">VLOOKUP($A98,'2016_ModelLink'!$A$3:$S$332,17,FALSE)</f>
        <v>5543.2893819244573</v>
      </c>
      <c r="P98" s="721">
        <f ca="1">VLOOKUP($A98,'2017_ModelLink'!$A$3:$S$332,17,FALSE)</f>
        <v>246.90576695026056</v>
      </c>
      <c r="Q98" s="721">
        <f ca="1">VLOOKUP($A98,'2018_ModelLink'!$A$3:$S$332,17,FALSE)</f>
        <v>0</v>
      </c>
      <c r="R98" s="721">
        <f ca="1">VLOOKUP($A98,'2019_ModelLink'!$A$3:$S$332,17,FALSE)</f>
        <v>29610.004248709818</v>
      </c>
      <c r="S98" s="721">
        <f ca="1">VLOOKUP($A98,'2020_ModelLink'!$A$3:$S$332,17,FALSE)</f>
        <v>16742.97437430673</v>
      </c>
      <c r="T98" s="307">
        <f>VLOOKUP(A98,Targets!$A$1:$J$301,5,FALSE)</f>
        <v>3380.1587726482899</v>
      </c>
      <c r="U98" s="307">
        <f>VLOOKUP(A98,Targets!$A$1:$J$301,5,FALSE)</f>
        <v>3380.1587726482899</v>
      </c>
      <c r="V98" s="307">
        <f>VLOOKUP(A98,Targets!$A$1:$J$301,5,FALSE)</f>
        <v>3380.1587726482899</v>
      </c>
      <c r="W98" s="307">
        <f>VLOOKUP(A98,Targets!$A$1:$J$301,5,FALSE)*3</f>
        <v>10140.476317944869</v>
      </c>
      <c r="X98" s="307">
        <f>VLOOKUP(A98,Targets!$A$1:$J$301,6,FALSE)*2</f>
        <v>6760.3175452965797</v>
      </c>
      <c r="Y98" s="429" t="s">
        <v>179</v>
      </c>
      <c r="Z98" s="429" t="str">
        <f>Definitions!C$22</f>
        <v>AL 3826. Natural gas procurement for MF accomodations supply Baseline uses through one meter. Such as service will be billed under rates designated for GM-E, GM-BE or GM-BEC, as appropriate.</v>
      </c>
      <c r="AA98" s="542"/>
      <c r="AB98" s="21"/>
    </row>
    <row r="99" spans="1:28" ht="285">
      <c r="A99" s="31">
        <v>96</v>
      </c>
      <c r="B99" s="22" t="s">
        <v>39</v>
      </c>
      <c r="C99" s="22" t="s">
        <v>40</v>
      </c>
      <c r="D99" s="22" t="s">
        <v>170</v>
      </c>
      <c r="E99" s="23" t="s">
        <v>187</v>
      </c>
      <c r="F99" s="22" t="s">
        <v>61</v>
      </c>
      <c r="G99" s="22" t="s">
        <v>53</v>
      </c>
      <c r="H99" s="22" t="s">
        <v>30</v>
      </c>
      <c r="I99" s="22" t="s">
        <v>172</v>
      </c>
      <c r="J99" s="22" t="s">
        <v>194</v>
      </c>
      <c r="K99" s="22" t="s">
        <v>174</v>
      </c>
      <c r="L99" s="22">
        <v>2016</v>
      </c>
      <c r="M99" s="335" t="str">
        <f ca="1">VLOOKUP(A99,'2020_ModelLink'!$A$3:$S$332,18,FALSE)</f>
        <v>N/A</v>
      </c>
      <c r="N99" s="335" t="str">
        <f ca="1">VLOOKUP(A99,'2020_ModelLink'!$A$3:$S$332,19,FALSE)</f>
        <v>N/A</v>
      </c>
      <c r="O99" s="721">
        <f ca="1">VLOOKUP($A99,'2016_ModelLink'!$A$3:$S$332,17,FALSE)</f>
        <v>1816.6152161294369</v>
      </c>
      <c r="P99" s="721">
        <f ca="1">VLOOKUP($A99,'2017_ModelLink'!$A$3:$S$332,17,FALSE)</f>
        <v>22.772752313722378</v>
      </c>
      <c r="Q99" s="721">
        <f ca="1">VLOOKUP($A99,'2018_ModelLink'!$A$3:$S$332,17,FALSE)</f>
        <v>0</v>
      </c>
      <c r="R99" s="721">
        <f ca="1">VLOOKUP($A99,'2019_ModelLink'!$A$3:$S$332,17,FALSE)</f>
        <v>2334.8742633611901</v>
      </c>
      <c r="S99" s="721">
        <f ca="1">VLOOKUP($A99,'2020_ModelLink'!$A$3:$S$332,17,FALSE)</f>
        <v>1911.6941065122201</v>
      </c>
      <c r="T99" s="307">
        <f>VLOOKUP(A99,Targets!$A$1:$J$301,5,FALSE)</f>
        <v>623.39482610131301</v>
      </c>
      <c r="U99" s="307">
        <f>VLOOKUP(A99,Targets!$A$1:$J$301,5,FALSE)</f>
        <v>623.39482610131301</v>
      </c>
      <c r="V99" s="307">
        <f>VLOOKUP(A99,Targets!$A$1:$J$301,5,FALSE)</f>
        <v>623.39482610131301</v>
      </c>
      <c r="W99" s="307">
        <f>VLOOKUP(A99,Targets!$A$1:$J$301,5,FALSE)*3</f>
        <v>1870.1844783039392</v>
      </c>
      <c r="X99" s="307">
        <f>VLOOKUP(A99,Targets!$A$1:$J$301,6,FALSE)*2</f>
        <v>1246.789652202626</v>
      </c>
      <c r="Y99" s="429"/>
      <c r="Z99" s="429"/>
      <c r="AA99" s="542"/>
      <c r="AB99" s="21"/>
    </row>
    <row r="100" spans="1:28" ht="285">
      <c r="A100" s="31">
        <v>97</v>
      </c>
      <c r="B100" s="22" t="s">
        <v>39</v>
      </c>
      <c r="C100" s="22" t="s">
        <v>40</v>
      </c>
      <c r="D100" s="22" t="s">
        <v>170</v>
      </c>
      <c r="E100" s="23" t="s">
        <v>187</v>
      </c>
      <c r="F100" s="22" t="s">
        <v>62</v>
      </c>
      <c r="G100" s="22" t="s">
        <v>53</v>
      </c>
      <c r="H100" s="22" t="s">
        <v>30</v>
      </c>
      <c r="I100" s="22" t="s">
        <v>172</v>
      </c>
      <c r="J100" s="22" t="s">
        <v>195</v>
      </c>
      <c r="K100" s="22" t="s">
        <v>174</v>
      </c>
      <c r="L100" s="22">
        <v>2016</v>
      </c>
      <c r="M100" s="335" t="str">
        <f ca="1">VLOOKUP(A100,'2020_ModelLink'!$A$3:$S$332,18,FALSE)</f>
        <v>N/A</v>
      </c>
      <c r="N100" s="335" t="str">
        <f ca="1">VLOOKUP(A100,'2020_ModelLink'!$A$3:$S$332,19,FALSE)</f>
        <v>N/A</v>
      </c>
      <c r="O100" s="721">
        <f ca="1">VLOOKUP($A100,'2016_ModelLink'!$A$3:$S$332,17,FALSE)</f>
        <v>1316.9663351064876</v>
      </c>
      <c r="P100" s="721">
        <f ca="1">VLOOKUP($A100,'2017_ModelLink'!$A$3:$S$332,17,FALSE)</f>
        <v>19.052256035260427</v>
      </c>
      <c r="Q100" s="721">
        <f ca="1">VLOOKUP($A100,'2018_ModelLink'!$A$3:$S$332,17,FALSE)</f>
        <v>0</v>
      </c>
      <c r="R100" s="721">
        <f ca="1">VLOOKUP($A100,'2019_ModelLink'!$A$3:$S$332,17,FALSE)</f>
        <v>1697.2428099729545</v>
      </c>
      <c r="S100" s="721">
        <f ca="1">VLOOKUP($A100,'2020_ModelLink'!$A$3:$S$332,17,FALSE)</f>
        <v>1273.0910692480127</v>
      </c>
      <c r="T100" s="307">
        <f>VLOOKUP(A100,Targets!$A$1:$J$301,5,FALSE)</f>
        <v>460.40769340845327</v>
      </c>
      <c r="U100" s="307">
        <f>VLOOKUP(A100,Targets!$A$1:$J$301,5,FALSE)</f>
        <v>460.40769340845327</v>
      </c>
      <c r="V100" s="307">
        <f>VLOOKUP(A100,Targets!$A$1:$J$301,5,FALSE)</f>
        <v>460.40769340845327</v>
      </c>
      <c r="W100" s="307">
        <f>VLOOKUP(A100,Targets!$A$1:$J$301,5,FALSE)*3</f>
        <v>1381.2230802253598</v>
      </c>
      <c r="X100" s="307">
        <f>VLOOKUP(A100,Targets!$A$1:$J$301,6,FALSE)*2</f>
        <v>920.81538681690654</v>
      </c>
      <c r="Y100" s="429"/>
      <c r="Z100" s="429"/>
      <c r="AA100" s="542"/>
      <c r="AB100" s="21"/>
    </row>
    <row r="101" spans="1:28" ht="285">
      <c r="A101" s="31">
        <v>98</v>
      </c>
      <c r="B101" s="22" t="s">
        <v>39</v>
      </c>
      <c r="C101" s="22" t="s">
        <v>40</v>
      </c>
      <c r="D101" s="22" t="s">
        <v>170</v>
      </c>
      <c r="E101" s="23" t="s">
        <v>187</v>
      </c>
      <c r="F101" s="22" t="s">
        <v>63</v>
      </c>
      <c r="G101" s="22" t="s">
        <v>53</v>
      </c>
      <c r="H101" s="22" t="s">
        <v>30</v>
      </c>
      <c r="I101" s="22" t="s">
        <v>172</v>
      </c>
      <c r="J101" s="22" t="s">
        <v>196</v>
      </c>
      <c r="K101" s="22" t="s">
        <v>174</v>
      </c>
      <c r="L101" s="22">
        <v>2016</v>
      </c>
      <c r="M101" s="335" t="str">
        <f ca="1">VLOOKUP(A101,'2020_ModelLink'!$A$3:$S$332,18,FALSE)</f>
        <v>N/A</v>
      </c>
      <c r="N101" s="335" t="str">
        <f ca="1">VLOOKUP(A101,'2020_ModelLink'!$A$3:$S$332,19,FALSE)</f>
        <v>N/A</v>
      </c>
      <c r="O101" s="721">
        <f ca="1">VLOOKUP($A101,'2016_ModelLink'!$A$3:$S$332,17,FALSE)</f>
        <v>10981626.05236597</v>
      </c>
      <c r="P101" s="721">
        <f ca="1">VLOOKUP($A101,'2017_ModelLink'!$A$3:$S$332,17,FALSE)</f>
        <v>931764.26533041103</v>
      </c>
      <c r="Q101" s="721">
        <f ca="1">VLOOKUP($A101,'2018_ModelLink'!$A$3:$S$332,17,FALSE)</f>
        <v>0</v>
      </c>
      <c r="R101" s="721">
        <f ca="1">VLOOKUP($A101,'2019_ModelLink'!$A$3:$S$332,17,FALSE)</f>
        <v>9862738.1381028295</v>
      </c>
      <c r="S101" s="721">
        <f ca="1">VLOOKUP($A101,'2020_ModelLink'!$A$3:$S$332,17,FALSE)</f>
        <v>4947734.3823678801</v>
      </c>
      <c r="T101" s="307">
        <f>VLOOKUP(A101,Targets!$A$1:$J$301,5,FALSE)</f>
        <v>2972230.6794489478</v>
      </c>
      <c r="U101" s="307">
        <f>VLOOKUP(A101,Targets!$A$1:$J$301,5,FALSE)</f>
        <v>2972230.6794489478</v>
      </c>
      <c r="V101" s="307">
        <f>VLOOKUP(A101,Targets!$A$1:$J$301,5,FALSE)</f>
        <v>2972230.6794489478</v>
      </c>
      <c r="W101" s="307">
        <f>VLOOKUP(A101,Targets!$A$1:$J$301,5,FALSE)*3</f>
        <v>8916692.0383468438</v>
      </c>
      <c r="X101" s="307">
        <f>VLOOKUP(A101,Targets!$A$1:$J$301,6,FALSE)*2</f>
        <v>5944461.3588978956</v>
      </c>
      <c r="Y101" s="429"/>
      <c r="Z101" s="429"/>
      <c r="AA101" s="542"/>
      <c r="AB101" s="21"/>
    </row>
    <row r="102" spans="1:28" ht="285">
      <c r="A102" s="31">
        <v>99</v>
      </c>
      <c r="B102" s="22" t="s">
        <v>39</v>
      </c>
      <c r="C102" s="22" t="s">
        <v>40</v>
      </c>
      <c r="D102" s="22" t="s">
        <v>170</v>
      </c>
      <c r="E102" s="23" t="s">
        <v>187</v>
      </c>
      <c r="F102" s="22" t="s">
        <v>64</v>
      </c>
      <c r="G102" s="22" t="s">
        <v>53</v>
      </c>
      <c r="H102" s="22" t="s">
        <v>30</v>
      </c>
      <c r="I102" s="22" t="s">
        <v>172</v>
      </c>
      <c r="J102" s="22" t="s">
        <v>197</v>
      </c>
      <c r="K102" s="22" t="s">
        <v>174</v>
      </c>
      <c r="L102" s="22">
        <v>2016</v>
      </c>
      <c r="M102" s="335" t="str">
        <f ca="1">VLOOKUP(A102,'2020_ModelLink'!$A$3:$S$332,18,FALSE)</f>
        <v>N/A</v>
      </c>
      <c r="N102" s="335" t="str">
        <f ca="1">VLOOKUP(A102,'2020_ModelLink'!$A$3:$S$332,19,FALSE)</f>
        <v>N/A</v>
      </c>
      <c r="O102" s="721">
        <f ca="1">VLOOKUP($A102,'2016_ModelLink'!$A$3:$S$332,17,FALSE)</f>
        <v>7486838.00215948</v>
      </c>
      <c r="P102" s="721">
        <f ca="1">VLOOKUP($A102,'2017_ModelLink'!$A$3:$S$332,17,FALSE)</f>
        <v>629953.80776272097</v>
      </c>
      <c r="Q102" s="721">
        <f ca="1">VLOOKUP($A102,'2018_ModelLink'!$A$3:$S$332,17,FALSE)</f>
        <v>0</v>
      </c>
      <c r="R102" s="721">
        <f ca="1">VLOOKUP($A102,'2019_ModelLink'!$A$3:$S$332,17,FALSE)</f>
        <v>6193583.0252720006</v>
      </c>
      <c r="S102" s="721">
        <f ca="1">VLOOKUP($A102,'2020_ModelLink'!$A$3:$S$332,17,FALSE)</f>
        <v>3292261.1533036013</v>
      </c>
      <c r="T102" s="307">
        <f>VLOOKUP(A102,Targets!$A$1:$J$301,5,FALSE)</f>
        <v>1861331.1601241818</v>
      </c>
      <c r="U102" s="307">
        <f>VLOOKUP(A102,Targets!$A$1:$J$301,5,FALSE)</f>
        <v>1861331.1601241818</v>
      </c>
      <c r="V102" s="307">
        <f>VLOOKUP(A102,Targets!$A$1:$J$301,5,FALSE)</f>
        <v>1861331.1601241818</v>
      </c>
      <c r="W102" s="307">
        <f>VLOOKUP(A102,Targets!$A$1:$J$301,5,FALSE)*3</f>
        <v>5583993.4803725453</v>
      </c>
      <c r="X102" s="307">
        <f>VLOOKUP(A102,Targets!$A$1:$J$301,6,FALSE)*2</f>
        <v>3722662.3202483635</v>
      </c>
      <c r="Y102" s="429"/>
      <c r="Z102" s="429"/>
      <c r="AA102" s="542"/>
      <c r="AB102" s="21"/>
    </row>
    <row r="103" spans="1:28" ht="285">
      <c r="A103" s="31">
        <v>100</v>
      </c>
      <c r="B103" s="22" t="s">
        <v>39</v>
      </c>
      <c r="C103" s="22" t="s">
        <v>40</v>
      </c>
      <c r="D103" s="22" t="s">
        <v>170</v>
      </c>
      <c r="E103" s="23" t="s">
        <v>187</v>
      </c>
      <c r="F103" s="22" t="s">
        <v>65</v>
      </c>
      <c r="G103" s="22" t="s">
        <v>53</v>
      </c>
      <c r="H103" s="22" t="s">
        <v>30</v>
      </c>
      <c r="I103" s="22" t="s">
        <v>172</v>
      </c>
      <c r="J103" s="22" t="s">
        <v>198</v>
      </c>
      <c r="K103" s="22" t="s">
        <v>174</v>
      </c>
      <c r="L103" s="22">
        <v>2016</v>
      </c>
      <c r="M103" s="335" t="str">
        <f ca="1">VLOOKUP(A103,'2020_ModelLink'!$A$3:$S$332,18,FALSE)</f>
        <v>N/A</v>
      </c>
      <c r="N103" s="335" t="str">
        <f ca="1">VLOOKUP(A103,'2020_ModelLink'!$A$3:$S$332,19,FALSE)</f>
        <v>N/A</v>
      </c>
      <c r="O103" s="721">
        <f ca="1">VLOOKUP($A103,'2016_ModelLink'!$A$3:$S$332,17,FALSE)</f>
        <v>89746.586656676416</v>
      </c>
      <c r="P103" s="721">
        <f ca="1">VLOOKUP($A103,'2017_ModelLink'!$A$3:$S$332,17,FALSE)</f>
        <v>-288.13398167120465</v>
      </c>
      <c r="Q103" s="721">
        <f ca="1">VLOOKUP($A103,'2018_ModelLink'!$A$3:$S$332,17,FALSE)</f>
        <v>0</v>
      </c>
      <c r="R103" s="721">
        <f ca="1">VLOOKUP($A103,'2019_ModelLink'!$A$3:$S$332,17,FALSE)</f>
        <v>491198.30008748802</v>
      </c>
      <c r="S103" s="721">
        <f ca="1">VLOOKUP($A103,'2020_ModelLink'!$A$3:$S$332,17,FALSE)</f>
        <v>174837.23265558452</v>
      </c>
      <c r="T103" s="307">
        <f>VLOOKUP(A103,Targets!$A$1:$J$301,5,FALSE)</f>
        <v>16648.784203600502</v>
      </c>
      <c r="U103" s="307">
        <f>VLOOKUP(A103,Targets!$A$1:$J$301,5,FALSE)</f>
        <v>16648.784203600502</v>
      </c>
      <c r="V103" s="307">
        <f>VLOOKUP(A103,Targets!$A$1:$J$301,5,FALSE)</f>
        <v>16648.784203600502</v>
      </c>
      <c r="W103" s="307">
        <f>VLOOKUP(A103,Targets!$A$1:$J$301,5,FALSE)*3</f>
        <v>49946.352610801507</v>
      </c>
      <c r="X103" s="307">
        <f>VLOOKUP(A103,Targets!$A$1:$J$301,6,FALSE)*2</f>
        <v>33297.568407201004</v>
      </c>
      <c r="Y103" s="429" t="s">
        <v>179</v>
      </c>
      <c r="Z103" s="429" t="str">
        <f>Definitions!C$22</f>
        <v>AL 3826. Natural gas procurement for MF accomodations supply Baseline uses through one meter. Such as service will be billed under rates designated for GM-E, GM-BE or GM-BEC, as appropriate.</v>
      </c>
      <c r="AA103" s="542"/>
      <c r="AB103" s="21"/>
    </row>
    <row r="104" spans="1:28" ht="285">
      <c r="A104" s="31">
        <v>101</v>
      </c>
      <c r="B104" s="22" t="s">
        <v>39</v>
      </c>
      <c r="C104" s="22" t="s">
        <v>40</v>
      </c>
      <c r="D104" s="22" t="s">
        <v>170</v>
      </c>
      <c r="E104" s="23" t="s">
        <v>187</v>
      </c>
      <c r="F104" s="22" t="s">
        <v>66</v>
      </c>
      <c r="G104" s="22" t="s">
        <v>53</v>
      </c>
      <c r="H104" s="22" t="s">
        <v>30</v>
      </c>
      <c r="I104" s="22" t="s">
        <v>172</v>
      </c>
      <c r="J104" s="22" t="s">
        <v>199</v>
      </c>
      <c r="K104" s="22" t="s">
        <v>174</v>
      </c>
      <c r="L104" s="22">
        <v>2016</v>
      </c>
      <c r="M104" s="335" t="str">
        <f ca="1">VLOOKUP(A104,'2020_ModelLink'!$A$3:$S$332,18,FALSE)</f>
        <v>N/A</v>
      </c>
      <c r="N104" s="335" t="str">
        <f ca="1">VLOOKUP(A104,'2020_ModelLink'!$A$3:$S$332,19,FALSE)</f>
        <v>N/A</v>
      </c>
      <c r="O104" s="721">
        <f ca="1">VLOOKUP($A104,'2016_ModelLink'!$A$3:$S$332,17,FALSE)</f>
        <v>63474.740110751896</v>
      </c>
      <c r="P104" s="721">
        <f ca="1">VLOOKUP($A104,'2017_ModelLink'!$A$3:$S$332,17,FALSE)</f>
        <v>-432.3494416749736</v>
      </c>
      <c r="Q104" s="721">
        <f ca="1">VLOOKUP($A104,'2018_ModelLink'!$A$3:$S$332,17,FALSE)</f>
        <v>0</v>
      </c>
      <c r="R104" s="721">
        <f ca="1">VLOOKUP($A104,'2019_ModelLink'!$A$3:$S$332,17,FALSE)</f>
        <v>300691.72016428836</v>
      </c>
      <c r="S104" s="721">
        <f ca="1">VLOOKUP($A104,'2020_ModelLink'!$A$3:$S$332,17,FALSE)</f>
        <v>117291.16209752079</v>
      </c>
      <c r="T104" s="307">
        <f>VLOOKUP(A104,Targets!$A$1:$J$301,5,FALSE)</f>
        <v>10238.98588130885</v>
      </c>
      <c r="U104" s="307">
        <f>VLOOKUP(A104,Targets!$A$1:$J$301,5,FALSE)</f>
        <v>10238.98588130885</v>
      </c>
      <c r="V104" s="307">
        <f>VLOOKUP(A104,Targets!$A$1:$J$301,5,FALSE)</f>
        <v>10238.98588130885</v>
      </c>
      <c r="W104" s="307">
        <f>VLOOKUP(A104,Targets!$A$1:$J$301,5,FALSE)*3</f>
        <v>30716.957643926551</v>
      </c>
      <c r="X104" s="307">
        <f>VLOOKUP(A104,Targets!$A$1:$J$301,6,FALSE)*2</f>
        <v>20477.971762617701</v>
      </c>
      <c r="Y104" s="429" t="s">
        <v>179</v>
      </c>
      <c r="Z104" s="429" t="str">
        <f>Definitions!C$22</f>
        <v>AL 3826. Natural gas procurement for MF accomodations supply Baseline uses through one meter. Such as service will be billed under rates designated for GM-E, GM-BE or GM-BEC, as appropriate.</v>
      </c>
      <c r="AA104" s="542"/>
      <c r="AB104" s="21"/>
    </row>
    <row r="105" spans="1:28" ht="285">
      <c r="A105" s="31">
        <v>102</v>
      </c>
      <c r="B105" s="22" t="s">
        <v>39</v>
      </c>
      <c r="C105" s="22" t="s">
        <v>40</v>
      </c>
      <c r="D105" s="22" t="s">
        <v>170</v>
      </c>
      <c r="E105" s="23" t="s">
        <v>200</v>
      </c>
      <c r="F105" s="22" t="s">
        <v>52</v>
      </c>
      <c r="G105" s="22" t="s">
        <v>53</v>
      </c>
      <c r="H105" s="22" t="s">
        <v>30</v>
      </c>
      <c r="I105" s="22" t="s">
        <v>172</v>
      </c>
      <c r="J105" s="22" t="s">
        <v>201</v>
      </c>
      <c r="K105" s="22" t="s">
        <v>174</v>
      </c>
      <c r="L105" s="22">
        <v>2016</v>
      </c>
      <c r="M105" s="335" t="str">
        <f ca="1">VLOOKUP(A105,'2020_ModelLink'!$A$3:$S$332,18,FALSE)</f>
        <v>N/A</v>
      </c>
      <c r="N105" s="335" t="str">
        <f ca="1">VLOOKUP(A105,'2020_ModelLink'!$A$3:$S$332,19,FALSE)</f>
        <v>N/A</v>
      </c>
      <c r="O105" s="721">
        <f ca="1">VLOOKUP($A105,'2016_ModelLink'!$A$3:$S$332,17,FALSE)</f>
        <v>2.2948559936257622</v>
      </c>
      <c r="P105" s="721">
        <f ca="1">VLOOKUP($A105,'2017_ModelLink'!$A$3:$S$332,17,FALSE)</f>
        <v>759.07662427382411</v>
      </c>
      <c r="Q105" s="721">
        <f ca="1">VLOOKUP($A105,'2018_ModelLink'!$A$3:$S$332,17,FALSE)</f>
        <v>532.70939885066502</v>
      </c>
      <c r="R105" s="721">
        <f ca="1">VLOOKUP($A105,'2019_ModelLink'!$A$3:$S$332,17,FALSE)</f>
        <v>295.83382005334192</v>
      </c>
      <c r="S105" s="721">
        <f ca="1">VLOOKUP($A105,'2020_ModelLink'!$A$3:$S$332,17,FALSE)</f>
        <v>44.203631837464549</v>
      </c>
      <c r="T105" s="307">
        <f>VLOOKUP(A105,Targets!$A$1:$J$301,5,FALSE)</f>
        <v>2220.1419717380322</v>
      </c>
      <c r="U105" s="307">
        <f>VLOOKUP(A105,Targets!$A$1:$J$301,5,FALSE)</f>
        <v>2220.1419717380322</v>
      </c>
      <c r="V105" s="307">
        <f>VLOOKUP(A105,Targets!$A$1:$J$301,5,FALSE)</f>
        <v>2220.1419717380322</v>
      </c>
      <c r="W105" s="307">
        <f>VLOOKUP(A105,Targets!$A$1:$J$301,5,FALSE)*3</f>
        <v>6660.4259152140967</v>
      </c>
      <c r="X105" s="307">
        <f>VLOOKUP(A105,Targets!$A$1:$J$301,6,FALSE)*2</f>
        <v>4440.2839434760645</v>
      </c>
      <c r="Y105" s="429"/>
      <c r="Z105" s="429"/>
      <c r="AA105" s="542"/>
      <c r="AB105" s="21"/>
    </row>
    <row r="106" spans="1:28" ht="285">
      <c r="A106" s="31">
        <v>103</v>
      </c>
      <c r="B106" s="22" t="s">
        <v>39</v>
      </c>
      <c r="C106" s="22" t="s">
        <v>40</v>
      </c>
      <c r="D106" s="22" t="s">
        <v>170</v>
      </c>
      <c r="E106" s="23" t="s">
        <v>200</v>
      </c>
      <c r="F106" s="22" t="s">
        <v>55</v>
      </c>
      <c r="G106" s="22" t="s">
        <v>53</v>
      </c>
      <c r="H106" s="22" t="s">
        <v>30</v>
      </c>
      <c r="I106" s="22" t="s">
        <v>172</v>
      </c>
      <c r="J106" s="22" t="s">
        <v>202</v>
      </c>
      <c r="K106" s="22" t="s">
        <v>174</v>
      </c>
      <c r="L106" s="22">
        <v>2016</v>
      </c>
      <c r="M106" s="335" t="str">
        <f ca="1">VLOOKUP(A106,'2020_ModelLink'!$A$3:$S$332,18,FALSE)</f>
        <v>N/A</v>
      </c>
      <c r="N106" s="335" t="str">
        <f ca="1">VLOOKUP(A106,'2020_ModelLink'!$A$3:$S$332,19,FALSE)</f>
        <v>N/A</v>
      </c>
      <c r="O106" s="721">
        <f ca="1">VLOOKUP($A106,'2016_ModelLink'!$A$3:$S$332,17,FALSE)</f>
        <v>1.8141154684596772</v>
      </c>
      <c r="P106" s="721">
        <f ca="1">VLOOKUP($A106,'2017_ModelLink'!$A$3:$S$332,17,FALSE)</f>
        <v>549.99555323302025</v>
      </c>
      <c r="Q106" s="721">
        <f ca="1">VLOOKUP($A106,'2018_ModelLink'!$A$3:$S$332,17,FALSE)</f>
        <v>404.66758912006918</v>
      </c>
      <c r="R106" s="721">
        <f ca="1">VLOOKUP($A106,'2019_ModelLink'!$A$3:$S$332,17,FALSE)</f>
        <v>239.66784916986686</v>
      </c>
      <c r="S106" s="721">
        <f ca="1">VLOOKUP($A106,'2020_ModelLink'!$A$3:$S$332,17,FALSE)</f>
        <v>26.522179629427182</v>
      </c>
      <c r="T106" s="307">
        <f>VLOOKUP(A106,Targets!$A$1:$J$301,5,FALSE)</f>
        <v>2039.5534292656355</v>
      </c>
      <c r="U106" s="307">
        <f>VLOOKUP(A106,Targets!$A$1:$J$301,5,FALSE)</f>
        <v>2039.5534292656355</v>
      </c>
      <c r="V106" s="307">
        <f>VLOOKUP(A106,Targets!$A$1:$J$301,5,FALSE)</f>
        <v>2039.5534292656355</v>
      </c>
      <c r="W106" s="307">
        <f>VLOOKUP(A106,Targets!$A$1:$J$301,5,FALSE)*3</f>
        <v>6118.6602877969062</v>
      </c>
      <c r="X106" s="307">
        <f>VLOOKUP(A106,Targets!$A$1:$J$301,6,FALSE)*2</f>
        <v>4079.106858531271</v>
      </c>
      <c r="Y106" s="429"/>
      <c r="Z106" s="429"/>
      <c r="AA106" s="542"/>
      <c r="AB106" s="21"/>
    </row>
    <row r="107" spans="1:28" ht="285">
      <c r="A107" s="31">
        <v>104</v>
      </c>
      <c r="B107" s="22" t="s">
        <v>39</v>
      </c>
      <c r="C107" s="22" t="s">
        <v>40</v>
      </c>
      <c r="D107" s="22" t="s">
        <v>170</v>
      </c>
      <c r="E107" s="23" t="s">
        <v>200</v>
      </c>
      <c r="F107" s="22" t="s">
        <v>56</v>
      </c>
      <c r="G107" s="22" t="s">
        <v>53</v>
      </c>
      <c r="H107" s="22" t="s">
        <v>30</v>
      </c>
      <c r="I107" s="22" t="s">
        <v>172</v>
      </c>
      <c r="J107" s="22" t="s">
        <v>203</v>
      </c>
      <c r="K107" s="22" t="s">
        <v>174</v>
      </c>
      <c r="L107" s="22">
        <v>2016</v>
      </c>
      <c r="M107" s="335" t="str">
        <f ca="1">VLOOKUP(A107,'2020_ModelLink'!$A$3:$S$332,18,FALSE)</f>
        <v>N/A</v>
      </c>
      <c r="N107" s="335" t="str">
        <f ca="1">VLOOKUP(A107,'2020_ModelLink'!$A$3:$S$332,19,FALSE)</f>
        <v>N/A</v>
      </c>
      <c r="O107" s="721">
        <f ca="1">VLOOKUP($A107,'2016_ModelLink'!$A$3:$S$332,17,FALSE)</f>
        <v>9437.3598381299926</v>
      </c>
      <c r="P107" s="721">
        <f ca="1">VLOOKUP($A107,'2017_ModelLink'!$A$3:$S$332,17,FALSE)</f>
        <v>7483086.972370836</v>
      </c>
      <c r="Q107" s="721">
        <f ca="1">VLOOKUP($A107,'2018_ModelLink'!$A$3:$S$332,17,FALSE)</f>
        <v>1810305.6616795</v>
      </c>
      <c r="R107" s="721">
        <f ca="1">VLOOKUP($A107,'2019_ModelLink'!$A$3:$S$332,17,FALSE)</f>
        <v>945388.48241063219</v>
      </c>
      <c r="S107" s="721">
        <f ca="1">VLOOKUP($A107,'2020_ModelLink'!$A$3:$S$332,17,FALSE)</f>
        <v>142106.93686552515</v>
      </c>
      <c r="T107" s="307">
        <f>VLOOKUP(A107,Targets!$A$1:$J$301,5,FALSE)</f>
        <v>4519253.0456556836</v>
      </c>
      <c r="U107" s="307">
        <f>VLOOKUP(A107,Targets!$A$1:$J$301,5,FALSE)</f>
        <v>4519253.0456556836</v>
      </c>
      <c r="V107" s="307">
        <f>VLOOKUP(A107,Targets!$A$1:$J$301,5,FALSE)</f>
        <v>4519253.0456556836</v>
      </c>
      <c r="W107" s="307">
        <f>VLOOKUP(A107,Targets!$A$1:$J$301,5,FALSE)*3</f>
        <v>13557759.136967052</v>
      </c>
      <c r="X107" s="307">
        <f>VLOOKUP(A107,Targets!$A$1:$J$301,6,FALSE)*2</f>
        <v>9038506.0913113672</v>
      </c>
      <c r="Y107" s="429"/>
      <c r="Z107" s="429"/>
      <c r="AA107" s="542"/>
      <c r="AB107" s="21"/>
    </row>
    <row r="108" spans="1:28" ht="285">
      <c r="A108" s="31">
        <v>105</v>
      </c>
      <c r="B108" s="22" t="s">
        <v>39</v>
      </c>
      <c r="C108" s="22" t="s">
        <v>40</v>
      </c>
      <c r="D108" s="22" t="s">
        <v>170</v>
      </c>
      <c r="E108" s="23" t="s">
        <v>200</v>
      </c>
      <c r="F108" s="22" t="s">
        <v>57</v>
      </c>
      <c r="G108" s="22" t="s">
        <v>53</v>
      </c>
      <c r="H108" s="22" t="s">
        <v>30</v>
      </c>
      <c r="I108" s="22" t="s">
        <v>172</v>
      </c>
      <c r="J108" s="22" t="s">
        <v>204</v>
      </c>
      <c r="K108" s="22" t="s">
        <v>174</v>
      </c>
      <c r="L108" s="22">
        <v>2016</v>
      </c>
      <c r="M108" s="335" t="str">
        <f ca="1">VLOOKUP(A108,'2020_ModelLink'!$A$3:$S$332,18,FALSE)</f>
        <v>N/A</v>
      </c>
      <c r="N108" s="335" t="str">
        <f ca="1">VLOOKUP(A108,'2020_ModelLink'!$A$3:$S$332,19,FALSE)</f>
        <v>N/A</v>
      </c>
      <c r="O108" s="721">
        <f ca="1">VLOOKUP($A108,'2016_ModelLink'!$A$3:$S$332,17,FALSE)</f>
        <v>7067.957955825831</v>
      </c>
      <c r="P108" s="721">
        <f ca="1">VLOOKUP($A108,'2017_ModelLink'!$A$3:$S$332,17,FALSE)</f>
        <v>5348025.2220682688</v>
      </c>
      <c r="Q108" s="721">
        <f ca="1">VLOOKUP($A108,'2018_ModelLink'!$A$3:$S$332,17,FALSE)</f>
        <v>1229103.758879758</v>
      </c>
      <c r="R108" s="721">
        <f ca="1">VLOOKUP($A108,'2019_ModelLink'!$A$3:$S$332,17,FALSE)</f>
        <v>683328.81799301051</v>
      </c>
      <c r="S108" s="721">
        <f ca="1">VLOOKUP($A108,'2020_ModelLink'!$A$3:$S$332,17,FALSE)</f>
        <v>85264.163813361665</v>
      </c>
      <c r="T108" s="307">
        <f>VLOOKUP(A108,Targets!$A$1:$J$301,5,FALSE)</f>
        <v>3421599.2952692867</v>
      </c>
      <c r="U108" s="307">
        <f>VLOOKUP(A108,Targets!$A$1:$J$301,5,FALSE)</f>
        <v>3421599.2952692867</v>
      </c>
      <c r="V108" s="307">
        <f>VLOOKUP(A108,Targets!$A$1:$J$301,5,FALSE)</f>
        <v>3421599.2952692867</v>
      </c>
      <c r="W108" s="307">
        <f>VLOOKUP(A108,Targets!$A$1:$J$301,5,FALSE)*3</f>
        <v>10264797.885807861</v>
      </c>
      <c r="X108" s="307">
        <f>VLOOKUP(A108,Targets!$A$1:$J$301,6,FALSE)*2</f>
        <v>6843198.5905385735</v>
      </c>
      <c r="Y108" s="429"/>
      <c r="Z108" s="429"/>
      <c r="AA108" s="542"/>
      <c r="AB108" s="21"/>
    </row>
    <row r="109" spans="1:28" ht="285">
      <c r="A109" s="31">
        <v>106</v>
      </c>
      <c r="B109" s="22" t="s">
        <v>39</v>
      </c>
      <c r="C109" s="22" t="s">
        <v>40</v>
      </c>
      <c r="D109" s="22" t="s">
        <v>170</v>
      </c>
      <c r="E109" s="23" t="s">
        <v>200</v>
      </c>
      <c r="F109" s="22" t="s">
        <v>58</v>
      </c>
      <c r="G109" s="22" t="s">
        <v>53</v>
      </c>
      <c r="H109" s="22" t="s">
        <v>30</v>
      </c>
      <c r="I109" s="22" t="s">
        <v>172</v>
      </c>
      <c r="J109" s="22" t="s">
        <v>205</v>
      </c>
      <c r="K109" s="22" t="s">
        <v>174</v>
      </c>
      <c r="L109" s="22">
        <v>2016</v>
      </c>
      <c r="M109" s="335" t="str">
        <f ca="1">VLOOKUP(A109,'2020_ModelLink'!$A$3:$S$332,18,FALSE)</f>
        <v>N/A</v>
      </c>
      <c r="N109" s="335" t="str">
        <f ca="1">VLOOKUP(A109,'2020_ModelLink'!$A$3:$S$332,19,FALSE)</f>
        <v>N/A</v>
      </c>
      <c r="O109" s="721">
        <f ca="1">VLOOKUP($A109,'2016_ModelLink'!$A$3:$S$332,17,FALSE)</f>
        <v>347.53545859703235</v>
      </c>
      <c r="P109" s="721">
        <f ca="1">VLOOKUP($A109,'2017_ModelLink'!$A$3:$S$332,17,FALSE)</f>
        <v>62430.278941530822</v>
      </c>
      <c r="Q109" s="721">
        <f ca="1">VLOOKUP($A109,'2018_ModelLink'!$A$3:$S$332,17,FALSE)</f>
        <v>183358.90166458068</v>
      </c>
      <c r="R109" s="721">
        <f ca="1">VLOOKUP($A109,'2019_ModelLink'!$A$3:$S$332,17,FALSE)</f>
        <v>15979.783781101989</v>
      </c>
      <c r="S109" s="721">
        <f ca="1">VLOOKUP($A109,'2020_ModelLink'!$A$3:$S$332,17,FALSE)</f>
        <v>5203.5126562540627</v>
      </c>
      <c r="T109" s="307">
        <f>VLOOKUP(A109,Targets!$A$1:$J$301,5,FALSE)</f>
        <v>54620.690379403299</v>
      </c>
      <c r="U109" s="307">
        <f>VLOOKUP(A109,Targets!$A$1:$J$301,5,FALSE)</f>
        <v>54620.690379403299</v>
      </c>
      <c r="V109" s="307">
        <f>VLOOKUP(A109,Targets!$A$1:$J$301,5,FALSE)</f>
        <v>54620.690379403299</v>
      </c>
      <c r="W109" s="307">
        <f>VLOOKUP(A109,Targets!$A$1:$J$301,5,FALSE)*3</f>
        <v>163862.0711382099</v>
      </c>
      <c r="X109" s="307">
        <f>VLOOKUP(A109,Targets!$A$1:$J$301,6,FALSE)*2</f>
        <v>109241.3807588066</v>
      </c>
      <c r="Y109" s="429" t="s">
        <v>179</v>
      </c>
      <c r="Z109" s="429" t="str">
        <f>Definitions!C$21</f>
        <v>AL 3826. Natural gas supplied through a single meter to common facilities only, will be billed under rates GM-C, GM-BC or GM-BCC, as appropriate.</v>
      </c>
      <c r="AA109" s="542"/>
      <c r="AB109" s="21"/>
    </row>
    <row r="110" spans="1:28" ht="285">
      <c r="A110" s="31">
        <v>107</v>
      </c>
      <c r="B110" s="22" t="s">
        <v>39</v>
      </c>
      <c r="C110" s="22" t="s">
        <v>40</v>
      </c>
      <c r="D110" s="22" t="s">
        <v>170</v>
      </c>
      <c r="E110" s="23" t="s">
        <v>200</v>
      </c>
      <c r="F110" s="22" t="s">
        <v>60</v>
      </c>
      <c r="G110" s="22" t="s">
        <v>53</v>
      </c>
      <c r="H110" s="22" t="s">
        <v>30</v>
      </c>
      <c r="I110" s="22" t="s">
        <v>172</v>
      </c>
      <c r="J110" s="22" t="s">
        <v>206</v>
      </c>
      <c r="K110" s="22" t="s">
        <v>174</v>
      </c>
      <c r="L110" s="22">
        <v>2016</v>
      </c>
      <c r="M110" s="335" t="str">
        <f ca="1">VLOOKUP(A110,'2020_ModelLink'!$A$3:$S$332,18,FALSE)</f>
        <v>N/A</v>
      </c>
      <c r="N110" s="335" t="str">
        <f ca="1">VLOOKUP(A110,'2020_ModelLink'!$A$3:$S$332,19,FALSE)</f>
        <v>N/A</v>
      </c>
      <c r="O110" s="721">
        <f ca="1">VLOOKUP($A110,'2016_ModelLink'!$A$3:$S$332,17,FALSE)</f>
        <v>205.89504009842426</v>
      </c>
      <c r="P110" s="721">
        <f ca="1">VLOOKUP($A110,'2017_ModelLink'!$A$3:$S$332,17,FALSE)</f>
        <v>41800.438527461592</v>
      </c>
      <c r="Q110" s="721">
        <f ca="1">VLOOKUP($A110,'2018_ModelLink'!$A$3:$S$332,17,FALSE)</f>
        <v>114802.08959769846</v>
      </c>
      <c r="R110" s="721">
        <f ca="1">VLOOKUP($A110,'2019_ModelLink'!$A$3:$S$332,17,FALSE)</f>
        <v>10023.095131716365</v>
      </c>
      <c r="S110" s="721">
        <f ca="1">VLOOKUP($A110,'2020_ModelLink'!$A$3:$S$332,17,FALSE)</f>
        <v>3525.9652979913144</v>
      </c>
      <c r="T110" s="307">
        <f>VLOOKUP(A110,Targets!$A$1:$J$301,5,FALSE)</f>
        <v>42996.806996486303</v>
      </c>
      <c r="U110" s="307">
        <f>VLOOKUP(A110,Targets!$A$1:$J$301,5,FALSE)</f>
        <v>42996.806996486303</v>
      </c>
      <c r="V110" s="307">
        <f>VLOOKUP(A110,Targets!$A$1:$J$301,5,FALSE)</f>
        <v>42996.806996486303</v>
      </c>
      <c r="W110" s="307">
        <f>VLOOKUP(A110,Targets!$A$1:$J$301,5,FALSE)*3</f>
        <v>128990.42098945891</v>
      </c>
      <c r="X110" s="307">
        <f>VLOOKUP(A110,Targets!$A$1:$J$301,6,FALSE)*2</f>
        <v>85993.613992972605</v>
      </c>
      <c r="Y110" s="429" t="s">
        <v>179</v>
      </c>
      <c r="Z110" s="429" t="str">
        <f>Definitions!C$21</f>
        <v>AL 3826. Natural gas supplied through a single meter to common facilities only, will be billed under rates GM-C, GM-BC or GM-BCC, as appropriate.</v>
      </c>
      <c r="AA110" s="542"/>
      <c r="AB110" s="21"/>
    </row>
    <row r="111" spans="1:28" ht="285">
      <c r="A111" s="31">
        <v>108</v>
      </c>
      <c r="B111" s="22" t="s">
        <v>39</v>
      </c>
      <c r="C111" s="22" t="s">
        <v>40</v>
      </c>
      <c r="D111" s="22" t="s">
        <v>170</v>
      </c>
      <c r="E111" s="23" t="s">
        <v>200</v>
      </c>
      <c r="F111" s="22" t="s">
        <v>61</v>
      </c>
      <c r="G111" s="22" t="s">
        <v>53</v>
      </c>
      <c r="H111" s="22" t="s">
        <v>30</v>
      </c>
      <c r="I111" s="22" t="s">
        <v>172</v>
      </c>
      <c r="J111" s="22" t="s">
        <v>207</v>
      </c>
      <c r="K111" s="22" t="s">
        <v>174</v>
      </c>
      <c r="L111" s="22">
        <v>2016</v>
      </c>
      <c r="M111" s="335" t="str">
        <f ca="1">VLOOKUP(A111,'2020_ModelLink'!$A$3:$S$332,18,FALSE)</f>
        <v>N/A</v>
      </c>
      <c r="N111" s="335" t="str">
        <f ca="1">VLOOKUP(A111,'2020_ModelLink'!$A$3:$S$332,19,FALSE)</f>
        <v>N/A</v>
      </c>
      <c r="O111" s="721">
        <f ca="1">VLOOKUP($A111,'2016_ModelLink'!$A$3:$S$332,17,FALSE)</f>
        <v>21.021047825213778</v>
      </c>
      <c r="P111" s="721">
        <f ca="1">VLOOKUP($A111,'2017_ModelLink'!$A$3:$S$332,17,FALSE)</f>
        <v>5467.4462053439074</v>
      </c>
      <c r="Q111" s="721">
        <f ca="1">VLOOKUP($A111,'2018_ModelLink'!$A$3:$S$332,17,FALSE)</f>
        <v>3226.0769265078825</v>
      </c>
      <c r="R111" s="721">
        <f ca="1">VLOOKUP($A111,'2019_ModelLink'!$A$3:$S$332,17,FALSE)</f>
        <v>927.19700802013165</v>
      </c>
      <c r="S111" s="721">
        <f ca="1">VLOOKUP($A111,'2020_ModelLink'!$A$3:$S$332,17,FALSE)</f>
        <v>175.62397211619006</v>
      </c>
      <c r="T111" s="307">
        <f>VLOOKUP(A111,Targets!$A$1:$J$301,5,FALSE)</f>
        <v>7929.8011789800885</v>
      </c>
      <c r="U111" s="307">
        <f>VLOOKUP(A111,Targets!$A$1:$J$301,5,FALSE)</f>
        <v>7929.8011789800885</v>
      </c>
      <c r="V111" s="307">
        <f>VLOOKUP(A111,Targets!$A$1:$J$301,5,FALSE)</f>
        <v>7929.8011789800885</v>
      </c>
      <c r="W111" s="307">
        <f>VLOOKUP(A111,Targets!$A$1:$J$301,5,FALSE)*3</f>
        <v>23789.403536940266</v>
      </c>
      <c r="X111" s="307">
        <f>VLOOKUP(A111,Targets!$A$1:$J$301,6,FALSE)*2</f>
        <v>15859.602357960177</v>
      </c>
      <c r="Y111" s="429"/>
      <c r="Z111" s="429"/>
      <c r="AA111" s="542"/>
      <c r="AB111" s="21"/>
    </row>
    <row r="112" spans="1:28" ht="285">
      <c r="A112" s="31">
        <v>109</v>
      </c>
      <c r="B112" s="22" t="s">
        <v>39</v>
      </c>
      <c r="C112" s="22" t="s">
        <v>40</v>
      </c>
      <c r="D112" s="22" t="s">
        <v>170</v>
      </c>
      <c r="E112" s="23" t="s">
        <v>200</v>
      </c>
      <c r="F112" s="22" t="s">
        <v>62</v>
      </c>
      <c r="G112" s="22" t="s">
        <v>53</v>
      </c>
      <c r="H112" s="22" t="s">
        <v>30</v>
      </c>
      <c r="I112" s="22" t="s">
        <v>172</v>
      </c>
      <c r="J112" s="22" t="s">
        <v>208</v>
      </c>
      <c r="K112" s="22" t="s">
        <v>174</v>
      </c>
      <c r="L112" s="22">
        <v>2016</v>
      </c>
      <c r="M112" s="335" t="str">
        <f ca="1">VLOOKUP(A112,'2020_ModelLink'!$A$3:$S$332,18,FALSE)</f>
        <v>N/A</v>
      </c>
      <c r="N112" s="335" t="str">
        <f ca="1">VLOOKUP(A112,'2020_ModelLink'!$A$3:$S$332,19,FALSE)</f>
        <v>N/A</v>
      </c>
      <c r="O112" s="721">
        <f ca="1">VLOOKUP($A112,'2016_ModelLink'!$A$3:$S$332,17,FALSE)</f>
        <v>15.484829734260011</v>
      </c>
      <c r="P112" s="721">
        <f ca="1">VLOOKUP($A112,'2017_ModelLink'!$A$3:$S$332,17,FALSE)</f>
        <v>4077.0401928630044</v>
      </c>
      <c r="Q112" s="721">
        <f ca="1">VLOOKUP($A112,'2018_ModelLink'!$A$3:$S$332,17,FALSE)</f>
        <v>2224.0404643668626</v>
      </c>
      <c r="R112" s="721">
        <f ca="1">VLOOKUP($A112,'2019_ModelLink'!$A$3:$S$332,17,FALSE)</f>
        <v>744.71766701418085</v>
      </c>
      <c r="S112" s="721">
        <f ca="1">VLOOKUP($A112,'2020_ModelLink'!$A$3:$S$332,17,FALSE)</f>
        <v>105.37438536331554</v>
      </c>
      <c r="T112" s="307">
        <f>VLOOKUP(A112,Targets!$A$1:$J$301,5,FALSE)</f>
        <v>5856.5475957423359</v>
      </c>
      <c r="U112" s="307">
        <f>VLOOKUP(A112,Targets!$A$1:$J$301,5,FALSE)</f>
        <v>5856.5475957423359</v>
      </c>
      <c r="V112" s="307">
        <f>VLOOKUP(A112,Targets!$A$1:$J$301,5,FALSE)</f>
        <v>5856.5475957423359</v>
      </c>
      <c r="W112" s="307">
        <f>VLOOKUP(A112,Targets!$A$1:$J$301,5,FALSE)*3</f>
        <v>17569.642787227007</v>
      </c>
      <c r="X112" s="307">
        <f>VLOOKUP(A112,Targets!$A$1:$J$301,6,FALSE)*2</f>
        <v>11713.095191484672</v>
      </c>
      <c r="Y112" s="429"/>
      <c r="Z112" s="429"/>
      <c r="AA112" s="542"/>
      <c r="AB112" s="21"/>
    </row>
    <row r="113" spans="1:28" ht="285">
      <c r="A113" s="31">
        <v>110</v>
      </c>
      <c r="B113" s="22" t="s">
        <v>39</v>
      </c>
      <c r="C113" s="22" t="s">
        <v>40</v>
      </c>
      <c r="D113" s="22" t="s">
        <v>170</v>
      </c>
      <c r="E113" s="23" t="s">
        <v>200</v>
      </c>
      <c r="F113" s="22" t="s">
        <v>63</v>
      </c>
      <c r="G113" s="22" t="s">
        <v>53</v>
      </c>
      <c r="H113" s="22" t="s">
        <v>30</v>
      </c>
      <c r="I113" s="22" t="s">
        <v>172</v>
      </c>
      <c r="J113" s="22" t="s">
        <v>209</v>
      </c>
      <c r="K113" s="22" t="s">
        <v>174</v>
      </c>
      <c r="L113" s="22">
        <v>2016</v>
      </c>
      <c r="M113" s="335" t="str">
        <f ca="1">VLOOKUP(A113,'2020_ModelLink'!$A$3:$S$332,18,FALSE)</f>
        <v>N/A</v>
      </c>
      <c r="N113" s="335" t="str">
        <f ca="1">VLOOKUP(A113,'2020_ModelLink'!$A$3:$S$332,19,FALSE)</f>
        <v>N/A</v>
      </c>
      <c r="O113" s="721">
        <f ca="1">VLOOKUP($A113,'2016_ModelLink'!$A$3:$S$332,17,FALSE)</f>
        <v>88531.347012777289</v>
      </c>
      <c r="P113" s="721">
        <f ca="1">VLOOKUP($A113,'2017_ModelLink'!$A$3:$S$332,17,FALSE)</f>
        <v>90435276.594303176</v>
      </c>
      <c r="Q113" s="721">
        <f ca="1">VLOOKUP($A113,'2018_ModelLink'!$A$3:$S$332,17,FALSE)</f>
        <v>15192873.811917851</v>
      </c>
      <c r="R113" s="721">
        <f ca="1">VLOOKUP($A113,'2019_ModelLink'!$A$3:$S$332,17,FALSE)</f>
        <v>5200166.6123276148</v>
      </c>
      <c r="S113" s="721">
        <f ca="1">VLOOKUP($A113,'2020_ModelLink'!$A$3:$S$332,17,FALSE)</f>
        <v>872214.08680340752</v>
      </c>
      <c r="T113" s="307">
        <f>VLOOKUP(A113,Targets!$A$1:$J$301,5,FALSE)</f>
        <v>3419490.3110347735</v>
      </c>
      <c r="U113" s="307">
        <f>VLOOKUP(A113,Targets!$A$1:$J$301,5,FALSE)</f>
        <v>3419490.3110347735</v>
      </c>
      <c r="V113" s="307">
        <f>VLOOKUP(A113,Targets!$A$1:$J$301,5,FALSE)</f>
        <v>3419490.3110347735</v>
      </c>
      <c r="W113" s="307">
        <f>VLOOKUP(A113,Targets!$A$1:$J$301,5,FALSE)*3</f>
        <v>10258470.933104321</v>
      </c>
      <c r="X113" s="307">
        <f>VLOOKUP(A113,Targets!$A$1:$J$301,6,FALSE)*2</f>
        <v>6838980.622069547</v>
      </c>
      <c r="Y113" s="429"/>
      <c r="Z113" s="429"/>
      <c r="AA113" s="542"/>
      <c r="AB113" s="21"/>
    </row>
    <row r="114" spans="1:28" ht="285">
      <c r="A114" s="31">
        <v>111</v>
      </c>
      <c r="B114" s="22" t="s">
        <v>39</v>
      </c>
      <c r="C114" s="22" t="s">
        <v>40</v>
      </c>
      <c r="D114" s="22" t="s">
        <v>170</v>
      </c>
      <c r="E114" s="23" t="s">
        <v>200</v>
      </c>
      <c r="F114" s="22" t="s">
        <v>64</v>
      </c>
      <c r="G114" s="22" t="s">
        <v>53</v>
      </c>
      <c r="H114" s="22" t="s">
        <v>30</v>
      </c>
      <c r="I114" s="22" t="s">
        <v>172</v>
      </c>
      <c r="J114" s="22" t="s">
        <v>210</v>
      </c>
      <c r="K114" s="22" t="s">
        <v>174</v>
      </c>
      <c r="L114" s="22">
        <v>2016</v>
      </c>
      <c r="M114" s="335" t="str">
        <f ca="1">VLOOKUP(A114,'2020_ModelLink'!$A$3:$S$332,18,FALSE)</f>
        <v>N/A</v>
      </c>
      <c r="N114" s="335" t="str">
        <f ca="1">VLOOKUP(A114,'2020_ModelLink'!$A$3:$S$332,19,FALSE)</f>
        <v>N/A</v>
      </c>
      <c r="O114" s="721">
        <f ca="1">VLOOKUP($A114,'2016_ModelLink'!$A$3:$S$332,17,FALSE)</f>
        <v>57968.140250054239</v>
      </c>
      <c r="P114" s="721">
        <f ca="1">VLOOKUP($A114,'2017_ModelLink'!$A$3:$S$332,17,FALSE)</f>
        <v>63306957.689823508</v>
      </c>
      <c r="Q114" s="721">
        <f ca="1">VLOOKUP($A114,'2018_ModelLink'!$A$3:$S$332,17,FALSE)</f>
        <v>9857099.3366330154</v>
      </c>
      <c r="R114" s="721">
        <f ca="1">VLOOKUP($A114,'2019_ModelLink'!$A$3:$S$332,17,FALSE)</f>
        <v>3609567.1005901182</v>
      </c>
      <c r="S114" s="721">
        <f ca="1">VLOOKUP($A114,'2020_ModelLink'!$A$3:$S$332,17,FALSE)</f>
        <v>523328.46247964632</v>
      </c>
      <c r="T114" s="307">
        <f>VLOOKUP(A114,Targets!$A$1:$J$301,5,FALSE)</f>
        <v>23676786.219631448</v>
      </c>
      <c r="U114" s="307">
        <f>VLOOKUP(A114,Targets!$A$1:$J$301,5,FALSE)</f>
        <v>23676786.219631448</v>
      </c>
      <c r="V114" s="307">
        <f>VLOOKUP(A114,Targets!$A$1:$J$301,5,FALSE)</f>
        <v>23676786.219631448</v>
      </c>
      <c r="W114" s="307">
        <f>VLOOKUP(A114,Targets!$A$1:$J$301,5,FALSE)*3</f>
        <v>71030358.658894345</v>
      </c>
      <c r="X114" s="307">
        <f>VLOOKUP(A114,Targets!$A$1:$J$301,6,FALSE)*2</f>
        <v>47353572.439262897</v>
      </c>
      <c r="Y114" s="429"/>
      <c r="Z114" s="429"/>
      <c r="AA114" s="542"/>
      <c r="AB114" s="21"/>
    </row>
    <row r="115" spans="1:28" ht="285">
      <c r="A115" s="31">
        <v>112</v>
      </c>
      <c r="B115" s="22" t="s">
        <v>39</v>
      </c>
      <c r="C115" s="22" t="s">
        <v>40</v>
      </c>
      <c r="D115" s="22" t="s">
        <v>170</v>
      </c>
      <c r="E115" s="23" t="s">
        <v>200</v>
      </c>
      <c r="F115" s="22" t="s">
        <v>65</v>
      </c>
      <c r="G115" s="22" t="s">
        <v>53</v>
      </c>
      <c r="H115" s="22" t="s">
        <v>30</v>
      </c>
      <c r="I115" s="22" t="s">
        <v>172</v>
      </c>
      <c r="J115" s="22" t="s">
        <v>211</v>
      </c>
      <c r="K115" s="22" t="s">
        <v>174</v>
      </c>
      <c r="L115" s="22">
        <v>2016</v>
      </c>
      <c r="M115" s="335" t="str">
        <f ca="1">VLOOKUP(A115,'2020_ModelLink'!$A$3:$S$332,18,FALSE)</f>
        <v>N/A</v>
      </c>
      <c r="N115" s="335" t="str">
        <f ca="1">VLOOKUP(A115,'2020_ModelLink'!$A$3:$S$332,19,FALSE)</f>
        <v>N/A</v>
      </c>
      <c r="O115" s="721">
        <f ca="1">VLOOKUP($A115,'2016_ModelLink'!$A$3:$S$332,17,FALSE)</f>
        <v>3071.8387393744697</v>
      </c>
      <c r="P115" s="721">
        <f ca="1">VLOOKUP($A115,'2017_ModelLink'!$A$3:$S$332,17,FALSE)</f>
        <v>893955.50610527652</v>
      </c>
      <c r="Q115" s="721">
        <f ca="1">VLOOKUP($A115,'2018_ModelLink'!$A$3:$S$332,17,FALSE)</f>
        <v>2695915.4186337399</v>
      </c>
      <c r="R115" s="721">
        <f ca="1">VLOOKUP($A115,'2019_ModelLink'!$A$3:$S$332,17,FALSE)</f>
        <v>124550.1004654429</v>
      </c>
      <c r="S115" s="721">
        <f ca="1">VLOOKUP($A115,'2020_ModelLink'!$A$3:$S$332,17,FALSE)</f>
        <v>26231.327729491735</v>
      </c>
      <c r="T115" s="307">
        <f>VLOOKUP(A115,Targets!$A$1:$J$301,5,FALSE)</f>
        <v>211778.38358389013</v>
      </c>
      <c r="U115" s="307">
        <f>VLOOKUP(A115,Targets!$A$1:$J$301,5,FALSE)</f>
        <v>211778.38358389013</v>
      </c>
      <c r="V115" s="307">
        <f>VLOOKUP(A115,Targets!$A$1:$J$301,5,FALSE)</f>
        <v>211778.38358389013</v>
      </c>
      <c r="W115" s="307">
        <f>VLOOKUP(A115,Targets!$A$1:$J$301,5,FALSE)*3</f>
        <v>635335.15075167036</v>
      </c>
      <c r="X115" s="307">
        <f>VLOOKUP(A115,Targets!$A$1:$J$301,6,FALSE)*2</f>
        <v>423556.76716778026</v>
      </c>
      <c r="Y115" s="429" t="s">
        <v>179</v>
      </c>
      <c r="Z115" s="429" t="str">
        <f>Definitions!C$21</f>
        <v>AL 3826. Natural gas supplied through a single meter to common facilities only, will be billed under rates GM-C, GM-BC or GM-BCC, as appropriate.</v>
      </c>
      <c r="AA115" s="542"/>
      <c r="AB115" s="21"/>
    </row>
    <row r="116" spans="1:28" ht="285">
      <c r="A116" s="31">
        <v>113</v>
      </c>
      <c r="B116" s="22" t="s">
        <v>39</v>
      </c>
      <c r="C116" s="22" t="s">
        <v>40</v>
      </c>
      <c r="D116" s="22" t="s">
        <v>170</v>
      </c>
      <c r="E116" s="23" t="s">
        <v>200</v>
      </c>
      <c r="F116" s="22" t="s">
        <v>66</v>
      </c>
      <c r="G116" s="22" t="s">
        <v>53</v>
      </c>
      <c r="H116" s="22" t="s">
        <v>30</v>
      </c>
      <c r="I116" s="22" t="s">
        <v>172</v>
      </c>
      <c r="J116" s="22" t="s">
        <v>212</v>
      </c>
      <c r="K116" s="22" t="s">
        <v>174</v>
      </c>
      <c r="L116" s="22">
        <v>2016</v>
      </c>
      <c r="M116" s="335" t="str">
        <f ca="1">VLOOKUP(A116,'2020_ModelLink'!$A$3:$S$332,18,FALSE)</f>
        <v>N/A</v>
      </c>
      <c r="N116" s="335" t="str">
        <f ca="1">VLOOKUP(A116,'2020_ModelLink'!$A$3:$S$332,19,FALSE)</f>
        <v>N/A</v>
      </c>
      <c r="O116" s="721">
        <f ca="1">VLOOKUP($A116,'2016_ModelLink'!$A$3:$S$332,17,FALSE)</f>
        <v>1843.4718773657135</v>
      </c>
      <c r="P116" s="721">
        <f ca="1">VLOOKUP($A116,'2017_ModelLink'!$A$3:$S$332,17,FALSE)</f>
        <v>584625.52379133052</v>
      </c>
      <c r="Q116" s="721">
        <f ca="1">VLOOKUP($A116,'2018_ModelLink'!$A$3:$S$332,17,FALSE)</f>
        <v>1668568.3275053771</v>
      </c>
      <c r="R116" s="721">
        <f ca="1">VLOOKUP($A116,'2019_ModelLink'!$A$3:$S$332,17,FALSE)</f>
        <v>74877.554785553308</v>
      </c>
      <c r="S116" s="721">
        <f ca="1">VLOOKUP($A116,'2020_ModelLink'!$A$3:$S$332,17,FALSE)</f>
        <v>17232.474361115539</v>
      </c>
      <c r="T116" s="307">
        <f>VLOOKUP(A116,Targets!$A$1:$J$301,5,FALSE)</f>
        <v>130243.4972406525</v>
      </c>
      <c r="U116" s="307">
        <f>VLOOKUP(A116,Targets!$A$1:$J$301,5,FALSE)</f>
        <v>130243.4972406525</v>
      </c>
      <c r="V116" s="307">
        <f>VLOOKUP(A116,Targets!$A$1:$J$301,5,FALSE)</f>
        <v>130243.4972406525</v>
      </c>
      <c r="W116" s="307">
        <f>VLOOKUP(A116,Targets!$A$1:$J$301,5,FALSE)*3</f>
        <v>390730.49172195751</v>
      </c>
      <c r="X116" s="307">
        <f>VLOOKUP(A116,Targets!$A$1:$J$301,6,FALSE)*2</f>
        <v>260486.99448130501</v>
      </c>
      <c r="Y116" s="429" t="s">
        <v>179</v>
      </c>
      <c r="Z116" s="429" t="str">
        <f>Definitions!C$21</f>
        <v>AL 3826. Natural gas supplied through a single meter to common facilities only, will be billed under rates GM-C, GM-BC or GM-BCC, as appropriate.</v>
      </c>
      <c r="AA116" s="542"/>
      <c r="AB116" s="21"/>
    </row>
    <row r="117" spans="1:28" ht="150">
      <c r="A117" s="31">
        <v>114</v>
      </c>
      <c r="B117" s="22" t="s">
        <v>39</v>
      </c>
      <c r="C117" s="22" t="s">
        <v>40</v>
      </c>
      <c r="D117" s="22" t="s">
        <v>213</v>
      </c>
      <c r="E117" s="23" t="s">
        <v>42</v>
      </c>
      <c r="F117" s="22" t="s">
        <v>43</v>
      </c>
      <c r="G117" s="22" t="s">
        <v>44</v>
      </c>
      <c r="H117" s="22" t="s">
        <v>30</v>
      </c>
      <c r="I117" s="22" t="s">
        <v>214</v>
      </c>
      <c r="J117" s="19" t="s">
        <v>46</v>
      </c>
      <c r="K117" s="22" t="s">
        <v>174</v>
      </c>
      <c r="L117" s="22">
        <v>2016</v>
      </c>
      <c r="M117" s="335" t="str">
        <f ca="1">VLOOKUP(A117,'2020_ModelLink'!$A$3:$S$332,18,FALSE)</f>
        <v>N/A</v>
      </c>
      <c r="N117" s="335" t="str">
        <f ca="1">VLOOKUP(A117,'2020_ModelLink'!$A$3:$S$332,19,FALSE)</f>
        <v>N/A</v>
      </c>
      <c r="O117" s="721">
        <f ca="1">VLOOKUP($A117,'2016_ModelLink'!$A$3:$S$332,17,FALSE)</f>
        <v>2517.0776141727811</v>
      </c>
      <c r="P117" s="721">
        <f ca="1">VLOOKUP($A117,'2017_ModelLink'!$A$3:$S$332,17,FALSE)</f>
        <v>5096.8419351586581</v>
      </c>
      <c r="Q117" s="721">
        <f ca="1">VLOOKUP($A117,'2018_ModelLink'!$A$3:$S$332,17,FALSE)</f>
        <v>2092.4401557868309</v>
      </c>
      <c r="R117" s="721">
        <f ca="1">VLOOKUP($A117,'2019_ModelLink'!$A$3:$S$332,17,FALSE)</f>
        <v>2649.622900475184</v>
      </c>
      <c r="S117" s="721">
        <f ca="1">VLOOKUP($A117,'2020_ModelLink'!$A$3:$S$332,17,FALSE)</f>
        <v>13879.125282212352</v>
      </c>
      <c r="T117" s="307">
        <f>VLOOKUP(A117,Targets!$A$1:$J$301,5,FALSE)</f>
        <v>1756.6706579150623</v>
      </c>
      <c r="U117" s="307">
        <f>VLOOKUP(A117,Targets!$A$1:$J$301,5,FALSE)</f>
        <v>1756.6706579150623</v>
      </c>
      <c r="V117" s="307">
        <f>VLOOKUP(A117,Targets!$A$1:$J$301,5,FALSE)</f>
        <v>1756.6706579150623</v>
      </c>
      <c r="W117" s="307">
        <f>VLOOKUP(A117,Targets!$A$1:$J$301,5,FALSE)*3</f>
        <v>5270.0119737451869</v>
      </c>
      <c r="X117" s="307">
        <f>VLOOKUP(A117,Targets!$A$1:$J$301,6,FALSE)*2</f>
        <v>3513.3413158301246</v>
      </c>
      <c r="Y117" s="429" t="s">
        <v>48</v>
      </c>
      <c r="Z117" s="429" t="s">
        <v>215</v>
      </c>
      <c r="AA117" s="542"/>
      <c r="AB117" s="21"/>
    </row>
    <row r="118" spans="1:28" ht="105">
      <c r="A118" s="31">
        <v>115</v>
      </c>
      <c r="B118" s="22" t="s">
        <v>39</v>
      </c>
      <c r="C118" s="22" t="s">
        <v>216</v>
      </c>
      <c r="D118" s="22" t="s">
        <v>217</v>
      </c>
      <c r="E118" s="23" t="s">
        <v>218</v>
      </c>
      <c r="F118" s="22" t="s">
        <v>108</v>
      </c>
      <c r="G118" s="22" t="s">
        <v>219</v>
      </c>
      <c r="H118" s="22" t="s">
        <v>30</v>
      </c>
      <c r="I118" s="22" t="s">
        <v>220</v>
      </c>
      <c r="J118" s="22" t="s">
        <v>221</v>
      </c>
      <c r="K118" s="22" t="s">
        <v>174</v>
      </c>
      <c r="L118" s="22">
        <v>2016</v>
      </c>
      <c r="M118" s="335">
        <f ca="1">VLOOKUP(A118,'2020_ModelLink'!$A$3:$S$332,18,FALSE)</f>
        <v>0</v>
      </c>
      <c r="N118" s="335">
        <f ca="1">VLOOKUP(A118,'2020_ModelLink'!$A$3:$S$332,19,FALSE)</f>
        <v>0</v>
      </c>
      <c r="O118" s="721">
        <f ca="1">VLOOKUP($A118,'2016_ModelLink'!$A$3:$S$332,17,FALSE)</f>
        <v>1.4341758820431807</v>
      </c>
      <c r="P118" s="721">
        <f ca="1">VLOOKUP($A118,'2017_ModelLink'!$A$3:$S$332,17,FALSE)</f>
        <v>3.3838585700631554</v>
      </c>
      <c r="Q118" s="721">
        <f ca="1">VLOOKUP($A118,'2018_ModelLink'!$A$3:$S$332,17,FALSE)</f>
        <v>2.3069873997709047</v>
      </c>
      <c r="R118" s="721">
        <f ca="1">VLOOKUP($A118,'2019_ModelLink'!$A$3:$S$332,17,FALSE)</f>
        <v>0.26884430299462286</v>
      </c>
      <c r="S118" s="721">
        <f ca="1">VLOOKUP($A118,'2020_ModelLink'!$A$3:$S$332,17,FALSE)</f>
        <v>0.26225631959406365</v>
      </c>
      <c r="T118" s="307">
        <f>VLOOKUP(A118,Targets!$A$1:$J$301,5,FALSE)</f>
        <v>5.9191732809693987</v>
      </c>
      <c r="U118" s="307">
        <f>VLOOKUP(A118,Targets!$A$1:$J$301,5,FALSE)</f>
        <v>5.9191732809693987</v>
      </c>
      <c r="V118" s="307">
        <f>VLOOKUP(A118,Targets!$A$1:$J$301,5,FALSE)</f>
        <v>5.9191732809693987</v>
      </c>
      <c r="W118" s="307">
        <f>VLOOKUP(A118,Targets!$A$1:$J$301,5,FALSE)*3</f>
        <v>17.757519842908195</v>
      </c>
      <c r="X118" s="307">
        <f>VLOOKUP(A118,Targets!$A$1:$J$301,6,FALSE)*2</f>
        <v>11.838346561938797</v>
      </c>
      <c r="Y118" s="429"/>
      <c r="Z118" s="429"/>
      <c r="AA118" s="542"/>
      <c r="AB118" s="21"/>
    </row>
    <row r="119" spans="1:28" ht="105">
      <c r="A119" s="31">
        <v>116</v>
      </c>
      <c r="B119" s="22" t="s">
        <v>39</v>
      </c>
      <c r="C119" s="22" t="s">
        <v>216</v>
      </c>
      <c r="D119" s="22" t="s">
        <v>217</v>
      </c>
      <c r="E119" s="23" t="s">
        <v>218</v>
      </c>
      <c r="F119" s="22" t="s">
        <v>112</v>
      </c>
      <c r="G119" s="22" t="s">
        <v>219</v>
      </c>
      <c r="H119" s="22" t="s">
        <v>30</v>
      </c>
      <c r="I119" s="22" t="s">
        <v>220</v>
      </c>
      <c r="J119" s="22" t="s">
        <v>222</v>
      </c>
      <c r="K119" s="22" t="s">
        <v>174</v>
      </c>
      <c r="L119" s="22">
        <v>2016</v>
      </c>
      <c r="M119" s="335">
        <f ca="1">VLOOKUP(A119,'2020_ModelLink'!$A$3:$S$332,18,FALSE)</f>
        <v>0</v>
      </c>
      <c r="N119" s="335">
        <f ca="1">VLOOKUP(A119,'2020_ModelLink'!$A$3:$S$332,19,FALSE)</f>
        <v>0</v>
      </c>
      <c r="O119" s="721">
        <f ca="1">VLOOKUP($A119,'2016_ModelLink'!$A$3:$S$332,17,FALSE)</f>
        <v>5359.3141126908895</v>
      </c>
      <c r="P119" s="721">
        <f ca="1">VLOOKUP($A119,'2017_ModelLink'!$A$3:$S$332,17,FALSE)</f>
        <v>32280.702379432401</v>
      </c>
      <c r="Q119" s="721">
        <f ca="1">VLOOKUP($A119,'2018_ModelLink'!$A$3:$S$332,17,FALSE)</f>
        <v>11554.678835533767</v>
      </c>
      <c r="R119" s="721">
        <f ca="1">VLOOKUP($A119,'2019_ModelLink'!$A$3:$S$332,17,FALSE)</f>
        <v>1365.2271913067175</v>
      </c>
      <c r="S119" s="721">
        <f ca="1">VLOOKUP($A119,'2020_ModelLink'!$A$3:$S$332,17,FALSE)</f>
        <v>1185.0003295766467</v>
      </c>
      <c r="T119" s="307">
        <f>VLOOKUP(A119,Targets!$A$1:$J$301,5,FALSE)</f>
        <v>22756.948852021575</v>
      </c>
      <c r="U119" s="307">
        <f>VLOOKUP(A119,Targets!$A$1:$J$301,5,FALSE)</f>
        <v>22756.948852021575</v>
      </c>
      <c r="V119" s="307">
        <f>VLOOKUP(A119,Targets!$A$1:$J$301,5,FALSE)</f>
        <v>22756.948852021575</v>
      </c>
      <c r="W119" s="307">
        <f>VLOOKUP(A119,Targets!$A$1:$J$301,5,FALSE)*3</f>
        <v>68270.846556064731</v>
      </c>
      <c r="X119" s="307">
        <f>VLOOKUP(A119,Targets!$A$1:$J$301,6,FALSE)*2</f>
        <v>45513.897704043149</v>
      </c>
      <c r="Y119" s="429"/>
      <c r="Z119" s="429"/>
      <c r="AA119" s="542"/>
      <c r="AB119" s="21"/>
    </row>
    <row r="120" spans="1:28" ht="390">
      <c r="A120" s="31">
        <v>117</v>
      </c>
      <c r="B120" s="22" t="s">
        <v>39</v>
      </c>
      <c r="C120" s="22" t="s">
        <v>216</v>
      </c>
      <c r="D120" s="22" t="s">
        <v>217</v>
      </c>
      <c r="E120" s="23" t="s">
        <v>218</v>
      </c>
      <c r="F120" s="22" t="s">
        <v>114</v>
      </c>
      <c r="G120" s="22" t="s">
        <v>219</v>
      </c>
      <c r="H120" s="22" t="s">
        <v>30</v>
      </c>
      <c r="I120" s="22" t="s">
        <v>220</v>
      </c>
      <c r="J120" s="22" t="s">
        <v>223</v>
      </c>
      <c r="K120" s="22" t="s">
        <v>174</v>
      </c>
      <c r="L120" s="22">
        <v>2016</v>
      </c>
      <c r="M120" s="335">
        <f ca="1">VLOOKUP(A120,'2020_ModelLink'!$A$3:$S$332,18,FALSE)</f>
        <v>0</v>
      </c>
      <c r="N120" s="335">
        <f ca="1">VLOOKUP(A120,'2020_ModelLink'!$A$3:$S$332,19,FALSE)</f>
        <v>0</v>
      </c>
      <c r="O120" s="721">
        <f ca="1">VLOOKUP($A120,'2016_ModelLink'!$A$3:$S$332,17,FALSE)</f>
        <v>57.479199578725648</v>
      </c>
      <c r="P120" s="721">
        <f ca="1">VLOOKUP($A120,'2017_ModelLink'!$A$3:$S$332,17,FALSE)</f>
        <v>374.50159386892693</v>
      </c>
      <c r="Q120" s="721">
        <f ca="1">VLOOKUP($A120,'2018_ModelLink'!$A$3:$S$332,17,FALSE)</f>
        <v>1012.8361450994053</v>
      </c>
      <c r="R120" s="721">
        <f ca="1">VLOOKUP($A120,'2019_ModelLink'!$A$3:$S$332,17,FALSE)</f>
        <v>38.795446822207033</v>
      </c>
      <c r="S120" s="721">
        <f ca="1">VLOOKUP($A120,'2020_ModelLink'!$A$3:$S$332,17,FALSE)</f>
        <v>30.415937146294521</v>
      </c>
      <c r="T120" s="307">
        <f>VLOOKUP(A120,Targets!$A$1:$J$301,5,FALSE)</f>
        <v>227.57675605417438</v>
      </c>
      <c r="U120" s="307">
        <f>VLOOKUP(A120,Targets!$A$1:$J$301,5,FALSE)</f>
        <v>227.57675605417438</v>
      </c>
      <c r="V120" s="307">
        <f>VLOOKUP(A120,Targets!$A$1:$J$301,5,FALSE)</f>
        <v>227.57675605417438</v>
      </c>
      <c r="W120" s="307">
        <f>VLOOKUP(A120,Targets!$A$1:$J$301,5,FALSE)*3</f>
        <v>682.73026816252309</v>
      </c>
      <c r="X120" s="307">
        <f>VLOOKUP(A120,Targets!$A$1:$J$301,6,FALSE)*2</f>
        <v>455.15351210834876</v>
      </c>
      <c r="Y120" s="429" t="s">
        <v>224</v>
      </c>
      <c r="Z120" s="429" t="s">
        <v>225</v>
      </c>
      <c r="AA120" s="542"/>
      <c r="AB120" s="21"/>
    </row>
    <row r="121" spans="1:28" ht="105">
      <c r="A121" s="31">
        <v>118</v>
      </c>
      <c r="B121" s="22" t="s">
        <v>39</v>
      </c>
      <c r="C121" s="22" t="s">
        <v>216</v>
      </c>
      <c r="D121" s="22" t="s">
        <v>217</v>
      </c>
      <c r="E121" s="23" t="s">
        <v>226</v>
      </c>
      <c r="F121" s="22" t="s">
        <v>108</v>
      </c>
      <c r="G121" s="22" t="s">
        <v>227</v>
      </c>
      <c r="H121" s="22" t="s">
        <v>30</v>
      </c>
      <c r="I121" s="22" t="s">
        <v>228</v>
      </c>
      <c r="J121" s="101" t="s">
        <v>229</v>
      </c>
      <c r="K121" s="22" t="s">
        <v>174</v>
      </c>
      <c r="L121" s="22">
        <v>2016</v>
      </c>
      <c r="M121" s="335">
        <f ca="1">VLOOKUP(A121,'2020_ModelLink'!$A$3:$S$332,18,FALSE)</f>
        <v>0</v>
      </c>
      <c r="N121" s="335">
        <f ca="1">VLOOKUP(A121,'2020_ModelLink'!$A$3:$S$332,19,FALSE)</f>
        <v>0</v>
      </c>
      <c r="O121" s="721">
        <f ca="1">VLOOKUP($A121,'2016_ModelLink'!$A$3:$S$332,17,FALSE)</f>
        <v>11.26777251184834</v>
      </c>
      <c r="P121" s="721">
        <f ca="1">VLOOKUP($A121,'2017_ModelLink'!$A$3:$S$332,17,FALSE)</f>
        <v>17.906423626106665</v>
      </c>
      <c r="Q121" s="721">
        <f ca="1">VLOOKUP($A121,'2018_ModelLink'!$A$3:$S$332,17,FALSE)</f>
        <v>12.24668734474648</v>
      </c>
      <c r="R121" s="721">
        <f ca="1">VLOOKUP($A121,'2019_ModelLink'!$A$3:$S$332,17,FALSE)</f>
        <v>2.438675637506734</v>
      </c>
      <c r="S121" s="721">
        <f ca="1">VLOOKUP($A121,'2020_ModelLink'!$A$3:$S$332,17,FALSE)</f>
        <v>2.3603068763465731</v>
      </c>
      <c r="T121" s="307">
        <f>VLOOKUP(A121,Targets!$A$1:$J$301,5,FALSE)</f>
        <v>10.789542905182435</v>
      </c>
      <c r="U121" s="307">
        <f>VLOOKUP(A121,Targets!$A$1:$J$301,5,FALSE)</f>
        <v>10.789542905182435</v>
      </c>
      <c r="V121" s="307">
        <f>VLOOKUP(A121,Targets!$A$1:$J$301,5,FALSE)</f>
        <v>10.789542905182435</v>
      </c>
      <c r="W121" s="307">
        <f>VLOOKUP(A121,Targets!$A$1:$J$301,5,FALSE)*3</f>
        <v>32.368628715547302</v>
      </c>
      <c r="X121" s="307">
        <f>VLOOKUP(A121,Targets!$A$1:$J$301,6,FALSE)*2</f>
        <v>21.57908581036487</v>
      </c>
      <c r="Y121" s="429"/>
      <c r="Z121" s="429"/>
      <c r="AA121" s="542"/>
      <c r="AB121" s="21"/>
    </row>
    <row r="122" spans="1:28" ht="105">
      <c r="A122" s="31">
        <v>119</v>
      </c>
      <c r="B122" s="22" t="s">
        <v>39</v>
      </c>
      <c r="C122" s="22" t="s">
        <v>216</v>
      </c>
      <c r="D122" s="22" t="s">
        <v>217</v>
      </c>
      <c r="E122" s="23" t="s">
        <v>226</v>
      </c>
      <c r="F122" s="22" t="s">
        <v>112</v>
      </c>
      <c r="G122" s="22" t="s">
        <v>227</v>
      </c>
      <c r="H122" s="22" t="s">
        <v>30</v>
      </c>
      <c r="I122" s="22" t="s">
        <v>228</v>
      </c>
      <c r="J122" s="101" t="s">
        <v>230</v>
      </c>
      <c r="K122" s="22" t="s">
        <v>174</v>
      </c>
      <c r="L122" s="22">
        <v>2016</v>
      </c>
      <c r="M122" s="335">
        <f ca="1">VLOOKUP(A122,'2020_ModelLink'!$A$3:$S$332,18,FALSE)</f>
        <v>0</v>
      </c>
      <c r="N122" s="335">
        <f ca="1">VLOOKUP(A122,'2020_ModelLink'!$A$3:$S$332,19,FALSE)</f>
        <v>0</v>
      </c>
      <c r="O122" s="721">
        <f ca="1">VLOOKUP($A122,'2016_ModelLink'!$A$3:$S$332,17,FALSE)</f>
        <v>42129.538929510527</v>
      </c>
      <c r="P122" s="721">
        <f ca="1">VLOOKUP($A122,'2017_ModelLink'!$A$3:$S$332,17,FALSE)</f>
        <v>264147.81464039435</v>
      </c>
      <c r="Q122" s="721">
        <f ca="1">VLOOKUP($A122,'2018_ModelLink'!$A$3:$S$332,17,FALSE)</f>
        <v>60820.487255878936</v>
      </c>
      <c r="R122" s="721">
        <f ca="1">VLOOKUP($A122,'2019_ModelLink'!$A$3:$S$332,17,FALSE)</f>
        <v>11858.389836685174</v>
      </c>
      <c r="S122" s="721">
        <f ca="1">VLOOKUP($A122,'2020_ModelLink'!$A$3:$S$332,17,FALSE)</f>
        <v>10665.002966189819</v>
      </c>
      <c r="T122" s="307">
        <f>VLOOKUP(A122,Targets!$A$1:$J$301,5,FALSE)</f>
        <v>41669.508633721016</v>
      </c>
      <c r="U122" s="307">
        <f>VLOOKUP(A122,Targets!$A$1:$J$301,5,FALSE)</f>
        <v>41669.508633721016</v>
      </c>
      <c r="V122" s="307">
        <f>VLOOKUP(A122,Targets!$A$1:$J$301,5,FALSE)</f>
        <v>41669.508633721016</v>
      </c>
      <c r="W122" s="307">
        <f>VLOOKUP(A122,Targets!$A$1:$J$301,5,FALSE)*3</f>
        <v>125008.52590116306</v>
      </c>
      <c r="X122" s="307">
        <f>VLOOKUP(A122,Targets!$A$1:$J$301,6,FALSE)*2</f>
        <v>83339.017267442032</v>
      </c>
      <c r="Y122" s="429"/>
      <c r="Z122" s="429"/>
      <c r="AA122" s="542"/>
      <c r="AB122" s="21"/>
    </row>
    <row r="123" spans="1:28" ht="195">
      <c r="A123" s="31">
        <v>120</v>
      </c>
      <c r="B123" s="22" t="s">
        <v>39</v>
      </c>
      <c r="C123" s="22" t="s">
        <v>216</v>
      </c>
      <c r="D123" s="22" t="s">
        <v>217</v>
      </c>
      <c r="E123" s="23" t="s">
        <v>226</v>
      </c>
      <c r="F123" s="22" t="s">
        <v>114</v>
      </c>
      <c r="G123" s="22" t="s">
        <v>227</v>
      </c>
      <c r="H123" s="22" t="s">
        <v>30</v>
      </c>
      <c r="I123" s="22" t="s">
        <v>228</v>
      </c>
      <c r="J123" s="101" t="s">
        <v>231</v>
      </c>
      <c r="K123" s="22" t="s">
        <v>174</v>
      </c>
      <c r="L123" s="22">
        <v>2016</v>
      </c>
      <c r="M123" s="335">
        <f ca="1">VLOOKUP(A123,'2020_ModelLink'!$A$3:$S$332,18,FALSE)</f>
        <v>0</v>
      </c>
      <c r="N123" s="335">
        <f ca="1">VLOOKUP(A123,'2020_ModelLink'!$A$3:$S$332,19,FALSE)</f>
        <v>0</v>
      </c>
      <c r="O123" s="721">
        <f ca="1">VLOOKUP($A123,'2016_ModelLink'!$A$3:$S$332,17,FALSE)</f>
        <v>304.37886208823659</v>
      </c>
      <c r="P123" s="721">
        <f ca="1">VLOOKUP($A123,'2017_ModelLink'!$A$3:$S$332,17,FALSE)</f>
        <v>2683.0776137754438</v>
      </c>
      <c r="Q123" s="721">
        <f ca="1">VLOOKUP($A123,'2018_ModelLink'!$A$3:$S$332,17,FALSE)</f>
        <v>9099.5842183728782</v>
      </c>
      <c r="R123" s="721">
        <f ca="1">VLOOKUP($A123,'2019_ModelLink'!$A$3:$S$332,17,FALSE)</f>
        <v>310.47414957462883</v>
      </c>
      <c r="S123" s="721">
        <f ca="1">VLOOKUP($A123,'2020_ModelLink'!$A$3:$S$332,17,FALSE)</f>
        <v>273.74343431665068</v>
      </c>
      <c r="T123" s="307">
        <f>VLOOKUP(A123,Targets!$A$1:$J$301,5,FALSE)</f>
        <v>274.11790952173322</v>
      </c>
      <c r="U123" s="307">
        <f>VLOOKUP(A123,Targets!$A$1:$J$301,5,FALSE)</f>
        <v>274.11790952173322</v>
      </c>
      <c r="V123" s="307">
        <f>VLOOKUP(A123,Targets!$A$1:$J$301,5,FALSE)</f>
        <v>274.11790952173322</v>
      </c>
      <c r="W123" s="307">
        <f>VLOOKUP(A123,Targets!$A$1:$J$301,5,FALSE)*3</f>
        <v>822.35372856519962</v>
      </c>
      <c r="X123" s="307">
        <f>VLOOKUP(A123,Targets!$A$1:$J$301,6,FALSE)*2</f>
        <v>548.23581904346645</v>
      </c>
      <c r="Y123" s="429" t="s">
        <v>232</v>
      </c>
      <c r="Z123" s="429" t="s">
        <v>233</v>
      </c>
      <c r="AA123" s="542"/>
      <c r="AB123" s="21"/>
    </row>
    <row r="124" spans="1:28" ht="90">
      <c r="A124" s="31">
        <v>121</v>
      </c>
      <c r="B124" s="22" t="s">
        <v>39</v>
      </c>
      <c r="C124" s="22" t="s">
        <v>216</v>
      </c>
      <c r="D124" s="22" t="s">
        <v>217</v>
      </c>
      <c r="E124" s="23" t="s">
        <v>234</v>
      </c>
      <c r="F124" s="22" t="s">
        <v>108</v>
      </c>
      <c r="G124" s="22" t="s">
        <v>235</v>
      </c>
      <c r="H124" s="22" t="s">
        <v>30</v>
      </c>
      <c r="I124" s="22" t="s">
        <v>236</v>
      </c>
      <c r="J124" s="101" t="s">
        <v>237</v>
      </c>
      <c r="K124" s="22" t="s">
        <v>174</v>
      </c>
      <c r="L124" s="22">
        <v>2016</v>
      </c>
      <c r="M124" s="335">
        <f ca="1">VLOOKUP(A124,'2020_ModelLink'!$A$3:$S$332,18,FALSE)</f>
        <v>0</v>
      </c>
      <c r="N124" s="335">
        <f ca="1">VLOOKUP(A124,'2020_ModelLink'!$A$3:$S$332,19,FALSE)</f>
        <v>0</v>
      </c>
      <c r="O124" s="721">
        <f ca="1">VLOOKUP($A124,'2016_ModelLink'!$A$3:$S$332,17,FALSE)</f>
        <v>1.3624876072368007E-2</v>
      </c>
      <c r="P124" s="721">
        <f ca="1">VLOOKUP($A124,'2017_ModelLink'!$A$3:$S$332,17,FALSE)</f>
        <v>2.1652265569657395E-2</v>
      </c>
      <c r="Q124" s="721">
        <f ca="1">VLOOKUP($A124,'2018_ModelLink'!$A$3:$S$332,17,FALSE)</f>
        <v>1.4808569945279902E-2</v>
      </c>
      <c r="R124" s="721">
        <f ca="1">VLOOKUP($A124,'2019_ModelLink'!$A$3:$S$332,17,FALSE)</f>
        <v>2.948821810769932E-3</v>
      </c>
      <c r="S124" s="721">
        <f ca="1">VLOOKUP($A124,'2020_ModelLink'!$A$3:$S$332,17,FALSE)</f>
        <v>2.8540591007818294E-3</v>
      </c>
      <c r="T124" s="307">
        <f>VLOOKUP(A124,Targets!$A$1:$J$301,5,FALSE)</f>
        <v>6.9596880192404446E-4</v>
      </c>
      <c r="U124" s="307">
        <f>VLOOKUP(A124,Targets!$A$1:$J$301,5,FALSE)</f>
        <v>6.9596880192404446E-4</v>
      </c>
      <c r="V124" s="307">
        <f>VLOOKUP(A124,Targets!$A$1:$J$301,5,FALSE)</f>
        <v>6.9596880192404446E-4</v>
      </c>
      <c r="W124" s="307">
        <f>VLOOKUP(A124,Targets!$A$1:$J$301,5,FALSE)*3</f>
        <v>2.0879064057721334E-3</v>
      </c>
      <c r="X124" s="307">
        <f>VLOOKUP(A124,Targets!$A$1:$J$301,6,FALSE)*2</f>
        <v>1.3919376038480889E-3</v>
      </c>
      <c r="Y124" s="429"/>
      <c r="Z124" s="429"/>
      <c r="AA124" s="542"/>
      <c r="AB124" s="21"/>
    </row>
    <row r="125" spans="1:28" ht="90">
      <c r="A125" s="31">
        <v>122</v>
      </c>
      <c r="B125" s="22" t="s">
        <v>39</v>
      </c>
      <c r="C125" s="22" t="s">
        <v>216</v>
      </c>
      <c r="D125" s="22" t="s">
        <v>217</v>
      </c>
      <c r="E125" s="23" t="s">
        <v>234</v>
      </c>
      <c r="F125" s="22" t="s">
        <v>112</v>
      </c>
      <c r="G125" s="22" t="s">
        <v>235</v>
      </c>
      <c r="H125" s="22" t="s">
        <v>30</v>
      </c>
      <c r="I125" s="22" t="s">
        <v>236</v>
      </c>
      <c r="J125" s="101" t="s">
        <v>238</v>
      </c>
      <c r="K125" s="22" t="s">
        <v>174</v>
      </c>
      <c r="L125" s="22">
        <v>2016</v>
      </c>
      <c r="M125" s="335">
        <f ca="1">VLOOKUP(A125,'2020_ModelLink'!$A$3:$S$332,18,FALSE)</f>
        <v>0</v>
      </c>
      <c r="N125" s="335">
        <f ca="1">VLOOKUP(A125,'2020_ModelLink'!$A$3:$S$332,19,FALSE)</f>
        <v>0</v>
      </c>
      <c r="O125" s="721">
        <f ca="1">VLOOKUP($A125,'2016_ModelLink'!$A$3:$S$332,17,FALSE)</f>
        <v>50.942610555635461</v>
      </c>
      <c r="P125" s="721">
        <f ca="1">VLOOKUP($A125,'2017_ModelLink'!$A$3:$S$332,17,FALSE)</f>
        <v>319.40485446238733</v>
      </c>
      <c r="Q125" s="721">
        <f ca="1">VLOOKUP($A125,'2018_ModelLink'!$A$3:$S$332,17,FALSE)</f>
        <v>73.543515424279249</v>
      </c>
      <c r="R125" s="721">
        <f ca="1">VLOOKUP($A125,'2019_ModelLink'!$A$3:$S$332,17,FALSE)</f>
        <v>14.339044542545555</v>
      </c>
      <c r="S125" s="721">
        <f ca="1">VLOOKUP($A125,'2020_ModelLink'!$A$3:$S$332,17,FALSE)</f>
        <v>12.896013260205343</v>
      </c>
      <c r="T125" s="307">
        <f>VLOOKUP(A125,Targets!$A$1:$J$301,5,FALSE)</f>
        <v>2.687850472946804</v>
      </c>
      <c r="U125" s="307">
        <f>VLOOKUP(A125,Targets!$A$1:$J$301,5,FALSE)</f>
        <v>2.687850472946804</v>
      </c>
      <c r="V125" s="307">
        <f>VLOOKUP(A125,Targets!$A$1:$J$301,5,FALSE)</f>
        <v>2.687850472946804</v>
      </c>
      <c r="W125" s="307">
        <f>VLOOKUP(A125,Targets!$A$1:$J$301,5,FALSE)*3</f>
        <v>8.0635514188404116</v>
      </c>
      <c r="X125" s="307">
        <f>VLOOKUP(A125,Targets!$A$1:$J$301,6,FALSE)*2</f>
        <v>5.375700945893608</v>
      </c>
      <c r="Y125" s="429"/>
      <c r="Z125" s="429"/>
      <c r="AA125" s="542"/>
      <c r="AB125" s="21"/>
    </row>
    <row r="126" spans="1:28" ht="165">
      <c r="A126" s="31">
        <v>123</v>
      </c>
      <c r="B126" s="22" t="s">
        <v>39</v>
      </c>
      <c r="C126" s="22" t="s">
        <v>216</v>
      </c>
      <c r="D126" s="22" t="s">
        <v>217</v>
      </c>
      <c r="E126" s="23" t="s">
        <v>234</v>
      </c>
      <c r="F126" s="22" t="s">
        <v>114</v>
      </c>
      <c r="G126" s="22" t="s">
        <v>235</v>
      </c>
      <c r="H126" s="22" t="s">
        <v>30</v>
      </c>
      <c r="I126" s="22" t="s">
        <v>236</v>
      </c>
      <c r="J126" s="101" t="s">
        <v>239</v>
      </c>
      <c r="K126" s="22" t="s">
        <v>174</v>
      </c>
      <c r="L126" s="22">
        <v>2016</v>
      </c>
      <c r="M126" s="335">
        <f ca="1">VLOOKUP(A126,'2020_ModelLink'!$A$3:$S$332,18,FALSE)</f>
        <v>0</v>
      </c>
      <c r="N126" s="335">
        <f ca="1">VLOOKUP(A126,'2020_ModelLink'!$A$3:$S$332,19,FALSE)</f>
        <v>0</v>
      </c>
      <c r="O126" s="721">
        <f ca="1">VLOOKUP($A126,'2016_ModelLink'!$A$3:$S$332,17,FALSE)</f>
        <v>0.36805217281672464</v>
      </c>
      <c r="P126" s="721">
        <f ca="1">VLOOKUP($A126,'2017_ModelLink'!$A$3:$S$332,17,FALSE)</f>
        <v>3.2443501980356029</v>
      </c>
      <c r="Q126" s="721">
        <f ca="1">VLOOKUP($A126,'2018_ModelLink'!$A$3:$S$332,17,FALSE)</f>
        <v>11.003124810608076</v>
      </c>
      <c r="R126" s="721">
        <f ca="1">VLOOKUP($A126,'2019_ModelLink'!$A$3:$S$332,17,FALSE)</f>
        <v>0.37542218811926098</v>
      </c>
      <c r="S126" s="721">
        <f ca="1">VLOOKUP($A126,'2020_ModelLink'!$A$3:$S$332,17,FALSE)</f>
        <v>0.33100778031033939</v>
      </c>
      <c r="T126" s="307">
        <f>VLOOKUP(A126,Targets!$A$1:$J$301,5,FALSE)</f>
        <v>1.7681704846285007E-2</v>
      </c>
      <c r="U126" s="307">
        <f>VLOOKUP(A126,Targets!$A$1:$J$301,5,FALSE)</f>
        <v>1.7681704846285007E-2</v>
      </c>
      <c r="V126" s="307">
        <f>VLOOKUP(A126,Targets!$A$1:$J$301,5,FALSE)</f>
        <v>1.7681704846285007E-2</v>
      </c>
      <c r="W126" s="307">
        <f>VLOOKUP(A126,Targets!$A$1:$J$301,5,FALSE)*3</f>
        <v>5.304511453885502E-2</v>
      </c>
      <c r="X126" s="307">
        <f>VLOOKUP(A126,Targets!$A$1:$J$301,6,FALSE)*2</f>
        <v>3.5363409692570014E-2</v>
      </c>
      <c r="Y126" s="429" t="s">
        <v>240</v>
      </c>
      <c r="Z126" s="429" t="s">
        <v>117</v>
      </c>
      <c r="AA126" s="542"/>
      <c r="AB126" s="21"/>
    </row>
    <row r="127" spans="1:28" ht="409.5">
      <c r="A127" s="31">
        <v>124</v>
      </c>
      <c r="B127" s="22" t="s">
        <v>39</v>
      </c>
      <c r="C127" s="22" t="s">
        <v>216</v>
      </c>
      <c r="D127" s="22" t="s">
        <v>241</v>
      </c>
      <c r="E127" s="23" t="s">
        <v>242</v>
      </c>
      <c r="F127" s="22" t="s">
        <v>142</v>
      </c>
      <c r="G127" s="22" t="s">
        <v>143</v>
      </c>
      <c r="H127" s="22" t="s">
        <v>30</v>
      </c>
      <c r="I127" s="22" t="s">
        <v>243</v>
      </c>
      <c r="J127" s="22" t="s">
        <v>244</v>
      </c>
      <c r="K127" s="22" t="s">
        <v>174</v>
      </c>
      <c r="L127" s="22">
        <v>2016</v>
      </c>
      <c r="M127" s="335">
        <f ca="1">VLOOKUP(A127,'2020_ModelLink'!$A$3:$S$332,18,FALSE)</f>
        <v>0</v>
      </c>
      <c r="N127" s="335">
        <f ca="1">VLOOKUP(A127,'2020_ModelLink'!$A$3:$S$332,19,FALSE)</f>
        <v>0</v>
      </c>
      <c r="O127" s="722">
        <f ca="1">VLOOKUP($A127,'2016_ModelLink'!$A$3:$S$332,17,FALSE)</f>
        <v>1.784727291138386E-3</v>
      </c>
      <c r="P127" s="722">
        <f ca="1">VLOOKUP($A127,'2017_ModelLink'!$A$3:$S$332,17,FALSE)</f>
        <v>5.7633289986996103E-4</v>
      </c>
      <c r="Q127" s="722">
        <f ca="1">VLOOKUP($A127,'2018_ModelLink'!$A$3:$S$332,17,FALSE)</f>
        <v>3.4948027582373115E-4</v>
      </c>
      <c r="R127" s="722">
        <f ca="1">VLOOKUP($A127,'2019_ModelLink'!$A$3:$S$332,17,FALSE)</f>
        <v>5.1885327214244914E-3</v>
      </c>
      <c r="S127" s="722">
        <f ca="1">VLOOKUP($A127,'2020_ModelLink'!$A$3:$S$332,17,FALSE)</f>
        <v>4.2100299754134251E-3</v>
      </c>
      <c r="T127" s="715">
        <f>VLOOKUP(A127,Targets!$A$1:$J$301,5,FALSE)</f>
        <v>3.7685926059003345E-2</v>
      </c>
      <c r="U127" s="715">
        <f>VLOOKUP(A127,Targets!$A$1:$J$301,5,FALSE)</f>
        <v>3.7685926059003345E-2</v>
      </c>
      <c r="V127" s="715">
        <f>VLOOKUP(A127,Targets!$A$1:$J$301,5,FALSE)</f>
        <v>3.7685926059003345E-2</v>
      </c>
      <c r="W127" s="715">
        <f>VLOOKUP(A127,Targets!$A$1:$J$301,5,FALSE)*3</f>
        <v>0.11305777817701004</v>
      </c>
      <c r="X127" s="715">
        <f>VLOOKUP(A127,Targets!$A$1:$J$301,6,FALSE)*2</f>
        <v>7.5371852118006691E-2</v>
      </c>
      <c r="Y127" s="429" t="s">
        <v>245</v>
      </c>
      <c r="Z127" s="429" t="s">
        <v>246</v>
      </c>
      <c r="AA127" s="542"/>
      <c r="AB127" s="21"/>
    </row>
    <row r="128" spans="1:28" ht="409.5">
      <c r="A128" s="31">
        <v>125</v>
      </c>
      <c r="B128" s="22" t="s">
        <v>39</v>
      </c>
      <c r="C128" s="22" t="s">
        <v>216</v>
      </c>
      <c r="D128" s="22" t="s">
        <v>241</v>
      </c>
      <c r="E128" s="23" t="s">
        <v>247</v>
      </c>
      <c r="F128" s="22" t="s">
        <v>142</v>
      </c>
      <c r="G128" s="22" t="s">
        <v>143</v>
      </c>
      <c r="H128" s="22" t="s">
        <v>30</v>
      </c>
      <c r="I128" s="22" t="s">
        <v>248</v>
      </c>
      <c r="J128" s="22" t="s">
        <v>249</v>
      </c>
      <c r="K128" s="22" t="s">
        <v>174</v>
      </c>
      <c r="L128" s="22">
        <v>2016</v>
      </c>
      <c r="M128" s="335">
        <f ca="1">VLOOKUP(A128,'2020_ModelLink'!$A$3:$S$332,18,FALSE)</f>
        <v>0</v>
      </c>
      <c r="N128" s="335">
        <f ca="1">VLOOKUP(A128,'2020_ModelLink'!$A$3:$S$332,19,FALSE)</f>
        <v>0</v>
      </c>
      <c r="O128" s="722">
        <f ca="1">VLOOKUP($A128,'2016_ModelLink'!$A$3:$S$332,17,FALSE)</f>
        <v>1.5543325580859833E-3</v>
      </c>
      <c r="P128" s="722">
        <f ca="1">VLOOKUP($A128,'2017_ModelLink'!$A$3:$S$332,17,FALSE)</f>
        <v>1.6561512406387753E-4</v>
      </c>
      <c r="Q128" s="722">
        <f ca="1">VLOOKUP($A128,'2018_ModelLink'!$A$3:$S$332,17,FALSE)</f>
        <v>8.2360588010079149E-5</v>
      </c>
      <c r="R128" s="722">
        <f ca="1">VLOOKUP($A128,'2019_ModelLink'!$A$3:$S$332,17,FALSE)</f>
        <v>4.6253895407677584E-3</v>
      </c>
      <c r="S128" s="722">
        <f ca="1">VLOOKUP($A128,'2020_ModelLink'!$A$3:$S$332,17,FALSE)</f>
        <v>3.9306821041036402E-3</v>
      </c>
      <c r="T128" s="715">
        <f>VLOOKUP(A128,Targets!$A$1:$J$301,5,FALSE)</f>
        <v>3.7685926059003345E-2</v>
      </c>
      <c r="U128" s="715">
        <f>VLOOKUP(A128,Targets!$A$1:$J$301,5,FALSE)</f>
        <v>3.7685926059003345E-2</v>
      </c>
      <c r="V128" s="715">
        <f>VLOOKUP(A128,Targets!$A$1:$J$301,5,FALSE)</f>
        <v>3.7685926059003345E-2</v>
      </c>
      <c r="W128" s="715">
        <f>VLOOKUP(A128,Targets!$A$1:$J$301,5,FALSE)*3</f>
        <v>0.11305777817701004</v>
      </c>
      <c r="X128" s="715">
        <f>VLOOKUP(A128,Targets!$A$1:$J$301,6,FALSE)*2</f>
        <v>7.5371852118006691E-2</v>
      </c>
      <c r="Y128" s="429" t="s">
        <v>250</v>
      </c>
      <c r="Z128" s="429" t="s">
        <v>251</v>
      </c>
      <c r="AA128" s="542"/>
      <c r="AB128" s="21"/>
    </row>
    <row r="129" spans="1:28" ht="225">
      <c r="A129" s="31">
        <v>126</v>
      </c>
      <c r="B129" s="22" t="s">
        <v>39</v>
      </c>
      <c r="C129" s="22" t="s">
        <v>216</v>
      </c>
      <c r="D129" s="22" t="s">
        <v>241</v>
      </c>
      <c r="E129" s="23" t="s">
        <v>252</v>
      </c>
      <c r="F129" s="22" t="s">
        <v>142</v>
      </c>
      <c r="G129" s="22" t="s">
        <v>253</v>
      </c>
      <c r="H129" s="22" t="s">
        <v>30</v>
      </c>
      <c r="I129" s="22" t="s">
        <v>254</v>
      </c>
      <c r="J129" s="22" t="s">
        <v>255</v>
      </c>
      <c r="K129" s="22" t="s">
        <v>174</v>
      </c>
      <c r="L129" s="22">
        <v>2016</v>
      </c>
      <c r="M129" s="335">
        <f ca="1">VLOOKUP(A129,'2020_ModelLink'!$A$3:$S$332,18,FALSE)</f>
        <v>0</v>
      </c>
      <c r="N129" s="335">
        <f ca="1">VLOOKUP(A129,'2020_ModelLink'!$A$3:$S$332,19,FALSE)</f>
        <v>0</v>
      </c>
      <c r="O129" s="722">
        <f ca="1">VLOOKUP($A129,'2016_ModelLink'!$A$3:$S$332,17,FALSE)</f>
        <v>1.4239845408019038E-3</v>
      </c>
      <c r="P129" s="722">
        <f ca="1">VLOOKUP($A129,'2017_ModelLink'!$A$3:$S$332,17,FALSE)</f>
        <v>1.6561512406387753E-4</v>
      </c>
      <c r="Q129" s="722">
        <f ca="1">VLOOKUP($A129,'2018_ModelLink'!$A$3:$S$332,17,FALSE)</f>
        <v>8.2360588010079149E-5</v>
      </c>
      <c r="R129" s="722">
        <f ca="1">VLOOKUP($A129,'2019_ModelLink'!$A$3:$S$332,17,FALSE)</f>
        <v>4.6253895407677584E-3</v>
      </c>
      <c r="S129" s="722">
        <f ca="1">VLOOKUP($A129,'2020_ModelLink'!$A$3:$S$332,17,FALSE)</f>
        <v>3.9306821041036402E-3</v>
      </c>
      <c r="T129" s="715">
        <f>VLOOKUP(A129,Targets!$A$1:$J$301,5,FALSE)</f>
        <v>3.7685926059003345E-2</v>
      </c>
      <c r="U129" s="715">
        <f>VLOOKUP(A129,Targets!$A$1:$J$301,5,FALSE)</f>
        <v>3.7685926059003345E-2</v>
      </c>
      <c r="V129" s="715">
        <f>VLOOKUP(A129,Targets!$A$1:$J$301,5,FALSE)</f>
        <v>3.7685926059003345E-2</v>
      </c>
      <c r="W129" s="715">
        <f>VLOOKUP(A129,Targets!$A$1:$J$301,5,FALSE)*3</f>
        <v>0.11305777817701004</v>
      </c>
      <c r="X129" s="715">
        <f>VLOOKUP(A129,Targets!$A$1:$J$301,6,FALSE)*2</f>
        <v>7.5371852118006691E-2</v>
      </c>
      <c r="Y129" s="429" t="s">
        <v>256</v>
      </c>
      <c r="Z129" s="429"/>
      <c r="AA129" s="542"/>
      <c r="AB129" s="21"/>
    </row>
    <row r="130" spans="1:28" ht="240">
      <c r="A130" s="31">
        <v>127</v>
      </c>
      <c r="B130" s="22" t="s">
        <v>39</v>
      </c>
      <c r="C130" s="22" t="s">
        <v>216</v>
      </c>
      <c r="D130" s="22" t="s">
        <v>241</v>
      </c>
      <c r="E130" s="23" t="s">
        <v>257</v>
      </c>
      <c r="F130" s="22" t="s">
        <v>142</v>
      </c>
      <c r="G130" s="22" t="s">
        <v>149</v>
      </c>
      <c r="H130" s="22" t="s">
        <v>30</v>
      </c>
      <c r="I130" s="22" t="s">
        <v>258</v>
      </c>
      <c r="J130" s="22" t="s">
        <v>151</v>
      </c>
      <c r="K130" s="22" t="s">
        <v>174</v>
      </c>
      <c r="L130" s="22">
        <v>2016</v>
      </c>
      <c r="M130" s="335">
        <f ca="1">VLOOKUP(A130,'2020_ModelLink'!$A$3:$S$332,18,FALSE)</f>
        <v>0</v>
      </c>
      <c r="N130" s="335">
        <f ca="1">VLOOKUP(A130,'2020_ModelLink'!$A$3:$S$332,19,FALSE)</f>
        <v>0</v>
      </c>
      <c r="O130" s="722">
        <f ca="1">VLOOKUP($A130,'2016_ModelLink'!$A$3:$S$332,17,FALSE)</f>
        <v>2.4184587227923395E-3</v>
      </c>
      <c r="P130" s="722">
        <f ca="1">VLOOKUP($A130,'2017_ModelLink'!$A$3:$S$332,17,FALSE)</f>
        <v>3.2623234267445275E-4</v>
      </c>
      <c r="Q130" s="722">
        <f ca="1">VLOOKUP($A130,'2018_ModelLink'!$A$3:$S$332,17,FALSE)</f>
        <v>2.6106252447461169E-4</v>
      </c>
      <c r="R130" s="722">
        <f ca="1">VLOOKUP($A130,'2019_ModelLink'!$A$3:$S$332,17,FALSE)</f>
        <v>2.9874009611637873E-3</v>
      </c>
      <c r="S130" s="722">
        <f ca="1">VLOOKUP($A130,'2020_ModelLink'!$A$3:$S$332,17,FALSE)</f>
        <v>3.2559502490801943E-5</v>
      </c>
      <c r="T130" s="715">
        <f>VLOOKUP(A130,Targets!$A$1:$J$301,5,FALSE)</f>
        <v>2.563167023549051E-3</v>
      </c>
      <c r="U130" s="715">
        <f>VLOOKUP(A130,Targets!$A$1:$J$301,5,FALSE)</f>
        <v>2.563167023549051E-3</v>
      </c>
      <c r="V130" s="715">
        <f>VLOOKUP(A130,Targets!$A$1:$J$301,5,FALSE)</f>
        <v>2.563167023549051E-3</v>
      </c>
      <c r="W130" s="715">
        <f>VLOOKUP(A130,Targets!$A$1:$J$301,5,FALSE)*3</f>
        <v>7.6895010706471527E-3</v>
      </c>
      <c r="X130" s="715">
        <f>VLOOKUP(A130,Targets!$A$1:$J$301,6,FALSE)*2</f>
        <v>5.1263340470981021E-3</v>
      </c>
      <c r="Y130" s="429" t="s">
        <v>259</v>
      </c>
      <c r="Z130" s="429" t="s">
        <v>260</v>
      </c>
      <c r="AA130" s="542"/>
      <c r="AB130" s="21"/>
    </row>
    <row r="131" spans="1:28" ht="409.5">
      <c r="A131" s="31">
        <v>128</v>
      </c>
      <c r="B131" s="22" t="s">
        <v>39</v>
      </c>
      <c r="C131" s="22" t="s">
        <v>216</v>
      </c>
      <c r="D131" s="22" t="s">
        <v>241</v>
      </c>
      <c r="E131" s="23" t="s">
        <v>261</v>
      </c>
      <c r="F131" s="22" t="s">
        <v>142</v>
      </c>
      <c r="G131" s="22" t="s">
        <v>154</v>
      </c>
      <c r="H131" s="22" t="s">
        <v>30</v>
      </c>
      <c r="I131" s="22" t="s">
        <v>262</v>
      </c>
      <c r="J131" s="22" t="s">
        <v>263</v>
      </c>
      <c r="K131" s="22" t="s">
        <v>174</v>
      </c>
      <c r="L131" s="22">
        <v>2016</v>
      </c>
      <c r="M131" s="335">
        <f ca="1">VLOOKUP(A131,'2020_ModelLink'!$A$3:$S$332,18,FALSE)</f>
        <v>0</v>
      </c>
      <c r="N131" s="335">
        <f ca="1">VLOOKUP(A131,'2020_ModelLink'!$A$3:$S$332,19,FALSE)</f>
        <v>0</v>
      </c>
      <c r="O131" s="722">
        <f ca="1">VLOOKUP($A131,'2016_ModelLink'!$A$3:$S$332,17,FALSE)</f>
        <v>1.7736248999632297E-3</v>
      </c>
      <c r="P131" s="722">
        <f ca="1">VLOOKUP($A131,'2017_ModelLink'!$A$3:$S$332,17,FALSE)</f>
        <v>1.5955749388362939E-4</v>
      </c>
      <c r="Q131" s="722">
        <f ca="1">VLOOKUP($A131,'2018_ModelLink'!$A$3:$S$332,17,FALSE)</f>
        <v>1.0761366693570084E-4</v>
      </c>
      <c r="R131" s="722">
        <f ca="1">VLOOKUP($A131,'2019_ModelLink'!$A$3:$S$332,17,FALSE)</f>
        <v>2.2228448678434671E-3</v>
      </c>
      <c r="S131" s="722">
        <f ca="1">VLOOKUP($A131,'2020_ModelLink'!$A$3:$S$332,17,FALSE)</f>
        <v>5.8146036005814602E-3</v>
      </c>
      <c r="T131" s="715">
        <f>VLOOKUP(A131,Targets!$A$1:$J$301,5,FALSE)</f>
        <v>2.563167023549051E-3</v>
      </c>
      <c r="U131" s="715">
        <f>VLOOKUP(A131,Targets!$A$1:$J$301,5,FALSE)</f>
        <v>2.563167023549051E-3</v>
      </c>
      <c r="V131" s="715">
        <f>VLOOKUP(A131,Targets!$A$1:$J$301,5,FALSE)</f>
        <v>2.563167023549051E-3</v>
      </c>
      <c r="W131" s="715">
        <f>VLOOKUP(A131,Targets!$A$1:$J$301,5,FALSE)*3</f>
        <v>7.6895010706471527E-3</v>
      </c>
      <c r="X131" s="715">
        <f>VLOOKUP(A131,Targets!$A$1:$J$301,6,FALSE)*2</f>
        <v>5.1263340470981021E-3</v>
      </c>
      <c r="Y131" s="429" t="s">
        <v>157</v>
      </c>
      <c r="Z131"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131" s="542"/>
      <c r="AB131" s="21"/>
    </row>
    <row r="132" spans="1:28" ht="225">
      <c r="A132" s="31">
        <v>129</v>
      </c>
      <c r="B132" s="22" t="s">
        <v>39</v>
      </c>
      <c r="C132" s="22" t="s">
        <v>216</v>
      </c>
      <c r="D132" s="22" t="s">
        <v>264</v>
      </c>
      <c r="E132" s="23" t="s">
        <v>265</v>
      </c>
      <c r="F132" s="22" t="s">
        <v>142</v>
      </c>
      <c r="G132" s="22" t="s">
        <v>266</v>
      </c>
      <c r="H132" s="22" t="s">
        <v>30</v>
      </c>
      <c r="I132" s="22" t="s">
        <v>267</v>
      </c>
      <c r="J132" s="22" t="s">
        <v>268</v>
      </c>
      <c r="K132" s="22" t="s">
        <v>174</v>
      </c>
      <c r="L132" s="22">
        <v>2016</v>
      </c>
      <c r="M132" s="335">
        <f ca="1">VLOOKUP(A132,'2020_ModelLink'!$A$3:$S$332,18,FALSE)</f>
        <v>0</v>
      </c>
      <c r="N132" s="335">
        <f ca="1">VLOOKUP(A132,'2020_ModelLink'!$A$3:$S$332,19,FALSE)</f>
        <v>0</v>
      </c>
      <c r="O132" s="722">
        <f ca="1">VLOOKUP($A132,'2016_ModelLink'!$A$3:$S$332,17,FALSE)</f>
        <v>2.3909472531483848E-2</v>
      </c>
      <c r="P132" s="722">
        <f ca="1">VLOOKUP($A132,'2017_ModelLink'!$A$3:$S$332,17,FALSE)</f>
        <v>2.3909472531483848E-2</v>
      </c>
      <c r="Q132" s="722">
        <f ca="1">VLOOKUP($A132,'2018_ModelLink'!$A$3:$S$332,17,FALSE)</f>
        <v>4.7545172476729333E-2</v>
      </c>
      <c r="R132" s="722">
        <f ca="1">VLOOKUP($A132,'2019_ModelLink'!$A$3:$S$332,17,FALSE)</f>
        <v>8.2588063515240007E-2</v>
      </c>
      <c r="S132" s="722">
        <f ca="1">VLOOKUP($A132,'2020_ModelLink'!$A$3:$S$332,17,FALSE)</f>
        <v>1.1589706150757438E-2</v>
      </c>
      <c r="T132" s="715">
        <f>VLOOKUP(A132,Targets!$A$1:$J$301,5,FALSE)</f>
        <v>1.0628323603292654E-2</v>
      </c>
      <c r="U132" s="715">
        <f>VLOOKUP(A132,Targets!$A$1:$J$301,5,FALSE)</f>
        <v>1.0628323603292654E-2</v>
      </c>
      <c r="V132" s="715">
        <f>VLOOKUP(A132,Targets!$A$1:$J$301,5,FALSE)</f>
        <v>1.0628323603292654E-2</v>
      </c>
      <c r="W132" s="715">
        <f>VLOOKUP(A132,Targets!$A$1:$J$301,5,FALSE)*3</f>
        <v>3.1884970809877962E-2</v>
      </c>
      <c r="X132" s="715">
        <f>VLOOKUP(A132,Targets!$A$1:$J$301,6,FALSE)*2</f>
        <v>2.1256647206585308E-2</v>
      </c>
      <c r="Y132" s="429" t="s">
        <v>269</v>
      </c>
      <c r="Z132" s="429"/>
      <c r="AA132" s="542"/>
      <c r="AB132" s="21"/>
    </row>
    <row r="133" spans="1:28" ht="120">
      <c r="A133" s="31">
        <v>130</v>
      </c>
      <c r="B133" s="22" t="s">
        <v>39</v>
      </c>
      <c r="C133" s="22" t="s">
        <v>216</v>
      </c>
      <c r="D133" s="22" t="s">
        <v>264</v>
      </c>
      <c r="E133" s="23" t="s">
        <v>270</v>
      </c>
      <c r="F133" s="22" t="s">
        <v>142</v>
      </c>
      <c r="G133" s="22" t="s">
        <v>271</v>
      </c>
      <c r="H133" s="22" t="s">
        <v>30</v>
      </c>
      <c r="I133" s="22" t="s">
        <v>272</v>
      </c>
      <c r="J133" s="22" t="s">
        <v>273</v>
      </c>
      <c r="K133" s="22" t="s">
        <v>174</v>
      </c>
      <c r="L133" s="22">
        <v>2016</v>
      </c>
      <c r="M133" s="335">
        <f ca="1">VLOOKUP(A133,'2020_ModelLink'!$A$3:$S$332,18,FALSE)</f>
        <v>0</v>
      </c>
      <c r="N133" s="335">
        <f ca="1">VLOOKUP(A133,'2020_ModelLink'!$A$3:$S$332,19,FALSE)</f>
        <v>0</v>
      </c>
      <c r="O133" s="722">
        <f ca="1">VLOOKUP($A133,'2016_ModelLink'!$A$3:$S$332,17,FALSE)</f>
        <v>3.1512605042016806E-2</v>
      </c>
      <c r="P133" s="722">
        <f ca="1">VLOOKUP($A133,'2017_ModelLink'!$A$3:$S$332,17,FALSE)</f>
        <v>6.9961977186311794E-2</v>
      </c>
      <c r="Q133" s="722">
        <f ca="1">VLOOKUP($A133,'2018_ModelLink'!$A$3:$S$332,17,FALSE)</f>
        <v>8.2892255277727075E-2</v>
      </c>
      <c r="R133" s="722">
        <f ca="1">VLOOKUP($A133,'2019_ModelLink'!$A$3:$S$332,17,FALSE)</f>
        <v>9.2415464143912537E-2</v>
      </c>
      <c r="S133" s="722">
        <f ca="1">VLOOKUP($A133,'2020_ModelLink'!$A$3:$S$332,17,FALSE)</f>
        <v>1.2875536480686695E-2</v>
      </c>
      <c r="T133" s="715">
        <f>VLOOKUP(A133,Targets!$A$1:$J$301,5,FALSE)</f>
        <v>1.8235122434762659E-2</v>
      </c>
      <c r="U133" s="715">
        <f>VLOOKUP(A133,Targets!$A$1:$J$301,5,FALSE)</f>
        <v>1.8235122434762659E-2</v>
      </c>
      <c r="V133" s="715">
        <f>VLOOKUP(A133,Targets!$A$1:$J$301,5,FALSE)</f>
        <v>1.8235122434762659E-2</v>
      </c>
      <c r="W133" s="715">
        <f>VLOOKUP(A133,Targets!$A$1:$J$301,5,FALSE)*3</f>
        <v>5.4705367304287975E-2</v>
      </c>
      <c r="X133" s="715">
        <f>VLOOKUP(A133,Targets!$A$1:$J$301,6,FALSE)*2</f>
        <v>3.6470244869525319E-2</v>
      </c>
      <c r="Y133" s="429" t="s">
        <v>274</v>
      </c>
      <c r="Z133" s="429"/>
      <c r="AA133" s="542"/>
      <c r="AB133" s="21"/>
    </row>
    <row r="134" spans="1:28" ht="135">
      <c r="A134" s="31">
        <v>131</v>
      </c>
      <c r="B134" s="22" t="s">
        <v>39</v>
      </c>
      <c r="C134" s="22" t="s">
        <v>216</v>
      </c>
      <c r="D134" s="22" t="s">
        <v>275</v>
      </c>
      <c r="E134" s="23" t="s">
        <v>91</v>
      </c>
      <c r="F134" s="22" t="s">
        <v>92</v>
      </c>
      <c r="G134" s="22" t="s">
        <v>93</v>
      </c>
      <c r="H134" s="22" t="s">
        <v>30</v>
      </c>
      <c r="I134" s="22" t="s">
        <v>276</v>
      </c>
      <c r="J134" s="22" t="s">
        <v>92</v>
      </c>
      <c r="K134" s="22" t="s">
        <v>174</v>
      </c>
      <c r="L134" s="22">
        <v>2016</v>
      </c>
      <c r="M134" s="335">
        <f ca="1">VLOOKUP(A134,'2020_ModelLink'!$A$3:$S$332,18,FALSE)</f>
        <v>0</v>
      </c>
      <c r="N134" s="335">
        <f ca="1">VLOOKUP(A134,'2020_ModelLink'!$A$3:$S$332,19,FALSE)</f>
        <v>0</v>
      </c>
      <c r="O134" s="721">
        <f ca="1">VLOOKUP($A134,'2016_ModelLink'!$A$3:$S$332,17,FALSE)</f>
        <v>562.91022488755902</v>
      </c>
      <c r="P134" s="721">
        <f ca="1">VLOOKUP($A134,'2017_ModelLink'!$A$3:$S$332,17,FALSE)</f>
        <v>1143.591522911428</v>
      </c>
      <c r="Q134" s="721">
        <f ca="1">VLOOKUP($A134,'2018_ModelLink'!$A$3:$S$332,17,FALSE)</f>
        <v>1065.2143373617291</v>
      </c>
      <c r="R134" s="721">
        <f ca="1">VLOOKUP($A134,'2019_ModelLink'!$A$3:$S$332,17,FALSE)</f>
        <v>792.43577081304625</v>
      </c>
      <c r="S134" s="721">
        <f ca="1">VLOOKUP($A134,'2020_ModelLink'!$A$3:$S$332,17,FALSE)</f>
        <v>568.14453336652525</v>
      </c>
      <c r="T134" s="307">
        <f>VLOOKUP(A134,Targets!$A$1:$J$301,5,FALSE)</f>
        <v>587.08961251266157</v>
      </c>
      <c r="U134" s="307">
        <f>VLOOKUP(A134,Targets!$A$1:$J$301,5,FALSE)</f>
        <v>587.08961251266157</v>
      </c>
      <c r="V134" s="307">
        <f>VLOOKUP(A134,Targets!$A$1:$J$301,5,FALSE)</f>
        <v>587.08961251266157</v>
      </c>
      <c r="W134" s="307">
        <f>VLOOKUP(A134,Targets!$A$1:$J$301,5,FALSE)*3</f>
        <v>1761.2688375379848</v>
      </c>
      <c r="X134" s="307">
        <f>VLOOKUP(A134,Targets!$A$1:$J$301,6,FALSE)*2</f>
        <v>1174.1792250253231</v>
      </c>
      <c r="Y134" s="429"/>
      <c r="Z134" s="429"/>
      <c r="AA134" s="542"/>
      <c r="AB134" s="21"/>
    </row>
    <row r="135" spans="1:28" ht="135">
      <c r="A135" s="31">
        <v>132</v>
      </c>
      <c r="B135" s="22" t="s">
        <v>39</v>
      </c>
      <c r="C135" s="22" t="s">
        <v>216</v>
      </c>
      <c r="D135" s="22" t="s">
        <v>275</v>
      </c>
      <c r="E135" s="23" t="s">
        <v>91</v>
      </c>
      <c r="F135" s="22" t="s">
        <v>95</v>
      </c>
      <c r="G135" s="22" t="s">
        <v>93</v>
      </c>
      <c r="H135" s="22" t="s">
        <v>30</v>
      </c>
      <c r="I135" s="22" t="s">
        <v>276</v>
      </c>
      <c r="J135" s="22" t="s">
        <v>95</v>
      </c>
      <c r="K135" s="22" t="s">
        <v>174</v>
      </c>
      <c r="L135" s="22">
        <v>2016</v>
      </c>
      <c r="M135" s="335">
        <f ca="1">VLOOKUP(A135,'2020_ModelLink'!$A$3:$S$332,18,FALSE)</f>
        <v>0</v>
      </c>
      <c r="N135" s="335">
        <f ca="1">VLOOKUP(A135,'2020_ModelLink'!$A$3:$S$332,19,FALSE)</f>
        <v>0</v>
      </c>
      <c r="O135" s="721">
        <f ca="1">VLOOKUP($A135,'2016_ModelLink'!$A$3:$S$332,17,FALSE)</f>
        <v>0.15063111798501147</v>
      </c>
      <c r="P135" s="721">
        <f ca="1">VLOOKUP($A135,'2017_ModelLink'!$A$3:$S$332,17,FALSE)</f>
        <v>0.11987818387498918</v>
      </c>
      <c r="Q135" s="721">
        <f ca="1">VLOOKUP($A135,'2018_ModelLink'!$A$3:$S$332,17,FALSE)</f>
        <v>0.21265814916531481</v>
      </c>
      <c r="R135" s="721">
        <f ca="1">VLOOKUP($A135,'2019_ModelLink'!$A$3:$S$332,17,FALSE)</f>
        <v>0.15604863705382885</v>
      </c>
      <c r="S135" s="721">
        <f ca="1">VLOOKUP($A135,'2020_ModelLink'!$A$3:$S$332,17,FALSE)</f>
        <v>0.12574665615470207</v>
      </c>
      <c r="T135" s="307">
        <f>VLOOKUP(A135,Targets!$A$1:$J$301,5,FALSE)</f>
        <v>0.1527043528777331</v>
      </c>
      <c r="U135" s="307">
        <f>VLOOKUP(A135,Targets!$A$1:$J$301,5,FALSE)</f>
        <v>0.1527043528777331</v>
      </c>
      <c r="V135" s="307">
        <f>VLOOKUP(A135,Targets!$A$1:$J$301,5,FALSE)</f>
        <v>0.1527043528777331</v>
      </c>
      <c r="W135" s="307">
        <f>VLOOKUP(A135,Targets!$A$1:$J$301,5,FALSE)*3</f>
        <v>0.45811305863319929</v>
      </c>
      <c r="X135" s="307">
        <f>VLOOKUP(A135,Targets!$A$1:$J$301,6,FALSE)*2</f>
        <v>0.30540870575546619</v>
      </c>
      <c r="Y135" s="429"/>
      <c r="Z135" s="429"/>
      <c r="AA135" s="542"/>
      <c r="AB135" s="21"/>
    </row>
    <row r="136" spans="1:28" ht="135">
      <c r="A136" s="31">
        <v>133</v>
      </c>
      <c r="B136" s="22" t="s">
        <v>39</v>
      </c>
      <c r="C136" s="22" t="s">
        <v>216</v>
      </c>
      <c r="D136" s="22" t="s">
        <v>275</v>
      </c>
      <c r="E136" s="23" t="s">
        <v>91</v>
      </c>
      <c r="F136" s="22" t="s">
        <v>96</v>
      </c>
      <c r="G136" s="22" t="s">
        <v>93</v>
      </c>
      <c r="H136" s="22" t="s">
        <v>30</v>
      </c>
      <c r="I136" s="22" t="s">
        <v>276</v>
      </c>
      <c r="J136" s="22" t="s">
        <v>96</v>
      </c>
      <c r="K136" s="22" t="s">
        <v>174</v>
      </c>
      <c r="L136" s="22">
        <v>2016</v>
      </c>
      <c r="M136" s="335">
        <f ca="1">VLOOKUP(A136,'2020_ModelLink'!$A$3:$S$332,18,FALSE)</f>
        <v>0</v>
      </c>
      <c r="N136" s="335">
        <f ca="1">VLOOKUP(A136,'2020_ModelLink'!$A$3:$S$332,19,FALSE)</f>
        <v>0</v>
      </c>
      <c r="O136" s="721">
        <f ca="1">VLOOKUP($A136,'2016_ModelLink'!$A$3:$S$332,17,FALSE)</f>
        <v>0.95696816915946536</v>
      </c>
      <c r="P136" s="721">
        <f ca="1">VLOOKUP($A136,'2017_ModelLink'!$A$3:$S$332,17,FALSE)</f>
        <v>0.96858686993274801</v>
      </c>
      <c r="Q136" s="721">
        <f ca="1">VLOOKUP($A136,'2018_ModelLink'!$A$3:$S$332,17,FALSE)</f>
        <v>-5.9101710527065938</v>
      </c>
      <c r="R136" s="721">
        <f ca="1">VLOOKUP($A136,'2019_ModelLink'!$A$3:$S$332,17,FALSE)</f>
        <v>1.5369808598382564</v>
      </c>
      <c r="S136" s="721">
        <f ca="1">VLOOKUP($A136,'2020_ModelLink'!$A$3:$S$332,17,FALSE)</f>
        <v>1.0939585071675992</v>
      </c>
      <c r="T136" s="307">
        <f>VLOOKUP(A136,Targets!$A$1:$J$301,5,FALSE)</f>
        <v>0.98469522173561042</v>
      </c>
      <c r="U136" s="307">
        <f>VLOOKUP(A136,Targets!$A$1:$J$301,5,FALSE)</f>
        <v>0.98469522173561042</v>
      </c>
      <c r="V136" s="307">
        <f>VLOOKUP(A136,Targets!$A$1:$J$301,5,FALSE)</f>
        <v>0.98469522173561042</v>
      </c>
      <c r="W136" s="307">
        <f>VLOOKUP(A136,Targets!$A$1:$J$301,5,FALSE)*3</f>
        <v>2.954085665206831</v>
      </c>
      <c r="X136" s="307">
        <f>VLOOKUP(A136,Targets!$A$1:$J$301,6,FALSE)*2</f>
        <v>1.9693904434712208</v>
      </c>
      <c r="Y136" s="429" t="s">
        <v>48</v>
      </c>
      <c r="Z136" s="429" t="s">
        <v>49</v>
      </c>
      <c r="AA136" s="542"/>
      <c r="AB136" s="21"/>
    </row>
    <row r="137" spans="1:28" ht="135">
      <c r="A137" s="31">
        <v>134</v>
      </c>
      <c r="B137" s="22" t="s">
        <v>39</v>
      </c>
      <c r="C137" s="22" t="s">
        <v>216</v>
      </c>
      <c r="D137" s="22" t="s">
        <v>275</v>
      </c>
      <c r="E137" s="23" t="s">
        <v>91</v>
      </c>
      <c r="F137" s="22" t="s">
        <v>97</v>
      </c>
      <c r="G137" s="22" t="s">
        <v>93</v>
      </c>
      <c r="H137" s="22" t="s">
        <v>30</v>
      </c>
      <c r="I137" s="22" t="s">
        <v>276</v>
      </c>
      <c r="J137" s="22" t="s">
        <v>97</v>
      </c>
      <c r="K137" s="22" t="s">
        <v>174</v>
      </c>
      <c r="L137" s="22">
        <v>2016</v>
      </c>
      <c r="M137" s="335">
        <f ca="1">VLOOKUP(A137,'2020_ModelLink'!$A$3:$S$332,18,FALSE)</f>
        <v>0</v>
      </c>
      <c r="N137" s="335">
        <f ca="1">VLOOKUP(A137,'2020_ModelLink'!$A$3:$S$332,19,FALSE)</f>
        <v>0</v>
      </c>
      <c r="O137" s="721">
        <f ca="1">VLOOKUP($A137,'2016_ModelLink'!$A$3:$S$332,17,FALSE)</f>
        <v>694.25857685114306</v>
      </c>
      <c r="P137" s="721">
        <f ca="1">VLOOKUP($A137,'2017_ModelLink'!$A$3:$S$332,17,FALSE)</f>
        <v>1404.4703619909544</v>
      </c>
      <c r="Q137" s="721">
        <f ca="1">VLOOKUP($A137,'2018_ModelLink'!$A$3:$S$332,17,FALSE)</f>
        <v>1217.9598725917929</v>
      </c>
      <c r="R137" s="721">
        <f ca="1">VLOOKUP($A137,'2019_ModelLink'!$A$3:$S$332,17,FALSE)</f>
        <v>825.28937287500628</v>
      </c>
      <c r="S137" s="721">
        <f ca="1">VLOOKUP($A137,'2020_ModelLink'!$A$3:$S$332,17,FALSE)</f>
        <v>584.35540495313512</v>
      </c>
      <c r="T137" s="307">
        <f>VLOOKUP(A137,Targets!$A$1:$J$301,5,FALSE)</f>
        <v>716.45269077123089</v>
      </c>
      <c r="U137" s="307">
        <f>VLOOKUP(A137,Targets!$A$1:$J$301,5,FALSE)</f>
        <v>716.45269077123089</v>
      </c>
      <c r="V137" s="307">
        <f>VLOOKUP(A137,Targets!$A$1:$J$301,5,FALSE)</f>
        <v>716.45269077123089</v>
      </c>
      <c r="W137" s="307">
        <f>VLOOKUP(A137,Targets!$A$1:$J$301,5,FALSE)*3</f>
        <v>2149.3580723136929</v>
      </c>
      <c r="X137" s="307">
        <f>VLOOKUP(A137,Targets!$A$1:$J$301,6,FALSE)*2</f>
        <v>1432.9053815424618</v>
      </c>
      <c r="Y137" s="429"/>
      <c r="Z137" s="429"/>
      <c r="AA137" s="542"/>
      <c r="AB137" s="21"/>
    </row>
    <row r="138" spans="1:28" ht="135">
      <c r="A138" s="31">
        <v>135</v>
      </c>
      <c r="B138" s="22" t="s">
        <v>39</v>
      </c>
      <c r="C138" s="22" t="s">
        <v>216</v>
      </c>
      <c r="D138" s="22" t="s">
        <v>275</v>
      </c>
      <c r="E138" s="23" t="s">
        <v>91</v>
      </c>
      <c r="F138" s="22" t="s">
        <v>98</v>
      </c>
      <c r="G138" s="22" t="s">
        <v>93</v>
      </c>
      <c r="H138" s="22" t="s">
        <v>30</v>
      </c>
      <c r="I138" s="22" t="s">
        <v>276</v>
      </c>
      <c r="J138" s="22" t="s">
        <v>98</v>
      </c>
      <c r="K138" s="22" t="s">
        <v>174</v>
      </c>
      <c r="L138" s="22">
        <v>2016</v>
      </c>
      <c r="M138" s="335">
        <f ca="1">VLOOKUP(A138,'2020_ModelLink'!$A$3:$S$332,18,FALSE)</f>
        <v>0</v>
      </c>
      <c r="N138" s="335">
        <f ca="1">VLOOKUP(A138,'2020_ModelLink'!$A$3:$S$332,19,FALSE)</f>
        <v>0</v>
      </c>
      <c r="O138" s="721">
        <f ca="1">VLOOKUP($A138,'2016_ModelLink'!$A$3:$S$332,17,FALSE)</f>
        <v>0.18577908337454674</v>
      </c>
      <c r="P138" s="721">
        <f ca="1">VLOOKUP($A138,'2017_ModelLink'!$A$3:$S$332,17,FALSE)</f>
        <v>0.14722508249544294</v>
      </c>
      <c r="Q138" s="721">
        <f ca="1">VLOOKUP($A138,'2018_ModelLink'!$A$3:$S$332,17,FALSE)</f>
        <v>0.24315208984559331</v>
      </c>
      <c r="R138" s="721">
        <f ca="1">VLOOKUP($A138,'2019_ModelLink'!$A$3:$S$332,17,FALSE)</f>
        <v>0.16251825896251382</v>
      </c>
      <c r="S138" s="721">
        <f ca="1">VLOOKUP($A138,'2020_ModelLink'!$A$3:$S$332,17,FALSE)</f>
        <v>0.12932561621536287</v>
      </c>
      <c r="T138" s="307">
        <f>VLOOKUP(A138,Targets!$A$1:$J$301,5,FALSE)</f>
        <v>0.18635220617086276</v>
      </c>
      <c r="U138" s="307">
        <f>VLOOKUP(A138,Targets!$A$1:$J$301,5,FALSE)</f>
        <v>0.18635220617086276</v>
      </c>
      <c r="V138" s="307">
        <f>VLOOKUP(A138,Targets!$A$1:$J$301,5,FALSE)</f>
        <v>0.18635220617086276</v>
      </c>
      <c r="W138" s="307">
        <f>VLOOKUP(A138,Targets!$A$1:$J$301,5,FALSE)*3</f>
        <v>0.55905661851258825</v>
      </c>
      <c r="X138" s="307">
        <f>VLOOKUP(A138,Targets!$A$1:$J$301,6,FALSE)*2</f>
        <v>0.37270441234172552</v>
      </c>
      <c r="Y138" s="429"/>
      <c r="Z138" s="429"/>
      <c r="AA138" s="542"/>
      <c r="AB138" s="21"/>
    </row>
    <row r="139" spans="1:28" ht="135">
      <c r="A139" s="31">
        <v>136</v>
      </c>
      <c r="B139" s="22" t="s">
        <v>39</v>
      </c>
      <c r="C139" s="22" t="s">
        <v>216</v>
      </c>
      <c r="D139" s="22" t="s">
        <v>275</v>
      </c>
      <c r="E139" s="23" t="s">
        <v>91</v>
      </c>
      <c r="F139" s="22" t="s">
        <v>99</v>
      </c>
      <c r="G139" s="22" t="s">
        <v>93</v>
      </c>
      <c r="H139" s="22" t="s">
        <v>30</v>
      </c>
      <c r="I139" s="22" t="s">
        <v>276</v>
      </c>
      <c r="J139" s="22" t="s">
        <v>99</v>
      </c>
      <c r="K139" s="22" t="s">
        <v>174</v>
      </c>
      <c r="L139" s="22">
        <v>2016</v>
      </c>
      <c r="M139" s="335">
        <f ca="1">VLOOKUP(A139,'2020_ModelLink'!$A$3:$S$332,18,FALSE)</f>
        <v>0</v>
      </c>
      <c r="N139" s="335">
        <f ca="1">VLOOKUP(A139,'2020_ModelLink'!$A$3:$S$332,19,FALSE)</f>
        <v>0</v>
      </c>
      <c r="O139" s="721">
        <f ca="1">VLOOKUP($A139,'2016_ModelLink'!$A$3:$S$332,17,FALSE)</f>
        <v>1.1802652178599251</v>
      </c>
      <c r="P139" s="721">
        <f ca="1">VLOOKUP($A139,'2017_ModelLink'!$A$3:$S$332,17,FALSE)</f>
        <v>1.1895432281369684</v>
      </c>
      <c r="Q139" s="721">
        <f ca="1">VLOOKUP($A139,'2018_ModelLink'!$A$3:$S$332,17,FALSE)</f>
        <v>1.626305568224182</v>
      </c>
      <c r="R139" s="721">
        <f ca="1">VLOOKUP($A139,'2019_ModelLink'!$A$3:$S$332,17,FALSE)</f>
        <v>1.6007025637363108</v>
      </c>
      <c r="S139" s="721">
        <f ca="1">VLOOKUP($A139,'2020_ModelLink'!$A$3:$S$332,17,FALSE)</f>
        <v>1.1250943951895929</v>
      </c>
      <c r="T139" s="307">
        <f>VLOOKUP(A139,Targets!$A$1:$J$301,5,FALSE)</f>
        <v>1.2016692616697195</v>
      </c>
      <c r="U139" s="307">
        <f>VLOOKUP(A139,Targets!$A$1:$J$301,5,FALSE)</f>
        <v>1.2016692616697195</v>
      </c>
      <c r="V139" s="307">
        <f>VLOOKUP(A139,Targets!$A$1:$J$301,5,FALSE)</f>
        <v>1.2016692616697195</v>
      </c>
      <c r="W139" s="307">
        <f>VLOOKUP(A139,Targets!$A$1:$J$301,5,FALSE)*3</f>
        <v>3.6050077850091586</v>
      </c>
      <c r="X139" s="307">
        <f>VLOOKUP(A139,Targets!$A$1:$J$301,6,FALSE)*2</f>
        <v>2.4033385233394391</v>
      </c>
      <c r="Y139" s="429" t="s">
        <v>48</v>
      </c>
      <c r="Z139" s="429" t="s">
        <v>49</v>
      </c>
      <c r="AA139" s="542"/>
      <c r="AB139" s="21"/>
    </row>
    <row r="140" spans="1:28" ht="165">
      <c r="A140" s="31">
        <v>137</v>
      </c>
      <c r="B140" s="22" t="s">
        <v>39</v>
      </c>
      <c r="C140" s="22" t="s">
        <v>216</v>
      </c>
      <c r="D140" s="22" t="s">
        <v>277</v>
      </c>
      <c r="E140" s="23" t="s">
        <v>278</v>
      </c>
      <c r="F140" s="22" t="s">
        <v>279</v>
      </c>
      <c r="G140" s="22" t="s">
        <v>280</v>
      </c>
      <c r="H140" s="22" t="s">
        <v>164</v>
      </c>
      <c r="I140" s="22" t="s">
        <v>281</v>
      </c>
      <c r="J140" s="22" t="s">
        <v>282</v>
      </c>
      <c r="K140" s="22" t="s">
        <v>174</v>
      </c>
      <c r="L140" s="22" t="s">
        <v>167</v>
      </c>
      <c r="M140" s="335">
        <f ca="1">VLOOKUP(A140,'2020_ModelLink'!$A$3:$S$332,18,FALSE)</f>
        <v>0</v>
      </c>
      <c r="N140" s="335">
        <f ca="1">VLOOKUP(A140,'2020_ModelLink'!$A$3:$S$332,19,FALSE)</f>
        <v>0</v>
      </c>
      <c r="O140" s="721" t="str">
        <f>VLOOKUP($A140,'2016_ModelLink'!$A$3:$S$332,17,FALSE)</f>
        <v>N/A - Indicator</v>
      </c>
      <c r="P140" s="721" t="str">
        <f>VLOOKUP($A140,'2017_ModelLink'!$A$3:$S$332,17,FALSE)</f>
        <v>N/A - Indicator</v>
      </c>
      <c r="Q140" s="721">
        <f ca="1">VLOOKUP($A140,'2018_ModelLink'!$A$3:$S$332,17,FALSE)</f>
        <v>11337.076056072163</v>
      </c>
      <c r="R140" s="721">
        <f ca="1">VLOOKUP($A140,'2019_ModelLink'!$A$3:$S$332,17,FALSE)</f>
        <v>19111.341880527707</v>
      </c>
      <c r="S140" s="721">
        <f ca="1">VLOOKUP($A140,'2020_ModelLink'!$A$3:$S$332,17,FALSE)</f>
        <v>20105.600659819589</v>
      </c>
      <c r="T140" s="307" t="str">
        <f>VLOOKUP(A140,Targets!$A$1:$J$301,5,FALSE)</f>
        <v xml:space="preserve"> N/A - Indicator</v>
      </c>
      <c r="U140" s="307" t="str">
        <f>VLOOKUP(A140,Targets!$A$1:$J$301,5,FALSE)</f>
        <v xml:space="preserve"> N/A - Indicator</v>
      </c>
      <c r="V140" s="307" t="str">
        <f>VLOOKUP(A140,Targets!$A$1:$J$301,5,FALSE)</f>
        <v xml:space="preserve"> N/A - Indicator</v>
      </c>
      <c r="W140" s="307" t="e">
        <f>VLOOKUP(A140,Targets!$A$1:$J$301,5,FALSE)*3</f>
        <v>#VALUE!</v>
      </c>
      <c r="X140" s="307" t="e">
        <f>VLOOKUP(A140,Targets!$A$1:$J$301,6,FALSE)*2</f>
        <v>#VALUE!</v>
      </c>
      <c r="Y140" s="429" t="s">
        <v>283</v>
      </c>
      <c r="Z140" s="429"/>
      <c r="AA140" s="542"/>
      <c r="AB140" s="21"/>
    </row>
    <row r="141" spans="1:28" ht="180">
      <c r="A141" s="31">
        <v>138</v>
      </c>
      <c r="B141" s="22" t="s">
        <v>39</v>
      </c>
      <c r="C141" s="22" t="s">
        <v>216</v>
      </c>
      <c r="D141" s="22" t="s">
        <v>277</v>
      </c>
      <c r="E141" s="23" t="s">
        <v>284</v>
      </c>
      <c r="F141" s="22" t="s">
        <v>285</v>
      </c>
      <c r="G141" s="22" t="s">
        <v>286</v>
      </c>
      <c r="H141" s="22" t="s">
        <v>164</v>
      </c>
      <c r="I141" s="22" t="s">
        <v>287</v>
      </c>
      <c r="J141" s="22" t="s">
        <v>288</v>
      </c>
      <c r="K141" s="22" t="s">
        <v>174</v>
      </c>
      <c r="L141" s="22" t="s">
        <v>167</v>
      </c>
      <c r="M141" s="335">
        <f ca="1">VLOOKUP(A141,'2020_ModelLink'!$A$3:$S$332,18,FALSE)</f>
        <v>0</v>
      </c>
      <c r="N141" s="335">
        <f ca="1">VLOOKUP(A141,'2020_ModelLink'!$A$3:$S$332,19,FALSE)</f>
        <v>0</v>
      </c>
      <c r="O141" s="721" t="str">
        <f>VLOOKUP($A141,'2016_ModelLink'!$A$3:$S$332,17,FALSE)</f>
        <v>N/A - Indicator</v>
      </c>
      <c r="P141" s="721" t="str">
        <f>VLOOKUP($A141,'2017_ModelLink'!$A$3:$S$332,17,FALSE)</f>
        <v>N/A - Indicator</v>
      </c>
      <c r="Q141" s="721">
        <f ca="1">VLOOKUP($A141,'2018_ModelLink'!$A$3:$S$332,17,FALSE)</f>
        <v>13.708677214113861</v>
      </c>
      <c r="R141" s="721">
        <f ca="1">VLOOKUP($A141,'2019_ModelLink'!$A$3:$S$332,17,FALSE)</f>
        <v>23.109240484314036</v>
      </c>
      <c r="S141" s="721">
        <f ca="1">VLOOKUP($A141,'2020_ModelLink'!$A$3:$S$332,17,FALSE)</f>
        <v>24.311488101353799</v>
      </c>
      <c r="T141" s="307" t="str">
        <f>VLOOKUP(A141,Targets!$A$1:$J$301,5,FALSE)</f>
        <v xml:space="preserve"> N/A - Indicator</v>
      </c>
      <c r="U141" s="307" t="str">
        <f>VLOOKUP(A141,Targets!$A$1:$J$301,5,FALSE)</f>
        <v xml:space="preserve"> N/A - Indicator</v>
      </c>
      <c r="V141" s="307" t="str">
        <f>VLOOKUP(A141,Targets!$A$1:$J$301,5,FALSE)</f>
        <v xml:space="preserve"> N/A - Indicator</v>
      </c>
      <c r="W141" s="307" t="e">
        <f>VLOOKUP(A141,Targets!$A$1:$J$301,5,FALSE)*3</f>
        <v>#VALUE!</v>
      </c>
      <c r="X141" s="307" t="e">
        <f>VLOOKUP(A141,Targets!$A$1:$J$301,6,FALSE)*2</f>
        <v>#VALUE!</v>
      </c>
      <c r="Y141" s="429" t="s">
        <v>289</v>
      </c>
      <c r="Z141" s="429"/>
      <c r="AA141" s="542"/>
      <c r="AB141" s="21"/>
    </row>
    <row r="142" spans="1:28" ht="165">
      <c r="A142" s="31">
        <v>139</v>
      </c>
      <c r="B142" s="22" t="s">
        <v>39</v>
      </c>
      <c r="C142" s="22" t="s">
        <v>290</v>
      </c>
      <c r="D142" s="22" t="s">
        <v>291</v>
      </c>
      <c r="E142" s="23" t="s">
        <v>51</v>
      </c>
      <c r="F142" s="22" t="s">
        <v>52</v>
      </c>
      <c r="G142" s="22" t="s">
        <v>53</v>
      </c>
      <c r="H142" s="22" t="s">
        <v>30</v>
      </c>
      <c r="I142" s="22" t="s">
        <v>292</v>
      </c>
      <c r="J142" s="22" t="s">
        <v>52</v>
      </c>
      <c r="K142" s="22" t="s">
        <v>293</v>
      </c>
      <c r="L142" s="22">
        <v>2016</v>
      </c>
      <c r="M142" s="335" t="str">
        <f ca="1">VLOOKUP(A142,'2020_ModelLink'!$A$3:$S$332,18,FALSE)</f>
        <v>N/A</v>
      </c>
      <c r="N142" s="335" t="str">
        <f ca="1">VLOOKUP(A142,'2020_ModelLink'!$A$3:$S$332,19,FALSE)</f>
        <v>N/A</v>
      </c>
      <c r="O142" s="721">
        <f ca="1">VLOOKUP($A142,'2016_ModelLink'!$A$3:$S$332,17,FALSE)</f>
        <v>20942.4105399621</v>
      </c>
      <c r="P142" s="721">
        <f ca="1">VLOOKUP($A142,'2017_ModelLink'!$A$3:$S$332,17,FALSE)</f>
        <v>18761.921947046667</v>
      </c>
      <c r="Q142" s="721">
        <f ca="1">VLOOKUP($A142,'2018_ModelLink'!$A$3:$S$332,17,FALSE)</f>
        <v>17977.164602045003</v>
      </c>
      <c r="R142" s="721">
        <f ca="1">VLOOKUP($A142,'2019_ModelLink'!$A$3:$S$332,17,FALSE)</f>
        <v>6510.3059570831938</v>
      </c>
      <c r="S142" s="721">
        <f ca="1">VLOOKUP($A142,'2020_ModelLink'!$A$3:$S$332,17,FALSE)</f>
        <v>45438.025563202362</v>
      </c>
      <c r="T142" s="307">
        <f>VLOOKUP(A142,Targets!$A$1:$J$301,5,FALSE)</f>
        <v>20052.897097934729</v>
      </c>
      <c r="U142" s="307">
        <f>VLOOKUP(A142,Targets!$A$1:$J$301,5,FALSE)</f>
        <v>20052.897097934729</v>
      </c>
      <c r="V142" s="307">
        <f>VLOOKUP(A142,Targets!$A$1:$J$301,5,FALSE)</f>
        <v>20052.897097934729</v>
      </c>
      <c r="W142" s="307">
        <f>VLOOKUP(A142,Targets!$A$1:$J$301,5,FALSE)*3</f>
        <v>60158.691293804186</v>
      </c>
      <c r="X142" s="307">
        <f>VLOOKUP(A142,Targets!$A$1:$J$301,6,FALSE)*2</f>
        <v>40105.794195869457</v>
      </c>
      <c r="Y142" s="429"/>
      <c r="Z142" s="429"/>
      <c r="AA142" s="542"/>
      <c r="AB142" s="21"/>
    </row>
    <row r="143" spans="1:28" ht="165">
      <c r="A143" s="31">
        <v>140</v>
      </c>
      <c r="B143" s="22" t="s">
        <v>39</v>
      </c>
      <c r="C143" s="22" t="s">
        <v>290</v>
      </c>
      <c r="D143" s="22" t="s">
        <v>291</v>
      </c>
      <c r="E143" s="23" t="s">
        <v>51</v>
      </c>
      <c r="F143" s="22" t="s">
        <v>55</v>
      </c>
      <c r="G143" s="22" t="s">
        <v>53</v>
      </c>
      <c r="H143" s="22" t="s">
        <v>30</v>
      </c>
      <c r="I143" s="22" t="s">
        <v>292</v>
      </c>
      <c r="J143" s="22" t="s">
        <v>55</v>
      </c>
      <c r="K143" s="22" t="s">
        <v>293</v>
      </c>
      <c r="L143" s="22">
        <v>2016</v>
      </c>
      <c r="M143" s="335" t="str">
        <f ca="1">VLOOKUP(A143,'2020_ModelLink'!$A$3:$S$332,18,FALSE)</f>
        <v>N/A</v>
      </c>
      <c r="N143" s="335" t="str">
        <f ca="1">VLOOKUP(A143,'2020_ModelLink'!$A$3:$S$332,19,FALSE)</f>
        <v>N/A</v>
      </c>
      <c r="O143" s="721">
        <f ca="1">VLOOKUP($A143,'2016_ModelLink'!$A$3:$S$332,17,FALSE)</f>
        <v>13928.8118527406</v>
      </c>
      <c r="P143" s="721">
        <f ca="1">VLOOKUP($A143,'2017_ModelLink'!$A$3:$S$332,17,FALSE)</f>
        <v>14976.994338750063</v>
      </c>
      <c r="Q143" s="721">
        <f ca="1">VLOOKUP($A143,'2018_ModelLink'!$A$3:$S$332,17,FALSE)</f>
        <v>15325.22723764494</v>
      </c>
      <c r="R143" s="721">
        <f ca="1">VLOOKUP($A143,'2019_ModelLink'!$A$3:$S$332,17,FALSE)</f>
        <v>4797.0181701636484</v>
      </c>
      <c r="S143" s="721">
        <f ca="1">VLOOKUP($A143,'2020_ModelLink'!$A$3:$S$332,17,FALSE)</f>
        <v>44723.25293662685</v>
      </c>
      <c r="T143" s="307">
        <f>VLOOKUP(A143,Targets!$A$1:$J$301,5,FALSE)</f>
        <v>12754.842387079609</v>
      </c>
      <c r="U143" s="307">
        <f>VLOOKUP(A143,Targets!$A$1:$J$301,5,FALSE)</f>
        <v>12754.842387079609</v>
      </c>
      <c r="V143" s="307">
        <f>VLOOKUP(A143,Targets!$A$1:$J$301,5,FALSE)</f>
        <v>12754.842387079609</v>
      </c>
      <c r="W143" s="307">
        <f>VLOOKUP(A143,Targets!$A$1:$J$301,5,FALSE)*3</f>
        <v>38264.527161238824</v>
      </c>
      <c r="X143" s="307">
        <f>VLOOKUP(A143,Targets!$A$1:$J$301,6,FALSE)*2</f>
        <v>25509.684774159217</v>
      </c>
      <c r="Y143" s="429"/>
      <c r="Z143" s="429"/>
      <c r="AA143" s="542"/>
      <c r="AB143" s="21"/>
    </row>
    <row r="144" spans="1:28" ht="165">
      <c r="A144" s="31">
        <v>141</v>
      </c>
      <c r="B144" s="22" t="s">
        <v>39</v>
      </c>
      <c r="C144" s="22" t="s">
        <v>290</v>
      </c>
      <c r="D144" s="22" t="s">
        <v>291</v>
      </c>
      <c r="E144" s="23" t="s">
        <v>51</v>
      </c>
      <c r="F144" s="22" t="s">
        <v>56</v>
      </c>
      <c r="G144" s="22" t="s">
        <v>53</v>
      </c>
      <c r="H144" s="22" t="s">
        <v>30</v>
      </c>
      <c r="I144" s="22" t="s">
        <v>292</v>
      </c>
      <c r="J144" s="22" t="s">
        <v>56</v>
      </c>
      <c r="K144" s="22" t="s">
        <v>293</v>
      </c>
      <c r="L144" s="22">
        <v>2016</v>
      </c>
      <c r="M144" s="335" t="str">
        <f ca="1">VLOOKUP(A144,'2020_ModelLink'!$A$3:$S$332,18,FALSE)</f>
        <v>N/A</v>
      </c>
      <c r="N144" s="335" t="str">
        <f ca="1">VLOOKUP(A144,'2020_ModelLink'!$A$3:$S$332,19,FALSE)</f>
        <v>N/A</v>
      </c>
      <c r="O144" s="721">
        <f ca="1">VLOOKUP($A144,'2016_ModelLink'!$A$3:$S$332,17,FALSE)</f>
        <v>104208248.482759</v>
      </c>
      <c r="P144" s="721">
        <f ca="1">VLOOKUP($A144,'2017_ModelLink'!$A$3:$S$332,17,FALSE)</f>
        <v>88627172.775303721</v>
      </c>
      <c r="Q144" s="721">
        <f ca="1">VLOOKUP($A144,'2018_ModelLink'!$A$3:$S$332,17,FALSE)</f>
        <v>71809803.551935911</v>
      </c>
      <c r="R144" s="721">
        <f ca="1">VLOOKUP($A144,'2019_ModelLink'!$A$3:$S$332,17,FALSE)</f>
        <v>28749606.09597994</v>
      </c>
      <c r="S144" s="721">
        <f ca="1">VLOOKUP($A144,'2020_ModelLink'!$A$3:$S$332,17,FALSE)</f>
        <v>218445474.01682308</v>
      </c>
      <c r="T144" s="307">
        <f>VLOOKUP(A144,Targets!$A$1:$J$301,5,FALSE)</f>
        <v>94291378.792599902</v>
      </c>
      <c r="U144" s="307">
        <f>VLOOKUP(A144,Targets!$A$1:$J$301,5,FALSE)</f>
        <v>94291378.792599902</v>
      </c>
      <c r="V144" s="307">
        <f>VLOOKUP(A144,Targets!$A$1:$J$301,5,FALSE)</f>
        <v>94291378.792599902</v>
      </c>
      <c r="W144" s="307">
        <f>VLOOKUP(A144,Targets!$A$1:$J$301,5,FALSE)*3</f>
        <v>282874136.37779969</v>
      </c>
      <c r="X144" s="307">
        <f>VLOOKUP(A144,Targets!$A$1:$J$301,6,FALSE)*2</f>
        <v>188582757.5851998</v>
      </c>
      <c r="Y144" s="429"/>
      <c r="Z144" s="429"/>
      <c r="AA144" s="542"/>
      <c r="AB144" s="21"/>
    </row>
    <row r="145" spans="1:28" ht="165">
      <c r="A145" s="31">
        <v>142</v>
      </c>
      <c r="B145" s="22" t="s">
        <v>39</v>
      </c>
      <c r="C145" s="22" t="s">
        <v>290</v>
      </c>
      <c r="D145" s="22" t="s">
        <v>291</v>
      </c>
      <c r="E145" s="23" t="s">
        <v>51</v>
      </c>
      <c r="F145" s="22" t="s">
        <v>57</v>
      </c>
      <c r="G145" s="22" t="s">
        <v>53</v>
      </c>
      <c r="H145" s="22" t="s">
        <v>30</v>
      </c>
      <c r="I145" s="22" t="s">
        <v>292</v>
      </c>
      <c r="J145" s="22" t="s">
        <v>57</v>
      </c>
      <c r="K145" s="22" t="s">
        <v>293</v>
      </c>
      <c r="L145" s="22">
        <v>2016</v>
      </c>
      <c r="M145" s="335" t="str">
        <f ca="1">VLOOKUP(A145,'2020_ModelLink'!$A$3:$S$332,18,FALSE)</f>
        <v>N/A</v>
      </c>
      <c r="N145" s="335" t="str">
        <f ca="1">VLOOKUP(A145,'2020_ModelLink'!$A$3:$S$332,19,FALSE)</f>
        <v>N/A</v>
      </c>
      <c r="O145" s="721">
        <f ca="1">VLOOKUP($A145,'2016_ModelLink'!$A$3:$S$332,17,FALSE)</f>
        <v>68461323.543331504</v>
      </c>
      <c r="P145" s="721">
        <f ca="1">VLOOKUP($A145,'2017_ModelLink'!$A$3:$S$332,17,FALSE)</f>
        <v>68056876.459394991</v>
      </c>
      <c r="Q145" s="721">
        <f ca="1">VLOOKUP($A145,'2018_ModelLink'!$A$3:$S$332,17,FALSE)</f>
        <v>60445200.336516038</v>
      </c>
      <c r="R145" s="721">
        <f ca="1">VLOOKUP($A145,'2019_ModelLink'!$A$3:$S$332,17,FALSE)</f>
        <v>22083697.691690225</v>
      </c>
      <c r="S145" s="721">
        <f ca="1">VLOOKUP($A145,'2020_ModelLink'!$A$3:$S$332,17,FALSE)</f>
        <v>214485632.11924869</v>
      </c>
      <c r="T145" s="307">
        <f>VLOOKUP(A145,Targets!$A$1:$J$301,5,FALSE)</f>
        <v>58318476.793748207</v>
      </c>
      <c r="U145" s="307">
        <f>VLOOKUP(A145,Targets!$A$1:$J$301,5,FALSE)</f>
        <v>58318476.793748207</v>
      </c>
      <c r="V145" s="307">
        <f>VLOOKUP(A145,Targets!$A$1:$J$301,5,FALSE)</f>
        <v>58318476.793748207</v>
      </c>
      <c r="W145" s="307">
        <f>VLOOKUP(A145,Targets!$A$1:$J$301,5,FALSE)*3</f>
        <v>174955430.38124463</v>
      </c>
      <c r="X145" s="307">
        <f>VLOOKUP(A145,Targets!$A$1:$J$301,6,FALSE)*2</f>
        <v>116636953.58749641</v>
      </c>
      <c r="Y145" s="429"/>
      <c r="Z145" s="429"/>
      <c r="AA145" s="542"/>
      <c r="AB145" s="21"/>
    </row>
    <row r="146" spans="1:28" ht="165">
      <c r="A146" s="31">
        <v>143</v>
      </c>
      <c r="B146" s="22" t="s">
        <v>39</v>
      </c>
      <c r="C146" s="22" t="s">
        <v>290</v>
      </c>
      <c r="D146" s="22" t="s">
        <v>291</v>
      </c>
      <c r="E146" s="23" t="s">
        <v>51</v>
      </c>
      <c r="F146" s="22" t="s">
        <v>58</v>
      </c>
      <c r="G146" s="22" t="s">
        <v>53</v>
      </c>
      <c r="H146" s="22" t="s">
        <v>30</v>
      </c>
      <c r="I146" s="22" t="s">
        <v>292</v>
      </c>
      <c r="J146" s="22" t="s">
        <v>58</v>
      </c>
      <c r="K146" s="22" t="s">
        <v>293</v>
      </c>
      <c r="L146" s="22">
        <v>2016</v>
      </c>
      <c r="M146" s="335" t="str">
        <f ca="1">VLOOKUP(A146,'2020_ModelLink'!$A$3:$S$332,18,FALSE)</f>
        <v>N/A</v>
      </c>
      <c r="N146" s="335" t="str">
        <f ca="1">VLOOKUP(A146,'2020_ModelLink'!$A$3:$S$332,19,FALSE)</f>
        <v>N/A</v>
      </c>
      <c r="O146" s="721">
        <f ca="1">VLOOKUP($A146,'2016_ModelLink'!$A$3:$S$332,17,FALSE)</f>
        <v>651631.97110123001</v>
      </c>
      <c r="P146" s="721">
        <f ca="1">VLOOKUP($A146,'2017_ModelLink'!$A$3:$S$332,17,FALSE)</f>
        <v>430579.00311940245</v>
      </c>
      <c r="Q146" s="721">
        <f ca="1">VLOOKUP($A146,'2018_ModelLink'!$A$3:$S$332,17,FALSE)</f>
        <v>197407.13417670046</v>
      </c>
      <c r="R146" s="721">
        <f ca="1">VLOOKUP($A146,'2019_ModelLink'!$A$3:$S$332,17,FALSE)</f>
        <v>616067.34714183549</v>
      </c>
      <c r="S146" s="721">
        <f ca="1">VLOOKUP($A146,'2020_ModelLink'!$A$3:$S$332,17,FALSE)</f>
        <v>864068.43125482777</v>
      </c>
      <c r="T146" s="307">
        <f>VLOOKUP(A146,Targets!$A$1:$J$301,5,FALSE)</f>
        <v>1067270.5304584501</v>
      </c>
      <c r="U146" s="307">
        <f>VLOOKUP(A146,Targets!$A$1:$J$301,5,FALSE)</f>
        <v>1067270.5304584501</v>
      </c>
      <c r="V146" s="307">
        <f>VLOOKUP(A146,Targets!$A$1:$J$301,5,FALSE)</f>
        <v>1067270.5304584501</v>
      </c>
      <c r="W146" s="307">
        <f>VLOOKUP(A146,Targets!$A$1:$J$301,5,FALSE)*3</f>
        <v>3201811.59137535</v>
      </c>
      <c r="X146" s="307">
        <f>VLOOKUP(A146,Targets!$A$1:$J$301,6,FALSE)*2</f>
        <v>2134541.0609169002</v>
      </c>
      <c r="Y146" s="429" t="s">
        <v>294</v>
      </c>
      <c r="Z146" s="429" t="s">
        <v>295</v>
      </c>
      <c r="AA146" s="542"/>
      <c r="AB146" s="21"/>
    </row>
    <row r="147" spans="1:28" ht="165">
      <c r="A147" s="31">
        <v>144</v>
      </c>
      <c r="B147" s="22" t="s">
        <v>39</v>
      </c>
      <c r="C147" s="22" t="s">
        <v>290</v>
      </c>
      <c r="D147" s="22" t="s">
        <v>291</v>
      </c>
      <c r="E147" s="23" t="s">
        <v>51</v>
      </c>
      <c r="F147" s="22" t="s">
        <v>60</v>
      </c>
      <c r="G147" s="22" t="s">
        <v>53</v>
      </c>
      <c r="H147" s="22" t="s">
        <v>30</v>
      </c>
      <c r="I147" s="22" t="s">
        <v>292</v>
      </c>
      <c r="J147" s="22" t="s">
        <v>60</v>
      </c>
      <c r="K147" s="22" t="s">
        <v>293</v>
      </c>
      <c r="L147" s="22">
        <v>2016</v>
      </c>
      <c r="M147" s="335" t="str">
        <f ca="1">VLOOKUP(A147,'2020_ModelLink'!$A$3:$S$332,18,FALSE)</f>
        <v>N/A</v>
      </c>
      <c r="N147" s="335" t="str">
        <f ca="1">VLOOKUP(A147,'2020_ModelLink'!$A$3:$S$332,19,FALSE)</f>
        <v>N/A</v>
      </c>
      <c r="O147" s="721">
        <f ca="1">VLOOKUP($A147,'2016_ModelLink'!$A$3:$S$332,17,FALSE)</f>
        <v>398717.23456308001</v>
      </c>
      <c r="P147" s="721">
        <f ca="1">VLOOKUP($A147,'2017_ModelLink'!$A$3:$S$332,17,FALSE)</f>
        <v>197874.57642467719</v>
      </c>
      <c r="Q147" s="721">
        <f ca="1">VLOOKUP($A147,'2018_ModelLink'!$A$3:$S$332,17,FALSE)</f>
        <v>38041.337353056893</v>
      </c>
      <c r="R147" s="721">
        <f ca="1">VLOOKUP($A147,'2019_ModelLink'!$A$3:$S$332,17,FALSE)</f>
        <v>474473.34083773254</v>
      </c>
      <c r="S147" s="721">
        <f ca="1">VLOOKUP($A147,'2020_ModelLink'!$A$3:$S$332,17,FALSE)</f>
        <v>837746.72519605723</v>
      </c>
      <c r="T147" s="307">
        <f>VLOOKUP(A147,Targets!$A$1:$J$301,5,FALSE)</f>
        <v>582666.69684346463</v>
      </c>
      <c r="U147" s="307">
        <f>VLOOKUP(A147,Targets!$A$1:$J$301,5,FALSE)</f>
        <v>582666.69684346463</v>
      </c>
      <c r="V147" s="307">
        <f>VLOOKUP(A147,Targets!$A$1:$J$301,5,FALSE)</f>
        <v>582666.69684346463</v>
      </c>
      <c r="W147" s="307">
        <f>VLOOKUP(A147,Targets!$A$1:$J$301,5,FALSE)*3</f>
        <v>1748000.0905303939</v>
      </c>
      <c r="X147" s="307">
        <f>VLOOKUP(A147,Targets!$A$1:$J$301,6,FALSE)*2</f>
        <v>1165333.3936869293</v>
      </c>
      <c r="Y147" s="429" t="s">
        <v>294</v>
      </c>
      <c r="Z147" s="429" t="s">
        <v>49</v>
      </c>
      <c r="AA147" s="542"/>
      <c r="AB147" s="21"/>
    </row>
    <row r="148" spans="1:28" ht="165">
      <c r="A148" s="31">
        <v>145</v>
      </c>
      <c r="B148" s="22" t="s">
        <v>39</v>
      </c>
      <c r="C148" s="22" t="s">
        <v>290</v>
      </c>
      <c r="D148" s="22" t="s">
        <v>291</v>
      </c>
      <c r="E148" s="23" t="s">
        <v>51</v>
      </c>
      <c r="F148" s="22" t="s">
        <v>61</v>
      </c>
      <c r="G148" s="22" t="s">
        <v>53</v>
      </c>
      <c r="H148" s="22" t="s">
        <v>30</v>
      </c>
      <c r="I148" s="22" t="s">
        <v>292</v>
      </c>
      <c r="J148" s="22" t="s">
        <v>61</v>
      </c>
      <c r="K148" s="22" t="s">
        <v>293</v>
      </c>
      <c r="L148" s="22">
        <v>2016</v>
      </c>
      <c r="M148" s="335" t="str">
        <f ca="1">VLOOKUP(A148,'2020_ModelLink'!$A$3:$S$332,18,FALSE)</f>
        <v>N/A</v>
      </c>
      <c r="N148" s="335" t="str">
        <f ca="1">VLOOKUP(A148,'2020_ModelLink'!$A$3:$S$332,19,FALSE)</f>
        <v>N/A</v>
      </c>
      <c r="O148" s="721">
        <f ca="1">VLOOKUP($A148,'2016_ModelLink'!$A$3:$S$332,17,FALSE)</f>
        <v>224342.18687198</v>
      </c>
      <c r="P148" s="721">
        <f ca="1">VLOOKUP($A148,'2017_ModelLink'!$A$3:$S$332,17,FALSE)</f>
        <v>149417.58976452262</v>
      </c>
      <c r="Q148" s="721">
        <f ca="1">VLOOKUP($A148,'2018_ModelLink'!$A$3:$S$332,17,FALSE)</f>
        <v>130331.78629003785</v>
      </c>
      <c r="R148" s="721">
        <f ca="1">VLOOKUP($A148,'2019_ModelLink'!$A$3:$S$332,17,FALSE)</f>
        <v>40559.444891439853</v>
      </c>
      <c r="S148" s="721">
        <f ca="1">VLOOKUP($A148,'2020_ModelLink'!$A$3:$S$332,17,FALSE)</f>
        <v>615972.39399536699</v>
      </c>
      <c r="T148" s="307">
        <f>VLOOKUP(A148,Targets!$A$1:$J$301,5,FALSE)</f>
        <v>219568.99472999151</v>
      </c>
      <c r="U148" s="307">
        <f>VLOOKUP(A148,Targets!$A$1:$J$301,5,FALSE)</f>
        <v>219568.99472999151</v>
      </c>
      <c r="V148" s="307">
        <f>VLOOKUP(A148,Targets!$A$1:$J$301,5,FALSE)</f>
        <v>219568.99472999151</v>
      </c>
      <c r="W148" s="307">
        <f>VLOOKUP(A148,Targets!$A$1:$J$301,5,FALSE)*3</f>
        <v>658706.98418997449</v>
      </c>
      <c r="X148" s="307">
        <f>VLOOKUP(A148,Targets!$A$1:$J$301,6,FALSE)*2</f>
        <v>439137.98945998301</v>
      </c>
      <c r="Y148" s="429"/>
      <c r="Z148" s="429"/>
      <c r="AA148" s="542"/>
      <c r="AB148" s="21"/>
    </row>
    <row r="149" spans="1:28" ht="165">
      <c r="A149" s="31">
        <v>146</v>
      </c>
      <c r="B149" s="22" t="s">
        <v>39</v>
      </c>
      <c r="C149" s="22" t="s">
        <v>290</v>
      </c>
      <c r="D149" s="22" t="s">
        <v>291</v>
      </c>
      <c r="E149" s="23" t="s">
        <v>51</v>
      </c>
      <c r="F149" s="22" t="s">
        <v>62</v>
      </c>
      <c r="G149" s="22" t="s">
        <v>53</v>
      </c>
      <c r="H149" s="22" t="s">
        <v>30</v>
      </c>
      <c r="I149" s="22" t="s">
        <v>292</v>
      </c>
      <c r="J149" s="22" t="s">
        <v>62</v>
      </c>
      <c r="K149" s="22" t="s">
        <v>293</v>
      </c>
      <c r="L149" s="22">
        <v>2016</v>
      </c>
      <c r="M149" s="335" t="str">
        <f ca="1">VLOOKUP(A149,'2020_ModelLink'!$A$3:$S$332,18,FALSE)</f>
        <v>N/A</v>
      </c>
      <c r="N149" s="335" t="str">
        <f ca="1">VLOOKUP(A149,'2020_ModelLink'!$A$3:$S$332,19,FALSE)</f>
        <v>N/A</v>
      </c>
      <c r="O149" s="721">
        <f ca="1">VLOOKUP($A149,'2016_ModelLink'!$A$3:$S$332,17,FALSE)</f>
        <v>148324.13226125401</v>
      </c>
      <c r="P149" s="721">
        <f ca="1">VLOOKUP($A149,'2017_ModelLink'!$A$3:$S$332,17,FALSE)</f>
        <v>120354.98574719284</v>
      </c>
      <c r="Q149" s="721">
        <f ca="1">VLOOKUP($A149,'2018_ModelLink'!$A$3:$S$332,17,FALSE)</f>
        <v>113966.1670359182</v>
      </c>
      <c r="R149" s="721">
        <f ca="1">VLOOKUP($A149,'2019_ModelLink'!$A$3:$S$332,17,FALSE)</f>
        <v>29725.930234849329</v>
      </c>
      <c r="S149" s="721">
        <f ca="1">VLOOKUP($A149,'2020_ModelLink'!$A$3:$S$332,17,FALSE)</f>
        <v>610341.06724811811</v>
      </c>
      <c r="T149" s="307">
        <f>VLOOKUP(A149,Targets!$A$1:$J$301,5,FALSE)</f>
        <v>138643.0601826249</v>
      </c>
      <c r="U149" s="307">
        <f>VLOOKUP(A149,Targets!$A$1:$J$301,5,FALSE)</f>
        <v>138643.0601826249</v>
      </c>
      <c r="V149" s="307">
        <f>VLOOKUP(A149,Targets!$A$1:$J$301,5,FALSE)</f>
        <v>138643.0601826249</v>
      </c>
      <c r="W149" s="307">
        <f>VLOOKUP(A149,Targets!$A$1:$J$301,5,FALSE)*3</f>
        <v>415929.18054787471</v>
      </c>
      <c r="X149" s="307">
        <f>VLOOKUP(A149,Targets!$A$1:$J$301,6,FALSE)*2</f>
        <v>277286.12036524981</v>
      </c>
      <c r="Y149" s="429"/>
      <c r="Z149" s="429"/>
      <c r="AA149" s="542"/>
      <c r="AB149" s="21"/>
    </row>
    <row r="150" spans="1:28" ht="165">
      <c r="A150" s="31">
        <v>147</v>
      </c>
      <c r="B150" s="22" t="s">
        <v>39</v>
      </c>
      <c r="C150" s="22" t="s">
        <v>290</v>
      </c>
      <c r="D150" s="22" t="s">
        <v>291</v>
      </c>
      <c r="E150" s="23" t="s">
        <v>51</v>
      </c>
      <c r="F150" s="22" t="s">
        <v>63</v>
      </c>
      <c r="G150" s="22" t="s">
        <v>53</v>
      </c>
      <c r="H150" s="22" t="s">
        <v>30</v>
      </c>
      <c r="I150" s="22" t="s">
        <v>292</v>
      </c>
      <c r="J150" s="22" t="s">
        <v>63</v>
      </c>
      <c r="K150" s="22" t="s">
        <v>293</v>
      </c>
      <c r="L150" s="22">
        <v>2016</v>
      </c>
      <c r="M150" s="335" t="str">
        <f ca="1">VLOOKUP(A150,'2020_ModelLink'!$A$3:$S$332,18,FALSE)</f>
        <v>N/A</v>
      </c>
      <c r="N150" s="335" t="str">
        <f ca="1">VLOOKUP(A150,'2020_ModelLink'!$A$3:$S$332,19,FALSE)</f>
        <v>N/A</v>
      </c>
      <c r="O150" s="721">
        <f ca="1">VLOOKUP($A150,'2016_ModelLink'!$A$3:$S$332,17,FALSE)</f>
        <v>1116254876.27507</v>
      </c>
      <c r="P150" s="721">
        <f ca="1">VLOOKUP($A150,'2017_ModelLink'!$A$3:$S$332,17,FALSE)</f>
        <v>714402971.23290229</v>
      </c>
      <c r="Q150" s="721">
        <f ca="1">VLOOKUP($A150,'2018_ModelLink'!$A$3:$S$332,17,FALSE)</f>
        <v>550622819.52010953</v>
      </c>
      <c r="R150" s="721">
        <f ca="1">VLOOKUP($A150,'2019_ModelLink'!$A$3:$S$332,17,FALSE)</f>
        <v>183084252.36191565</v>
      </c>
      <c r="S150" s="721">
        <f ca="1">VLOOKUP($A150,'2020_ModelLink'!$A$3:$S$332,17,FALSE)</f>
        <v>2986538274.5260029</v>
      </c>
      <c r="T150" s="307">
        <f>VLOOKUP(A150,Targets!$A$1:$J$301,5,FALSE)</f>
        <v>1031060456.3078518</v>
      </c>
      <c r="U150" s="307">
        <f>VLOOKUP(A150,Targets!$A$1:$J$301,5,FALSE)</f>
        <v>1031060456.3078518</v>
      </c>
      <c r="V150" s="307">
        <f>VLOOKUP(A150,Targets!$A$1:$J$301,5,FALSE)</f>
        <v>1031060456.3078518</v>
      </c>
      <c r="W150" s="307">
        <f>VLOOKUP(A150,Targets!$A$1:$J$301,5,FALSE)*3</f>
        <v>3093181368.9235554</v>
      </c>
      <c r="X150" s="307">
        <f>VLOOKUP(A150,Targets!$A$1:$J$301,6,FALSE)*2</f>
        <v>2062120912.6157036</v>
      </c>
      <c r="Y150" s="429"/>
      <c r="Z150" s="429"/>
      <c r="AA150" s="542"/>
      <c r="AB150" s="21"/>
    </row>
    <row r="151" spans="1:28" ht="165">
      <c r="A151" s="31">
        <v>148</v>
      </c>
      <c r="B151" s="22" t="s">
        <v>39</v>
      </c>
      <c r="C151" s="22" t="s">
        <v>290</v>
      </c>
      <c r="D151" s="22" t="s">
        <v>291</v>
      </c>
      <c r="E151" s="23" t="s">
        <v>51</v>
      </c>
      <c r="F151" s="22" t="s">
        <v>64</v>
      </c>
      <c r="G151" s="22" t="s">
        <v>53</v>
      </c>
      <c r="H151" s="22" t="s">
        <v>30</v>
      </c>
      <c r="I151" s="22" t="s">
        <v>292</v>
      </c>
      <c r="J151" s="22" t="s">
        <v>64</v>
      </c>
      <c r="K151" s="22" t="s">
        <v>293</v>
      </c>
      <c r="L151" s="22">
        <v>2016</v>
      </c>
      <c r="M151" s="335" t="str">
        <f ca="1">VLOOKUP(A151,'2020_ModelLink'!$A$3:$S$332,18,FALSE)</f>
        <v>N/A</v>
      </c>
      <c r="N151" s="335" t="str">
        <f ca="1">VLOOKUP(A151,'2020_ModelLink'!$A$3:$S$332,19,FALSE)</f>
        <v>N/A</v>
      </c>
      <c r="O151" s="721">
        <f ca="1">VLOOKUP($A151,'2016_ModelLink'!$A$3:$S$332,17,FALSE)</f>
        <v>731257355.60763001</v>
      </c>
      <c r="P151" s="721">
        <f ca="1">VLOOKUP($A151,'2017_ModelLink'!$A$3:$S$332,17,FALSE)</f>
        <v>555559482.41726136</v>
      </c>
      <c r="Q151" s="721">
        <f ca="1">VLOOKUP($A151,'2018_ModelLink'!$A$3:$S$332,17,FALSE)</f>
        <v>471792053.97521979</v>
      </c>
      <c r="R151" s="721">
        <f ca="1">VLOOKUP($A151,'2019_ModelLink'!$A$3:$S$332,17,FALSE)</f>
        <v>135568225.40911594</v>
      </c>
      <c r="S151" s="721">
        <f ca="1">VLOOKUP($A151,'2020_ModelLink'!$A$3:$S$332,17,FALSE)</f>
        <v>2958404550.9717913</v>
      </c>
      <c r="T151" s="307">
        <f>VLOOKUP(A151,Targets!$A$1:$J$301,5,FALSE)</f>
        <v>635527368.02568662</v>
      </c>
      <c r="U151" s="307">
        <f>VLOOKUP(A151,Targets!$A$1:$J$301,5,FALSE)</f>
        <v>635527368.02568662</v>
      </c>
      <c r="V151" s="307">
        <f>VLOOKUP(A151,Targets!$A$1:$J$301,5,FALSE)</f>
        <v>635527368.02568662</v>
      </c>
      <c r="W151" s="307">
        <f>VLOOKUP(A151,Targets!$A$1:$J$301,5,FALSE)*3</f>
        <v>1906582104.0770597</v>
      </c>
      <c r="X151" s="307">
        <f>VLOOKUP(A151,Targets!$A$1:$J$301,6,FALSE)*2</f>
        <v>1271054736.0513732</v>
      </c>
      <c r="Y151" s="429"/>
      <c r="Z151" s="429"/>
      <c r="AA151" s="542"/>
      <c r="AB151" s="21"/>
    </row>
    <row r="152" spans="1:28" ht="165">
      <c r="A152" s="31">
        <v>149</v>
      </c>
      <c r="B152" s="22" t="s">
        <v>39</v>
      </c>
      <c r="C152" s="22" t="s">
        <v>290</v>
      </c>
      <c r="D152" s="22" t="s">
        <v>291</v>
      </c>
      <c r="E152" s="23" t="s">
        <v>51</v>
      </c>
      <c r="F152" s="22" t="s">
        <v>65</v>
      </c>
      <c r="G152" s="22" t="s">
        <v>53</v>
      </c>
      <c r="H152" s="22" t="s">
        <v>30</v>
      </c>
      <c r="I152" s="22" t="s">
        <v>292</v>
      </c>
      <c r="J152" s="22" t="s">
        <v>65</v>
      </c>
      <c r="K152" s="22" t="s">
        <v>293</v>
      </c>
      <c r="L152" s="22">
        <v>2016</v>
      </c>
      <c r="M152" s="335" t="str">
        <f ca="1">VLOOKUP(A152,'2020_ModelLink'!$A$3:$S$332,18,FALSE)</f>
        <v>N/A</v>
      </c>
      <c r="N152" s="335" t="str">
        <f ca="1">VLOOKUP(A152,'2020_ModelLink'!$A$3:$S$332,19,FALSE)</f>
        <v>N/A</v>
      </c>
      <c r="O152" s="721">
        <f ca="1">VLOOKUP($A152,'2016_ModelLink'!$A$3:$S$332,17,FALSE)</f>
        <v>5043399.1145049604</v>
      </c>
      <c r="P152" s="721">
        <f ca="1">VLOOKUP($A152,'2017_ModelLink'!$A$3:$S$332,17,FALSE)</f>
        <v>6182563.9187383074</v>
      </c>
      <c r="Q152" s="721">
        <f ca="1">VLOOKUP($A152,'2018_ModelLink'!$A$3:$S$332,17,FALSE)</f>
        <v>4996277.7143258769</v>
      </c>
      <c r="R152" s="721">
        <f ca="1">VLOOKUP($A152,'2019_ModelLink'!$A$3:$S$332,17,FALSE)</f>
        <v>5614471.9602228571</v>
      </c>
      <c r="S152" s="721">
        <f ca="1">VLOOKUP($A152,'2020_ModelLink'!$A$3:$S$332,17,FALSE)</f>
        <v>12536115.539130589</v>
      </c>
      <c r="T152" s="307">
        <f>VLOOKUP(A152,Targets!$A$1:$J$301,5,FALSE)</f>
        <v>12146941.391164841</v>
      </c>
      <c r="U152" s="307">
        <f>VLOOKUP(A152,Targets!$A$1:$J$301,5,FALSE)</f>
        <v>12146941.391164841</v>
      </c>
      <c r="V152" s="307">
        <f>VLOOKUP(A152,Targets!$A$1:$J$301,5,FALSE)</f>
        <v>12146941.391164841</v>
      </c>
      <c r="W152" s="307">
        <f>VLOOKUP(A152,Targets!$A$1:$J$301,5,FALSE)*3</f>
        <v>36440824.173494525</v>
      </c>
      <c r="X152" s="307">
        <f>VLOOKUP(A152,Targets!$A$1:$J$301,6,FALSE)*2</f>
        <v>24293882.782329682</v>
      </c>
      <c r="Y152" s="429" t="s">
        <v>294</v>
      </c>
      <c r="Z152" s="429" t="s">
        <v>49</v>
      </c>
      <c r="AA152" s="542"/>
      <c r="AB152" s="21"/>
    </row>
    <row r="153" spans="1:28" ht="165">
      <c r="A153" s="31">
        <v>150</v>
      </c>
      <c r="B153" s="22" t="s">
        <v>39</v>
      </c>
      <c r="C153" s="22" t="s">
        <v>290</v>
      </c>
      <c r="D153" s="22" t="s">
        <v>291</v>
      </c>
      <c r="E153" s="23" t="s">
        <v>51</v>
      </c>
      <c r="F153" s="22" t="s">
        <v>66</v>
      </c>
      <c r="G153" s="22" t="s">
        <v>53</v>
      </c>
      <c r="H153" s="22" t="s">
        <v>30</v>
      </c>
      <c r="I153" s="22" t="s">
        <v>292</v>
      </c>
      <c r="J153" s="22" t="s">
        <v>66</v>
      </c>
      <c r="K153" s="22" t="s">
        <v>293</v>
      </c>
      <c r="L153" s="22">
        <v>2016</v>
      </c>
      <c r="M153" s="335" t="str">
        <f ca="1">VLOOKUP(A153,'2020_ModelLink'!$A$3:$S$332,18,FALSE)</f>
        <v>N/A</v>
      </c>
      <c r="N153" s="335" t="str">
        <f ca="1">VLOOKUP(A153,'2020_ModelLink'!$A$3:$S$332,19,FALSE)</f>
        <v>N/A</v>
      </c>
      <c r="O153" s="721">
        <f ca="1">VLOOKUP($A153,'2016_ModelLink'!$A$3:$S$332,17,FALSE)</f>
        <v>3035633.0210892698</v>
      </c>
      <c r="P153" s="721">
        <f ca="1">VLOOKUP($A153,'2017_ModelLink'!$A$3:$S$332,17,FALSE)</f>
        <v>3074276.4533362603</v>
      </c>
      <c r="Q153" s="721">
        <f ca="1">VLOOKUP($A153,'2018_ModelLink'!$A$3:$S$332,17,FALSE)</f>
        <v>2254121.2592335637</v>
      </c>
      <c r="R153" s="721">
        <f ca="1">VLOOKUP($A153,'2019_ModelLink'!$A$3:$S$332,17,FALSE)</f>
        <v>3790809.3088417328</v>
      </c>
      <c r="S153" s="721">
        <f ca="1">VLOOKUP($A153,'2020_ModelLink'!$A$3:$S$332,17,FALSE)</f>
        <v>12209712.680286963</v>
      </c>
      <c r="T153" s="307">
        <f>VLOOKUP(A153,Targets!$A$1:$J$301,5,FALSE)</f>
        <v>6637439.1637243759</v>
      </c>
      <c r="U153" s="307">
        <f>VLOOKUP(A153,Targets!$A$1:$J$301,5,FALSE)</f>
        <v>6637439.1637243759</v>
      </c>
      <c r="V153" s="307">
        <f>VLOOKUP(A153,Targets!$A$1:$J$301,5,FALSE)</f>
        <v>6637439.1637243759</v>
      </c>
      <c r="W153" s="307">
        <f>VLOOKUP(A153,Targets!$A$1:$J$301,5,FALSE)*3</f>
        <v>19912317.491173126</v>
      </c>
      <c r="X153" s="307">
        <f>VLOOKUP(A153,Targets!$A$1:$J$301,6,FALSE)*2</f>
        <v>13274878.327448752</v>
      </c>
      <c r="Y153" s="429" t="s">
        <v>294</v>
      </c>
      <c r="Z153" s="429" t="s">
        <v>49</v>
      </c>
      <c r="AA153" s="542"/>
      <c r="AB153" s="21"/>
    </row>
    <row r="154" spans="1:28" ht="225">
      <c r="A154" s="31">
        <v>151</v>
      </c>
      <c r="B154" s="22" t="s">
        <v>39</v>
      </c>
      <c r="C154" s="22" t="s">
        <v>290</v>
      </c>
      <c r="D154" s="22" t="s">
        <v>291</v>
      </c>
      <c r="E154" s="23" t="s">
        <v>296</v>
      </c>
      <c r="F154" s="22" t="s">
        <v>297</v>
      </c>
      <c r="G154" s="22" t="s">
        <v>298</v>
      </c>
      <c r="H154" s="22" t="s">
        <v>30</v>
      </c>
      <c r="I154" s="22" t="s">
        <v>299</v>
      </c>
      <c r="J154" s="22" t="s">
        <v>297</v>
      </c>
      <c r="K154" s="22" t="s">
        <v>293</v>
      </c>
      <c r="L154" s="22">
        <v>2016</v>
      </c>
      <c r="M154" s="335">
        <f ca="1">VLOOKUP(A154,'2020_ModelLink'!$A$3:$S$332,18,FALSE)</f>
        <v>0</v>
      </c>
      <c r="N154" s="335">
        <f ca="1">VLOOKUP(A154,'2020_ModelLink'!$A$3:$S$332,19,FALSE)</f>
        <v>0</v>
      </c>
      <c r="O154" s="722">
        <f ca="1">VLOOKUP($A154,'2016_ModelLink'!$A$3:$S$332,17,FALSE)</f>
        <v>1.5334391610619742E-2</v>
      </c>
      <c r="P154" s="722">
        <f ca="1">VLOOKUP($A154,'2017_ModelLink'!$A$3:$S$332,17,FALSE)</f>
        <v>1.2124181897873013E-2</v>
      </c>
      <c r="Q154" s="722">
        <f ca="1">VLOOKUP($A154,'2018_ModelLink'!$A$3:$S$332,17,FALSE)</f>
        <v>1.3093636258644636E-2</v>
      </c>
      <c r="R154" s="722">
        <f ca="1">VLOOKUP($A154,'2019_ModelLink'!$A$3:$S$332,17,FALSE)</f>
        <v>4.4015053740937993E-3</v>
      </c>
      <c r="S154" s="722">
        <f ca="1">VLOOKUP($A154,'2020_ModelLink'!$A$3:$S$332,17,FALSE)</f>
        <v>4.1220283694966046E-2</v>
      </c>
      <c r="T154" s="715">
        <f>VLOOKUP(A154,Targets!$A$1:$J$301,5,FALSE)</f>
        <v>1.4509873965698979E-2</v>
      </c>
      <c r="U154" s="715">
        <f>VLOOKUP(A154,Targets!$A$1:$J$301,5,FALSE)</f>
        <v>1.4509873965698979E-2</v>
      </c>
      <c r="V154" s="715">
        <f>VLOOKUP(A154,Targets!$A$1:$J$301,5,FALSE)</f>
        <v>1.4509873965698979E-2</v>
      </c>
      <c r="W154" s="715">
        <f>VLOOKUP(A154,Targets!$A$1:$J$301,5,FALSE)*3</f>
        <v>4.3529621897096936E-2</v>
      </c>
      <c r="X154" s="715">
        <f>VLOOKUP(A154,Targets!$A$1:$J$301,6,FALSE)*2</f>
        <v>2.9019747931397957E-2</v>
      </c>
      <c r="Y154" s="429"/>
      <c r="Z154" s="429"/>
      <c r="AA154" s="542"/>
      <c r="AB154" s="21"/>
    </row>
    <row r="155" spans="1:28" ht="225">
      <c r="A155" s="31">
        <v>152</v>
      </c>
      <c r="B155" s="22" t="s">
        <v>39</v>
      </c>
      <c r="C155" s="22" t="s">
        <v>290</v>
      </c>
      <c r="D155" s="22" t="s">
        <v>291</v>
      </c>
      <c r="E155" s="23" t="s">
        <v>296</v>
      </c>
      <c r="F155" s="22" t="s">
        <v>300</v>
      </c>
      <c r="G155" s="22" t="s">
        <v>298</v>
      </c>
      <c r="H155" s="22" t="s">
        <v>30</v>
      </c>
      <c r="I155" s="22" t="s">
        <v>299</v>
      </c>
      <c r="J155" s="22" t="s">
        <v>300</v>
      </c>
      <c r="K155" s="22" t="s">
        <v>293</v>
      </c>
      <c r="L155" s="22">
        <v>2016</v>
      </c>
      <c r="M155" s="335">
        <f ca="1">VLOOKUP(A155,'2020_ModelLink'!$A$3:$S$332,18,FALSE)</f>
        <v>0</v>
      </c>
      <c r="N155" s="335">
        <f ca="1">VLOOKUP(A155,'2020_ModelLink'!$A$3:$S$332,19,FALSE)</f>
        <v>0</v>
      </c>
      <c r="O155" s="722">
        <f ca="1">VLOOKUP($A155,'2016_ModelLink'!$A$3:$S$332,17,FALSE)</f>
        <v>1.0198914552505607E-2</v>
      </c>
      <c r="P155" s="722">
        <f ca="1">VLOOKUP($A155,'2017_ModelLink'!$A$3:$S$332,17,FALSE)</f>
        <v>9.6783156948909172E-3</v>
      </c>
      <c r="Q155" s="722">
        <f ca="1">VLOOKUP($A155,'2018_ModelLink'!$A$3:$S$332,17,FALSE)</f>
        <v>1.116210233776074E-2</v>
      </c>
      <c r="R155" s="722">
        <f ca="1">VLOOKUP($A155,'2019_ModelLink'!$A$3:$S$332,17,FALSE)</f>
        <v>3.2431811031290812E-3</v>
      </c>
      <c r="S155" s="722">
        <f ca="1">VLOOKUP($A155,'2020_ModelLink'!$A$3:$S$332,17,FALSE)</f>
        <v>4.057185916331784E-2</v>
      </c>
      <c r="T155" s="715">
        <f>VLOOKUP(A155,Targets!$A$1:$J$301,5,FALSE)</f>
        <v>9.2073666006794209E-3</v>
      </c>
      <c r="U155" s="715">
        <f>VLOOKUP(A155,Targets!$A$1:$J$301,5,FALSE)</f>
        <v>9.2073666006794209E-3</v>
      </c>
      <c r="V155" s="715">
        <f>VLOOKUP(A155,Targets!$A$1:$J$301,5,FALSE)</f>
        <v>9.2073666006794209E-3</v>
      </c>
      <c r="W155" s="715">
        <f>VLOOKUP(A155,Targets!$A$1:$J$301,5,FALSE)*3</f>
        <v>2.7622099802038263E-2</v>
      </c>
      <c r="X155" s="715">
        <f>VLOOKUP(A155,Targets!$A$1:$J$301,6,FALSE)*2</f>
        <v>1.8414733201358842E-2</v>
      </c>
      <c r="Y155" s="429"/>
      <c r="Z155" s="429"/>
      <c r="AA155" s="542"/>
      <c r="AB155" s="21"/>
    </row>
    <row r="156" spans="1:28" ht="225">
      <c r="A156" s="31">
        <v>153</v>
      </c>
      <c r="B156" s="22" t="s">
        <v>39</v>
      </c>
      <c r="C156" s="22" t="s">
        <v>290</v>
      </c>
      <c r="D156" s="22" t="s">
        <v>291</v>
      </c>
      <c r="E156" s="23" t="s">
        <v>296</v>
      </c>
      <c r="F156" s="22" t="s">
        <v>301</v>
      </c>
      <c r="G156" s="22" t="s">
        <v>298</v>
      </c>
      <c r="H156" s="22" t="s">
        <v>30</v>
      </c>
      <c r="I156" s="22" t="s">
        <v>299</v>
      </c>
      <c r="J156" s="22" t="s">
        <v>301</v>
      </c>
      <c r="K156" s="22" t="s">
        <v>293</v>
      </c>
      <c r="L156" s="22">
        <v>2016</v>
      </c>
      <c r="M156" s="335">
        <f ca="1">VLOOKUP(A156,'2020_ModelLink'!$A$3:$S$332,18,FALSE)</f>
        <v>0</v>
      </c>
      <c r="N156" s="335">
        <f ca="1">VLOOKUP(A156,'2020_ModelLink'!$A$3:$S$332,19,FALSE)</f>
        <v>0</v>
      </c>
      <c r="O156" s="722">
        <f ca="1">VLOOKUP($A156,'2016_ModelLink'!$A$3:$S$332,17,FALSE)</f>
        <v>1.3939495285402873E-2</v>
      </c>
      <c r="P156" s="722">
        <f ca="1">VLOOKUP($A156,'2017_ModelLink'!$A$3:$S$332,17,FALSE)</f>
        <v>1.3110647112169228E-2</v>
      </c>
      <c r="Q156" s="722">
        <f ca="1">VLOOKUP($A156,'2018_ModelLink'!$A$3:$S$332,17,FALSE)</f>
        <v>1.0701845320799602E-2</v>
      </c>
      <c r="R156" s="722">
        <f ca="1">VLOOKUP($A156,'2019_ModelLink'!$A$3:$S$332,17,FALSE)</f>
        <v>4.4642806229253928E-3</v>
      </c>
      <c r="S156" s="722">
        <f ca="1">VLOOKUP($A156,'2020_ModelLink'!$A$3:$S$332,17,FALSE)</f>
        <v>3.6402213219502724E-2</v>
      </c>
      <c r="T156" s="715">
        <f>VLOOKUP(A156,Targets!$A$1:$J$301,5,FALSE)</f>
        <v>1.2685712635121599E-2</v>
      </c>
      <c r="U156" s="715">
        <f>VLOOKUP(A156,Targets!$A$1:$J$301,5,FALSE)</f>
        <v>1.2685712635121599E-2</v>
      </c>
      <c r="V156" s="715">
        <f>VLOOKUP(A156,Targets!$A$1:$J$301,5,FALSE)</f>
        <v>1.2685712635121599E-2</v>
      </c>
      <c r="W156" s="715">
        <f>VLOOKUP(A156,Targets!$A$1:$J$301,5,FALSE)*3</f>
        <v>3.8057137905364802E-2</v>
      </c>
      <c r="X156" s="715">
        <f>VLOOKUP(A156,Targets!$A$1:$J$301,6,FALSE)*2</f>
        <v>2.5371425270243199E-2</v>
      </c>
      <c r="Y156" s="429"/>
      <c r="Z156" s="429"/>
      <c r="AA156" s="542"/>
      <c r="AB156" s="21"/>
    </row>
    <row r="157" spans="1:28" ht="225">
      <c r="A157" s="31">
        <v>154</v>
      </c>
      <c r="B157" s="22" t="s">
        <v>39</v>
      </c>
      <c r="C157" s="22" t="s">
        <v>290</v>
      </c>
      <c r="D157" s="22" t="s">
        <v>291</v>
      </c>
      <c r="E157" s="23" t="s">
        <v>296</v>
      </c>
      <c r="F157" s="22" t="s">
        <v>302</v>
      </c>
      <c r="G157" s="22" t="s">
        <v>298</v>
      </c>
      <c r="H157" s="22" t="s">
        <v>30</v>
      </c>
      <c r="I157" s="22" t="s">
        <v>299</v>
      </c>
      <c r="J157" s="22" t="s">
        <v>302</v>
      </c>
      <c r="K157" s="22" t="s">
        <v>293</v>
      </c>
      <c r="L157" s="22">
        <v>2016</v>
      </c>
      <c r="M157" s="335">
        <f ca="1">VLOOKUP(A157,'2020_ModelLink'!$A$3:$S$332,18,FALSE)</f>
        <v>0</v>
      </c>
      <c r="N157" s="335">
        <f ca="1">VLOOKUP(A157,'2020_ModelLink'!$A$3:$S$332,19,FALSE)</f>
        <v>0</v>
      </c>
      <c r="O157" s="722">
        <f ca="1">VLOOKUP($A157,'2016_ModelLink'!$A$3:$S$332,17,FALSE)</f>
        <v>9.1577807962351411E-3</v>
      </c>
      <c r="P157" s="722">
        <f ca="1">VLOOKUP($A157,'2017_ModelLink'!$A$3:$S$332,17,FALSE)</f>
        <v>1.0067676344339612E-2</v>
      </c>
      <c r="Q157" s="722">
        <f ca="1">VLOOKUP($A157,'2018_ModelLink'!$A$3:$S$332,17,FALSE)</f>
        <v>9.0081737087372889E-3</v>
      </c>
      <c r="R157" s="722">
        <f ca="1">VLOOKUP($A157,'2019_ModelLink'!$A$3:$S$332,17,FALSE)</f>
        <v>3.4291886768264431E-3</v>
      </c>
      <c r="S157" s="722">
        <f ca="1">VLOOKUP($A157,'2020_ModelLink'!$A$3:$S$332,17,FALSE)</f>
        <v>3.5742336837445376E-2</v>
      </c>
      <c r="T157" s="715">
        <f>VLOOKUP(A157,Targets!$A$1:$J$301,5,FALSE)</f>
        <v>7.8411774966861674E-3</v>
      </c>
      <c r="U157" s="715">
        <f>VLOOKUP(A157,Targets!$A$1:$J$301,5,FALSE)</f>
        <v>7.8411774966861674E-3</v>
      </c>
      <c r="V157" s="715">
        <f>VLOOKUP(A157,Targets!$A$1:$J$301,5,FALSE)</f>
        <v>7.8411774966861674E-3</v>
      </c>
      <c r="W157" s="715">
        <f>VLOOKUP(A157,Targets!$A$1:$J$301,5,FALSE)*3</f>
        <v>2.35235324900585E-2</v>
      </c>
      <c r="X157" s="715">
        <f>VLOOKUP(A157,Targets!$A$1:$J$301,6,FALSE)*2</f>
        <v>1.5682354993372335E-2</v>
      </c>
      <c r="Y157" s="429"/>
      <c r="Z157" s="429"/>
      <c r="AA157" s="542"/>
      <c r="AB157" s="21"/>
    </row>
    <row r="158" spans="1:28" ht="225">
      <c r="A158" s="31">
        <v>155</v>
      </c>
      <c r="B158" s="22" t="s">
        <v>39</v>
      </c>
      <c r="C158" s="22" t="s">
        <v>290</v>
      </c>
      <c r="D158" s="22" t="s">
        <v>291</v>
      </c>
      <c r="E158" s="23" t="s">
        <v>296</v>
      </c>
      <c r="F158" s="22" t="s">
        <v>303</v>
      </c>
      <c r="G158" s="22" t="s">
        <v>298</v>
      </c>
      <c r="H158" s="22" t="s">
        <v>30</v>
      </c>
      <c r="I158" s="22" t="s">
        <v>299</v>
      </c>
      <c r="J158" s="22" t="s">
        <v>303</v>
      </c>
      <c r="K158" s="22" t="s">
        <v>293</v>
      </c>
      <c r="L158" s="22">
        <v>2016</v>
      </c>
      <c r="M158" s="335">
        <f ca="1">VLOOKUP(A158,'2020_ModelLink'!$A$3:$S$332,18,FALSE)</f>
        <v>0</v>
      </c>
      <c r="N158" s="335">
        <f ca="1">VLOOKUP(A158,'2020_ModelLink'!$A$3:$S$332,19,FALSE)</f>
        <v>0</v>
      </c>
      <c r="O158" s="722">
        <f ca="1">VLOOKUP($A158,'2016_ModelLink'!$A$3:$S$332,17,FALSE)</f>
        <v>3.3800781417530033E-3</v>
      </c>
      <c r="P158" s="722">
        <f ca="1">VLOOKUP($A158,'2017_ModelLink'!$A$3:$S$332,17,FALSE)</f>
        <v>2.1891780141682338E-3</v>
      </c>
      <c r="Q158" s="722">
        <f ca="1">VLOOKUP($A158,'2018_ModelLink'!$A$3:$S$332,17,FALSE)</f>
        <v>9.6261642648832763E-4</v>
      </c>
      <c r="R158" s="722">
        <f ca="1">VLOOKUP($A158,'2019_ModelLink'!$A$3:$S$332,17,FALSE)</f>
        <v>3.4058499977849773E-3</v>
      </c>
      <c r="S158" s="722">
        <f ca="1">VLOOKUP($A158,'2020_ModelLink'!$A$3:$S$332,17,FALSE)</f>
        <v>4.6692231732876214E-3</v>
      </c>
      <c r="T158" s="715">
        <f>VLOOKUP(A158,Targets!$A$1:$J$301,5,FALSE)</f>
        <v>5.2914865898880054E-3</v>
      </c>
      <c r="U158" s="715">
        <f>VLOOKUP(A158,Targets!$A$1:$J$301,5,FALSE)</f>
        <v>5.2914865898880054E-3</v>
      </c>
      <c r="V158" s="715">
        <f>VLOOKUP(A158,Targets!$A$1:$J$301,5,FALSE)</f>
        <v>5.2914865898880054E-3</v>
      </c>
      <c r="W158" s="715">
        <f>VLOOKUP(A158,Targets!$A$1:$J$301,5,FALSE)*3</f>
        <v>1.5874459769664017E-2</v>
      </c>
      <c r="X158" s="715">
        <f>VLOOKUP(A158,Targets!$A$1:$J$301,6,FALSE)*2</f>
        <v>1.0582973179776011E-2</v>
      </c>
      <c r="Y158" s="429" t="s">
        <v>304</v>
      </c>
      <c r="Z158" s="429" t="s">
        <v>49</v>
      </c>
      <c r="AA158" s="542"/>
      <c r="AB158" s="21"/>
    </row>
    <row r="159" spans="1:28" ht="225">
      <c r="A159" s="31">
        <v>156</v>
      </c>
      <c r="B159" s="22" t="s">
        <v>39</v>
      </c>
      <c r="C159" s="22" t="s">
        <v>290</v>
      </c>
      <c r="D159" s="22" t="s">
        <v>291</v>
      </c>
      <c r="E159" s="23" t="s">
        <v>296</v>
      </c>
      <c r="F159" s="22" t="s">
        <v>305</v>
      </c>
      <c r="G159" s="22" t="s">
        <v>298</v>
      </c>
      <c r="H159" s="22" t="s">
        <v>30</v>
      </c>
      <c r="I159" s="22" t="s">
        <v>299</v>
      </c>
      <c r="J159" s="22" t="s">
        <v>305</v>
      </c>
      <c r="K159" s="22" t="s">
        <v>293</v>
      </c>
      <c r="L159" s="22">
        <v>2016</v>
      </c>
      <c r="M159" s="335">
        <f ca="1">VLOOKUP(A159,'2020_ModelLink'!$A$3:$S$332,18,FALSE)</f>
        <v>0</v>
      </c>
      <c r="N159" s="335">
        <f ca="1">VLOOKUP(A159,'2020_ModelLink'!$A$3:$S$332,19,FALSE)</f>
        <v>0</v>
      </c>
      <c r="O159" s="722">
        <f ca="1">VLOOKUP($A159,'2016_ModelLink'!$A$3:$S$332,17,FALSE)</f>
        <v>2.0681849096650744E-3</v>
      </c>
      <c r="P159" s="722">
        <f ca="1">VLOOKUP($A159,'2017_ModelLink'!$A$3:$S$332,17,FALSE)</f>
        <v>1.006046902272266E-3</v>
      </c>
      <c r="Q159" s="722">
        <f ca="1">VLOOKUP($A159,'2018_ModelLink'!$A$3:$S$332,17,FALSE)</f>
        <v>1.8550097682314994E-4</v>
      </c>
      <c r="R159" s="722">
        <f ca="1">VLOOKUP($A159,'2019_ModelLink'!$A$3:$S$332,17,FALSE)</f>
        <v>2.6230655371338456E-3</v>
      </c>
      <c r="S159" s="722">
        <f ca="1">VLOOKUP($A159,'2020_ModelLink'!$A$3:$S$332,17,FALSE)</f>
        <v>4.5269868463434755E-3</v>
      </c>
      <c r="T159" s="715">
        <f>VLOOKUP(A159,Targets!$A$1:$J$301,5,FALSE)</f>
        <v>2.9448123186480548E-3</v>
      </c>
      <c r="U159" s="715">
        <f>VLOOKUP(A159,Targets!$A$1:$J$301,5,FALSE)</f>
        <v>2.9448123186480548E-3</v>
      </c>
      <c r="V159" s="715">
        <f>VLOOKUP(A159,Targets!$A$1:$J$301,5,FALSE)</f>
        <v>2.9448123186480548E-3</v>
      </c>
      <c r="W159" s="715">
        <f>VLOOKUP(A159,Targets!$A$1:$J$301,5,FALSE)*3</f>
        <v>8.8344369559441652E-3</v>
      </c>
      <c r="X159" s="715">
        <f>VLOOKUP(A159,Targets!$A$1:$J$301,6,FALSE)*2</f>
        <v>5.8896246372961095E-3</v>
      </c>
      <c r="Y159" s="429" t="s">
        <v>304</v>
      </c>
      <c r="Z159" s="429" t="s">
        <v>49</v>
      </c>
      <c r="AA159" s="542"/>
      <c r="AB159" s="21"/>
    </row>
    <row r="160" spans="1:28" ht="225">
      <c r="A160" s="31">
        <v>157</v>
      </c>
      <c r="B160" s="22" t="s">
        <v>39</v>
      </c>
      <c r="C160" s="22" t="s">
        <v>290</v>
      </c>
      <c r="D160" s="22" t="s">
        <v>291</v>
      </c>
      <c r="E160" s="23" t="s">
        <v>296</v>
      </c>
      <c r="F160" s="22" t="s">
        <v>306</v>
      </c>
      <c r="G160" s="22" t="s">
        <v>298</v>
      </c>
      <c r="H160" s="22" t="s">
        <v>30</v>
      </c>
      <c r="I160" s="22" t="s">
        <v>299</v>
      </c>
      <c r="J160" s="22" t="s">
        <v>306</v>
      </c>
      <c r="K160" s="22" t="s">
        <v>293</v>
      </c>
      <c r="L160" s="22">
        <v>2016</v>
      </c>
      <c r="M160" s="335">
        <f ca="1">VLOOKUP(A160,'2020_ModelLink'!$A$3:$S$332,18,FALSE)</f>
        <v>0</v>
      </c>
      <c r="N160" s="335">
        <f ca="1">VLOOKUP(A160,'2020_ModelLink'!$A$3:$S$332,19,FALSE)</f>
        <v>0</v>
      </c>
      <c r="O160" s="722">
        <f ca="1">VLOOKUP($A160,'2016_ModelLink'!$A$3:$S$332,17,FALSE)</f>
        <v>0.16426719081422428</v>
      </c>
      <c r="P160" s="722">
        <f ca="1">VLOOKUP($A160,'2017_ModelLink'!$A$3:$S$332,17,FALSE)</f>
        <v>9.6555461757051056E-2</v>
      </c>
      <c r="Q160" s="722">
        <f ca="1">VLOOKUP($A160,'2018_ModelLink'!$A$3:$S$332,17,FALSE)</f>
        <v>9.4926927599418967E-2</v>
      </c>
      <c r="R160" s="722">
        <f ca="1">VLOOKUP($A160,'2019_ModelLink'!$A$3:$S$332,17,FALSE)</f>
        <v>2.7421539914833301E-2</v>
      </c>
      <c r="S160" s="722">
        <f ca="1">VLOOKUP($A160,'2020_ModelLink'!$A$3:$S$332,17,FALSE)</f>
        <v>0.55879533747431964</v>
      </c>
      <c r="T160" s="715">
        <f>VLOOKUP(A160,Targets!$A$1:$J$301,5,FALSE)</f>
        <v>0.158875718792549</v>
      </c>
      <c r="U160" s="715">
        <f>VLOOKUP(A160,Targets!$A$1:$J$301,5,FALSE)</f>
        <v>0.158875718792549</v>
      </c>
      <c r="V160" s="715">
        <f>VLOOKUP(A160,Targets!$A$1:$J$301,5,FALSE)</f>
        <v>0.158875718792549</v>
      </c>
      <c r="W160" s="715">
        <f>VLOOKUP(A160,Targets!$A$1:$J$301,5,FALSE)*3</f>
        <v>0.47662715637764697</v>
      </c>
      <c r="X160" s="715">
        <f>VLOOKUP(A160,Targets!$A$1:$J$301,6,FALSE)*2</f>
        <v>0.317751437585098</v>
      </c>
      <c r="Y160" s="429"/>
      <c r="Z160" s="429"/>
      <c r="AA160" s="542"/>
      <c r="AB160" s="21"/>
    </row>
    <row r="161" spans="1:28" ht="225">
      <c r="A161" s="31">
        <v>158</v>
      </c>
      <c r="B161" s="22" t="s">
        <v>39</v>
      </c>
      <c r="C161" s="22" t="s">
        <v>290</v>
      </c>
      <c r="D161" s="22" t="s">
        <v>291</v>
      </c>
      <c r="E161" s="23" t="s">
        <v>296</v>
      </c>
      <c r="F161" s="22" t="s">
        <v>307</v>
      </c>
      <c r="G161" s="22" t="s">
        <v>298</v>
      </c>
      <c r="H161" s="22" t="s">
        <v>30</v>
      </c>
      <c r="I161" s="22" t="s">
        <v>299</v>
      </c>
      <c r="J161" s="22" t="s">
        <v>307</v>
      </c>
      <c r="K161" s="22" t="s">
        <v>293</v>
      </c>
      <c r="L161" s="22">
        <v>2016</v>
      </c>
      <c r="M161" s="335">
        <f ca="1">VLOOKUP(A161,'2020_ModelLink'!$A$3:$S$332,18,FALSE)</f>
        <v>0</v>
      </c>
      <c r="N161" s="335">
        <f ca="1">VLOOKUP(A161,'2020_ModelLink'!$A$3:$S$332,19,FALSE)</f>
        <v>0</v>
      </c>
      <c r="O161" s="722">
        <f ca="1">VLOOKUP($A161,'2016_ModelLink'!$A$3:$S$332,17,FALSE)</f>
        <v>0.10860546951170323</v>
      </c>
      <c r="P161" s="722">
        <f ca="1">VLOOKUP($A161,'2017_ModelLink'!$A$3:$S$332,17,FALSE)</f>
        <v>7.7774853963965829E-2</v>
      </c>
      <c r="Q161" s="722">
        <f ca="1">VLOOKUP($A161,'2018_ModelLink'!$A$3:$S$332,17,FALSE)</f>
        <v>8.3007057564044334E-2</v>
      </c>
      <c r="R161" s="722">
        <f ca="1">VLOOKUP($A161,'2019_ModelLink'!$A$3:$S$332,17,FALSE)</f>
        <v>2.0097187834355833E-2</v>
      </c>
      <c r="S161" s="722">
        <f ca="1">VLOOKUP($A161,'2020_ModelLink'!$A$3:$S$332,17,FALSE)</f>
        <v>0.55368673332122387</v>
      </c>
      <c r="T161" s="715">
        <f>VLOOKUP(A161,Targets!$A$1:$J$301,5,FALSE)</f>
        <v>0.10008257593481465</v>
      </c>
      <c r="U161" s="715">
        <f>VLOOKUP(A161,Targets!$A$1:$J$301,5,FALSE)</f>
        <v>0.10008257593481465</v>
      </c>
      <c r="V161" s="715">
        <f>VLOOKUP(A161,Targets!$A$1:$J$301,5,FALSE)</f>
        <v>0.10008257593481465</v>
      </c>
      <c r="W161" s="715">
        <f>VLOOKUP(A161,Targets!$A$1:$J$301,5,FALSE)*3</f>
        <v>0.30024772780444398</v>
      </c>
      <c r="X161" s="715">
        <f>VLOOKUP(A161,Targets!$A$1:$J$301,6,FALSE)*2</f>
        <v>0.2001651518696293</v>
      </c>
      <c r="Y161" s="429"/>
      <c r="Z161" s="429"/>
      <c r="AA161" s="542"/>
      <c r="AB161" s="21"/>
    </row>
    <row r="162" spans="1:28" ht="225">
      <c r="A162" s="31">
        <v>159</v>
      </c>
      <c r="B162" s="22" t="s">
        <v>39</v>
      </c>
      <c r="C162" s="22" t="s">
        <v>290</v>
      </c>
      <c r="D162" s="22" t="s">
        <v>291</v>
      </c>
      <c r="E162" s="23" t="s">
        <v>296</v>
      </c>
      <c r="F162" s="22" t="s">
        <v>308</v>
      </c>
      <c r="G162" s="22" t="s">
        <v>298</v>
      </c>
      <c r="H162" s="22" t="s">
        <v>30</v>
      </c>
      <c r="I162" s="22" t="s">
        <v>299</v>
      </c>
      <c r="J162" s="22" t="s">
        <v>308</v>
      </c>
      <c r="K162" s="22" t="s">
        <v>293</v>
      </c>
      <c r="L162" s="22">
        <v>2016</v>
      </c>
      <c r="M162" s="335">
        <f ca="1">VLOOKUP(A162,'2020_ModelLink'!$A$3:$S$332,18,FALSE)</f>
        <v>0</v>
      </c>
      <c r="N162" s="335">
        <f ca="1">VLOOKUP(A162,'2020_ModelLink'!$A$3:$S$332,19,FALSE)</f>
        <v>0</v>
      </c>
      <c r="O162" s="722">
        <f ca="1">VLOOKUP($A162,'2016_ModelLink'!$A$3:$S$332,17,FALSE)</f>
        <v>0.14931667897401302</v>
      </c>
      <c r="P162" s="722">
        <f ca="1">VLOOKUP($A162,'2017_ModelLink'!$A$3:$S$332,17,FALSE)</f>
        <v>0.10568186887181981</v>
      </c>
      <c r="Q162" s="722">
        <f ca="1">VLOOKUP($A162,'2018_ModelLink'!$A$3:$S$332,17,FALSE)</f>
        <v>8.2059551107738798E-2</v>
      </c>
      <c r="R162" s="722">
        <f ca="1">VLOOKUP($A162,'2019_ModelLink'!$A$3:$S$332,17,FALSE)</f>
        <v>2.8429588824744671E-2</v>
      </c>
      <c r="S162" s="722">
        <f ca="1">VLOOKUP($A162,'2020_ModelLink'!$A$3:$S$332,17,FALSE)</f>
        <v>0.49768301928347003</v>
      </c>
      <c r="T162" s="715">
        <f>VLOOKUP(A162,Targets!$A$1:$J$301,5,FALSE)</f>
        <v>0.13871614590479686</v>
      </c>
      <c r="U162" s="715">
        <f>VLOOKUP(A162,Targets!$A$1:$J$301,5,FALSE)</f>
        <v>0.13871614590479686</v>
      </c>
      <c r="V162" s="715">
        <f>VLOOKUP(A162,Targets!$A$1:$J$301,5,FALSE)</f>
        <v>0.13871614590479686</v>
      </c>
      <c r="W162" s="715">
        <f>VLOOKUP(A162,Targets!$A$1:$J$301,5,FALSE)*3</f>
        <v>0.41614843771439058</v>
      </c>
      <c r="X162" s="715">
        <f>VLOOKUP(A162,Targets!$A$1:$J$301,6,FALSE)*2</f>
        <v>0.27743229180959372</v>
      </c>
      <c r="Y162" s="429"/>
      <c r="Z162" s="429"/>
      <c r="AA162" s="542"/>
      <c r="AB162" s="21"/>
    </row>
    <row r="163" spans="1:28" ht="225">
      <c r="A163" s="31">
        <v>160</v>
      </c>
      <c r="B163" s="22" t="s">
        <v>39</v>
      </c>
      <c r="C163" s="22" t="s">
        <v>290</v>
      </c>
      <c r="D163" s="22" t="s">
        <v>291</v>
      </c>
      <c r="E163" s="23" t="s">
        <v>296</v>
      </c>
      <c r="F163" s="22" t="s">
        <v>309</v>
      </c>
      <c r="G163" s="22" t="s">
        <v>298</v>
      </c>
      <c r="H163" s="22" t="s">
        <v>30</v>
      </c>
      <c r="I163" s="22" t="s">
        <v>299</v>
      </c>
      <c r="J163" s="22" t="s">
        <v>309</v>
      </c>
      <c r="K163" s="22" t="s">
        <v>293</v>
      </c>
      <c r="L163" s="22">
        <v>2016</v>
      </c>
      <c r="M163" s="335">
        <f ca="1">VLOOKUP(A163,'2020_ModelLink'!$A$3:$S$332,18,FALSE)</f>
        <v>0</v>
      </c>
      <c r="N163" s="335">
        <f ca="1">VLOOKUP(A163,'2020_ModelLink'!$A$3:$S$332,19,FALSE)</f>
        <v>0</v>
      </c>
      <c r="O163" s="722">
        <f ca="1">VLOOKUP($A163,'2016_ModelLink'!$A$3:$S$332,17,FALSE)</f>
        <v>9.7817194025626455E-2</v>
      </c>
      <c r="P163" s="722">
        <f ca="1">VLOOKUP($A163,'2017_ModelLink'!$A$3:$S$332,17,FALSE)</f>
        <v>8.2184098800698061E-2</v>
      </c>
      <c r="Q163" s="722">
        <f ca="1">VLOOKUP($A163,'2018_ModelLink'!$A$3:$S$332,17,FALSE)</f>
        <v>7.0311368858897577E-2</v>
      </c>
      <c r="R163" s="722">
        <f ca="1">VLOOKUP($A163,'2019_ModelLink'!$A$3:$S$332,17,FALSE)</f>
        <v>2.1051231093664458E-2</v>
      </c>
      <c r="S163" s="722">
        <f ca="1">VLOOKUP($A163,'2020_ModelLink'!$A$3:$S$332,17,FALSE)</f>
        <v>0.49299475642021617</v>
      </c>
      <c r="T163" s="715">
        <f>VLOOKUP(A163,Targets!$A$1:$J$301,5,FALSE)</f>
        <v>8.5449469373408152E-2</v>
      </c>
      <c r="U163" s="715">
        <f>VLOOKUP(A163,Targets!$A$1:$J$301,5,FALSE)</f>
        <v>8.5449469373408152E-2</v>
      </c>
      <c r="V163" s="715">
        <f>VLOOKUP(A163,Targets!$A$1:$J$301,5,FALSE)</f>
        <v>8.5449469373408152E-2</v>
      </c>
      <c r="W163" s="715">
        <f>VLOOKUP(A163,Targets!$A$1:$J$301,5,FALSE)*3</f>
        <v>0.25634840812022447</v>
      </c>
      <c r="X163" s="715">
        <f>VLOOKUP(A163,Targets!$A$1:$J$301,6,FALSE)*2</f>
        <v>0.1708989387468163</v>
      </c>
      <c r="Y163" s="429"/>
      <c r="Z163" s="429"/>
      <c r="AA163" s="542"/>
      <c r="AB163" s="21"/>
    </row>
    <row r="164" spans="1:28" ht="225">
      <c r="A164" s="31">
        <v>161</v>
      </c>
      <c r="B164" s="22" t="s">
        <v>39</v>
      </c>
      <c r="C164" s="22" t="s">
        <v>290</v>
      </c>
      <c r="D164" s="22" t="s">
        <v>291</v>
      </c>
      <c r="E164" s="23" t="s">
        <v>296</v>
      </c>
      <c r="F164" s="22" t="s">
        <v>310</v>
      </c>
      <c r="G164" s="22" t="s">
        <v>298</v>
      </c>
      <c r="H164" s="22" t="s">
        <v>30</v>
      </c>
      <c r="I164" s="22" t="s">
        <v>299</v>
      </c>
      <c r="J164" s="22" t="s">
        <v>310</v>
      </c>
      <c r="K164" s="22" t="s">
        <v>293</v>
      </c>
      <c r="L164" s="22">
        <v>2016</v>
      </c>
      <c r="M164" s="335">
        <f ca="1">VLOOKUP(A164,'2020_ModelLink'!$A$3:$S$332,18,FALSE)</f>
        <v>0</v>
      </c>
      <c r="N164" s="335">
        <f ca="1">VLOOKUP(A164,'2020_ModelLink'!$A$3:$S$332,19,FALSE)</f>
        <v>0</v>
      </c>
      <c r="O164" s="722">
        <f ca="1">VLOOKUP($A164,'2016_ModelLink'!$A$3:$S$332,17,FALSE)</f>
        <v>2.6160599637654106E-2</v>
      </c>
      <c r="P164" s="722">
        <f ca="1">VLOOKUP($A164,'2017_ModelLink'!$A$3:$S$332,17,FALSE)</f>
        <v>3.143379705939453E-2</v>
      </c>
      <c r="Q164" s="722">
        <f ca="1">VLOOKUP($A164,'2018_ModelLink'!$A$3:$S$332,17,FALSE)</f>
        <v>2.4363349476532244E-2</v>
      </c>
      <c r="R164" s="722">
        <f ca="1">VLOOKUP($A164,'2019_ModelLink'!$A$3:$S$332,17,FALSE)</f>
        <v>3.1038894370888345E-2</v>
      </c>
      <c r="S164" s="722">
        <f ca="1">VLOOKUP($A164,'2020_ModelLink'!$A$3:$S$332,17,FALSE)</f>
        <v>6.7742228579413269E-2</v>
      </c>
      <c r="T164" s="715">
        <f>VLOOKUP(A164,Targets!$A$1:$J$301,5,FALSE)</f>
        <v>6.0224072196479156E-2</v>
      </c>
      <c r="U164" s="715">
        <f>VLOOKUP(A164,Targets!$A$1:$J$301,5,FALSE)</f>
        <v>6.0224072196479156E-2</v>
      </c>
      <c r="V164" s="715">
        <f>VLOOKUP(A164,Targets!$A$1:$J$301,5,FALSE)</f>
        <v>6.0224072196479156E-2</v>
      </c>
      <c r="W164" s="715">
        <f>VLOOKUP(A164,Targets!$A$1:$J$301,5,FALSE)*3</f>
        <v>0.18067221658943747</v>
      </c>
      <c r="X164" s="715">
        <f>VLOOKUP(A164,Targets!$A$1:$J$301,6,FALSE)*2</f>
        <v>0.12044814439295831</v>
      </c>
      <c r="Y164" s="429" t="s">
        <v>304</v>
      </c>
      <c r="Z164" s="429" t="s">
        <v>49</v>
      </c>
      <c r="AA164" s="542"/>
      <c r="AB164" s="21"/>
    </row>
    <row r="165" spans="1:28" ht="225">
      <c r="A165" s="31">
        <v>162</v>
      </c>
      <c r="B165" s="22" t="s">
        <v>39</v>
      </c>
      <c r="C165" s="22" t="s">
        <v>290</v>
      </c>
      <c r="D165" s="22" t="s">
        <v>291</v>
      </c>
      <c r="E165" s="23" t="s">
        <v>296</v>
      </c>
      <c r="F165" s="22" t="s">
        <v>311</v>
      </c>
      <c r="G165" s="22" t="s">
        <v>298</v>
      </c>
      <c r="H165" s="22" t="s">
        <v>30</v>
      </c>
      <c r="I165" s="22" t="s">
        <v>299</v>
      </c>
      <c r="J165" s="22" t="s">
        <v>311</v>
      </c>
      <c r="K165" s="22" t="s">
        <v>293</v>
      </c>
      <c r="L165" s="22">
        <v>2016</v>
      </c>
      <c r="M165" s="335">
        <f ca="1">VLOOKUP(A165,'2020_ModelLink'!$A$3:$S$332,18,FALSE)</f>
        <v>0</v>
      </c>
      <c r="N165" s="335">
        <f ca="1">VLOOKUP(A165,'2020_ModelLink'!$A$3:$S$332,19,FALSE)</f>
        <v>0</v>
      </c>
      <c r="O165" s="722">
        <f ca="1">VLOOKUP($A165,'2016_ModelLink'!$A$3:$S$332,17,FALSE)</f>
        <v>1.5746122467912942E-2</v>
      </c>
      <c r="P165" s="722">
        <f ca="1">VLOOKUP($A165,'2017_ModelLink'!$A$3:$S$332,17,FALSE)</f>
        <v>1.5630438020342859E-2</v>
      </c>
      <c r="Q165" s="722">
        <f ca="1">VLOOKUP($A165,'2018_ModelLink'!$A$3:$S$332,17,FALSE)</f>
        <v>1.099177170310639E-2</v>
      </c>
      <c r="R165" s="722">
        <f ca="1">VLOOKUP($A165,'2019_ModelLink'!$A$3:$S$332,17,FALSE)</f>
        <v>2.0957007275292972E-2</v>
      </c>
      <c r="S165" s="722">
        <f ca="1">VLOOKUP($A165,'2020_ModelLink'!$A$3:$S$332,17,FALSE)</f>
        <v>6.5978424073644307E-2</v>
      </c>
      <c r="T165" s="715">
        <f>VLOOKUP(A165,Targets!$A$1:$J$301,5,FALSE)</f>
        <v>3.3545786501100967E-2</v>
      </c>
      <c r="U165" s="715">
        <f>VLOOKUP(A165,Targets!$A$1:$J$301,5,FALSE)</f>
        <v>3.3545786501100967E-2</v>
      </c>
      <c r="V165" s="715">
        <f>VLOOKUP(A165,Targets!$A$1:$J$301,5,FALSE)</f>
        <v>3.3545786501100967E-2</v>
      </c>
      <c r="W165" s="715">
        <f>VLOOKUP(A165,Targets!$A$1:$J$301,5,FALSE)*3</f>
        <v>0.10063735950330291</v>
      </c>
      <c r="X165" s="715">
        <f>VLOOKUP(A165,Targets!$A$1:$J$301,6,FALSE)*2</f>
        <v>6.7091573002201935E-2</v>
      </c>
      <c r="Y165" s="429" t="s">
        <v>304</v>
      </c>
      <c r="Z165" s="429" t="s">
        <v>49</v>
      </c>
      <c r="AA165" s="542"/>
      <c r="AB165" s="21"/>
    </row>
    <row r="166" spans="1:28" ht="120">
      <c r="A166" s="31">
        <v>163</v>
      </c>
      <c r="B166" s="22" t="s">
        <v>39</v>
      </c>
      <c r="C166" s="22" t="s">
        <v>290</v>
      </c>
      <c r="D166" s="22" t="s">
        <v>312</v>
      </c>
      <c r="E166" s="23" t="s">
        <v>42</v>
      </c>
      <c r="F166" s="22" t="s">
        <v>43</v>
      </c>
      <c r="G166" s="22" t="s">
        <v>44</v>
      </c>
      <c r="H166" s="22" t="s">
        <v>30</v>
      </c>
      <c r="I166" s="22" t="s">
        <v>313</v>
      </c>
      <c r="J166" s="22" t="s">
        <v>314</v>
      </c>
      <c r="K166" s="22" t="s">
        <v>293</v>
      </c>
      <c r="L166" s="22">
        <v>2016</v>
      </c>
      <c r="M166" s="335" t="str">
        <f ca="1">VLOOKUP(A166,'2020_ModelLink'!$A$3:$S$332,18,FALSE)</f>
        <v>N/A</v>
      </c>
      <c r="N166" s="335" t="str">
        <f ca="1">VLOOKUP(A166,'2020_ModelLink'!$A$3:$S$332,19,FALSE)</f>
        <v>N/A</v>
      </c>
      <c r="O166" s="721">
        <f ca="1">VLOOKUP($A166,'2016_ModelLink'!$A$3:$S$332,17,FALSE)</f>
        <v>50515.357088319695</v>
      </c>
      <c r="P166" s="721">
        <f ca="1">VLOOKUP($A166,'2017_ModelLink'!$A$3:$S$332,17,FALSE)</f>
        <v>49164.946911843042</v>
      </c>
      <c r="Q166" s="721">
        <f ca="1">VLOOKUP($A166,'2018_ModelLink'!$A$3:$S$332,17,FALSE)</f>
        <v>42936.375725888036</v>
      </c>
      <c r="R166" s="721">
        <f ca="1">VLOOKUP($A166,'2019_ModelLink'!$A$3:$S$332,17,FALSE)</f>
        <v>18127.88297446497</v>
      </c>
      <c r="S166" s="721">
        <f ca="1">VLOOKUP($A166,'2020_ModelLink'!$A$3:$S$332,17,FALSE)</f>
        <v>156081.39955184792</v>
      </c>
      <c r="T166" s="307">
        <f>VLOOKUP(A166,Targets!$A$1:$J$301,5,FALSE)</f>
        <v>38121.456776673527</v>
      </c>
      <c r="U166" s="307">
        <f>VLOOKUP(A166,Targets!$A$1:$J$301,5,FALSE)</f>
        <v>38121.456776673527</v>
      </c>
      <c r="V166" s="307">
        <f>VLOOKUP(A166,Targets!$A$1:$J$301,5,FALSE)</f>
        <v>38121.456776673527</v>
      </c>
      <c r="W166" s="307">
        <f>VLOOKUP(A166,Targets!$A$1:$J$301,5,FALSE)*3</f>
        <v>114364.37033002058</v>
      </c>
      <c r="X166" s="307">
        <f>VLOOKUP(A166,Targets!$A$1:$J$301,6,FALSE)*2</f>
        <v>76242.913553347054</v>
      </c>
      <c r="Y166" s="429" t="s">
        <v>48</v>
      </c>
      <c r="Z166" s="429"/>
      <c r="AA166" s="542"/>
      <c r="AB166" s="21"/>
    </row>
    <row r="167" spans="1:28" ht="120">
      <c r="A167" s="31">
        <v>164</v>
      </c>
      <c r="B167" s="22" t="s">
        <v>39</v>
      </c>
      <c r="C167" s="22" t="s">
        <v>290</v>
      </c>
      <c r="D167" s="22" t="s">
        <v>315</v>
      </c>
      <c r="E167" s="23" t="s">
        <v>316</v>
      </c>
      <c r="F167" s="22" t="s">
        <v>317</v>
      </c>
      <c r="G167" s="22" t="s">
        <v>318</v>
      </c>
      <c r="H167" s="22" t="s">
        <v>30</v>
      </c>
      <c r="I167" s="22" t="s">
        <v>319</v>
      </c>
      <c r="J167" s="22" t="s">
        <v>317</v>
      </c>
      <c r="K167" s="22" t="s">
        <v>293</v>
      </c>
      <c r="L167" s="22">
        <v>2016</v>
      </c>
      <c r="M167" s="335">
        <f ca="1">VLOOKUP(A167,'2020_ModelLink'!$A$3:$S$332,18,FALSE)</f>
        <v>0</v>
      </c>
      <c r="N167" s="335">
        <f ca="1">VLOOKUP(A167,'2020_ModelLink'!$A$3:$S$332,19,FALSE)</f>
        <v>0</v>
      </c>
      <c r="O167" s="722">
        <f ca="1">VLOOKUP($A167,'2016_ModelLink'!$A$3:$S$332,17,FALSE)</f>
        <v>0</v>
      </c>
      <c r="P167" s="722">
        <f ca="1">VLOOKUP($A167,'2017_ModelLink'!$A$3:$S$332,17,FALSE)</f>
        <v>0</v>
      </c>
      <c r="Q167" s="722">
        <f ca="1">VLOOKUP($A167,'2018_ModelLink'!$A$3:$S$332,17,FALSE)</f>
        <v>0</v>
      </c>
      <c r="R167" s="722">
        <f ca="1">VLOOKUP($A167,'2019_ModelLink'!$A$3:$S$332,17,FALSE)</f>
        <v>0</v>
      </c>
      <c r="S167" s="722">
        <f ca="1">VLOOKUP($A167,'2020_ModelLink'!$A$3:$S$332,17,FALSE)</f>
        <v>0</v>
      </c>
      <c r="T167" s="715">
        <f>VLOOKUP(A167,Targets!$A$1:$J$301,5,FALSE)</f>
        <v>1.5275889405384697E-2</v>
      </c>
      <c r="U167" s="715">
        <f>VLOOKUP(A167,Targets!$A$1:$J$301,5,FALSE)</f>
        <v>1.5275889405384697E-2</v>
      </c>
      <c r="V167" s="715">
        <f>VLOOKUP(A167,Targets!$A$1:$J$301,5,FALSE)</f>
        <v>1.5275889405384697E-2</v>
      </c>
      <c r="W167" s="715">
        <f>VLOOKUP(A167,Targets!$A$1:$J$301,5,FALSE)*3</f>
        <v>4.582766821615409E-2</v>
      </c>
      <c r="X167" s="715">
        <f>VLOOKUP(A167,Targets!$A$1:$J$301,6,FALSE)*2</f>
        <v>3.0551778810769394E-2</v>
      </c>
      <c r="Y167" s="429"/>
      <c r="Z167" s="429"/>
      <c r="AA167" s="542"/>
      <c r="AB167" s="21"/>
    </row>
    <row r="168" spans="1:28" ht="120">
      <c r="A168" s="31">
        <v>165</v>
      </c>
      <c r="B168" s="22" t="s">
        <v>39</v>
      </c>
      <c r="C168" s="22" t="s">
        <v>290</v>
      </c>
      <c r="D168" s="22" t="s">
        <v>315</v>
      </c>
      <c r="E168" s="23" t="s">
        <v>316</v>
      </c>
      <c r="F168" s="22" t="s">
        <v>320</v>
      </c>
      <c r="G168" s="22" t="s">
        <v>318</v>
      </c>
      <c r="H168" s="22" t="s">
        <v>30</v>
      </c>
      <c r="I168" s="22" t="s">
        <v>319</v>
      </c>
      <c r="J168" s="22" t="s">
        <v>320</v>
      </c>
      <c r="K168" s="22" t="s">
        <v>293</v>
      </c>
      <c r="L168" s="22">
        <v>2016</v>
      </c>
      <c r="M168" s="335">
        <f ca="1">VLOOKUP(A168,'2020_ModelLink'!$A$3:$S$332,18,FALSE)</f>
        <v>0</v>
      </c>
      <c r="N168" s="335">
        <f ca="1">VLOOKUP(A168,'2020_ModelLink'!$A$3:$S$332,19,FALSE)</f>
        <v>0</v>
      </c>
      <c r="O168" s="722">
        <f ca="1">VLOOKUP($A168,'2016_ModelLink'!$A$3:$S$332,17,FALSE)</f>
        <v>0.61136294769803268</v>
      </c>
      <c r="P168" s="722">
        <f ca="1">VLOOKUP($A168,'2017_ModelLink'!$A$3:$S$332,17,FALSE)</f>
        <v>0.38668994372009047</v>
      </c>
      <c r="Q168" s="722">
        <f ca="1">VLOOKUP($A168,'2018_ModelLink'!$A$3:$S$332,17,FALSE)</f>
        <v>0.29803950384441308</v>
      </c>
      <c r="R168" s="722">
        <f ca="1">VLOOKUP($A168,'2019_ModelLink'!$A$3:$S$332,17,FALSE)</f>
        <v>0.25720975993723594</v>
      </c>
      <c r="S168" s="722">
        <f ca="1">VLOOKUP($A168,'2020_ModelLink'!$A$3:$S$332,17,FALSE)</f>
        <v>0.11273222307972422</v>
      </c>
      <c r="T168" s="715">
        <f>VLOOKUP(A168,Targets!$A$1:$J$301,5,FALSE)</f>
        <v>7.7179816548662586E-2</v>
      </c>
      <c r="U168" s="715">
        <f>VLOOKUP(A168,Targets!$A$1:$J$301,5,FALSE)</f>
        <v>7.7179816548662586E-2</v>
      </c>
      <c r="V168" s="715">
        <f>VLOOKUP(A168,Targets!$A$1:$J$301,5,FALSE)</f>
        <v>7.7179816548662586E-2</v>
      </c>
      <c r="W168" s="715">
        <f>VLOOKUP(A168,Targets!$A$1:$J$301,5,FALSE)*3</f>
        <v>0.23153944964598777</v>
      </c>
      <c r="X168" s="715">
        <f>VLOOKUP(A168,Targets!$A$1:$J$301,6,FALSE)*2</f>
        <v>0.15435963309732517</v>
      </c>
      <c r="Y168" s="429"/>
      <c r="Z168" s="429"/>
      <c r="AA168" s="542"/>
      <c r="AB168" s="21"/>
    </row>
    <row r="169" spans="1:28" ht="240">
      <c r="A169" s="31">
        <v>166</v>
      </c>
      <c r="B169" s="22" t="s">
        <v>39</v>
      </c>
      <c r="C169" s="22" t="s">
        <v>290</v>
      </c>
      <c r="D169" s="22" t="s">
        <v>315</v>
      </c>
      <c r="E169" s="23" t="s">
        <v>316</v>
      </c>
      <c r="F169" s="22" t="s">
        <v>321</v>
      </c>
      <c r="G169" s="22" t="s">
        <v>318</v>
      </c>
      <c r="H169" s="22" t="s">
        <v>30</v>
      </c>
      <c r="I169" s="22" t="s">
        <v>319</v>
      </c>
      <c r="J169" s="22" t="s">
        <v>321</v>
      </c>
      <c r="K169" s="22" t="s">
        <v>293</v>
      </c>
      <c r="L169" s="22">
        <v>2016</v>
      </c>
      <c r="M169" s="335">
        <f ca="1">VLOOKUP(A169,'2020_ModelLink'!$A$3:$S$332,18,FALSE)</f>
        <v>0</v>
      </c>
      <c r="N169" s="335">
        <f ca="1">VLOOKUP(A169,'2020_ModelLink'!$A$3:$S$332,19,FALSE)</f>
        <v>0</v>
      </c>
      <c r="O169" s="722">
        <f ca="1">VLOOKUP($A169,'2016_ModelLink'!$A$3:$S$332,17,FALSE)</f>
        <v>6.1756990309597172E-2</v>
      </c>
      <c r="P169" s="722">
        <f ca="1">VLOOKUP($A169,'2017_ModelLink'!$A$3:$S$332,17,FALSE)</f>
        <v>5.3045523695406084E-2</v>
      </c>
      <c r="Q169" s="722">
        <f ca="1">VLOOKUP($A169,'2018_ModelLink'!$A$3:$S$332,17,FALSE)</f>
        <v>2.4319729335962388E-2</v>
      </c>
      <c r="R169" s="722">
        <f ca="1">VLOOKUP($A169,'2019_ModelLink'!$A$3:$S$332,17,FALSE)</f>
        <v>0.13571696482403345</v>
      </c>
      <c r="S169" s="722">
        <f ca="1">VLOOKUP($A169,'2020_ModelLink'!$A$3:$S$332,17,FALSE)</f>
        <v>0.39422273611562025</v>
      </c>
      <c r="T169" s="715" t="e">
        <f>VLOOKUP(A169,Targets!$A$1:$J$301,5,FALSE)</f>
        <v>#N/A</v>
      </c>
      <c r="U169" s="715" t="e">
        <f>VLOOKUP(A169,Targets!$A$1:$J$301,5,FALSE)</f>
        <v>#N/A</v>
      </c>
      <c r="V169" s="715" t="e">
        <f>VLOOKUP(A169,Targets!$A$1:$J$301,5,FALSE)</f>
        <v>#N/A</v>
      </c>
      <c r="W169" s="715" t="e">
        <f>VLOOKUP(A169,Targets!$A$1:$J$301,5,FALSE)*3</f>
        <v>#N/A</v>
      </c>
      <c r="X169" s="715" t="e">
        <f>VLOOKUP(A169,Targets!$A$1:$J$301,6,FALSE)*2</f>
        <v>#N/A</v>
      </c>
      <c r="Y169" s="429" t="s">
        <v>322</v>
      </c>
      <c r="Z169" s="429"/>
      <c r="AA169" s="542" t="s">
        <v>323</v>
      </c>
      <c r="AB169" s="21"/>
    </row>
    <row r="170" spans="1:28" ht="409.5">
      <c r="A170" s="31">
        <v>167</v>
      </c>
      <c r="B170" s="22" t="s">
        <v>39</v>
      </c>
      <c r="C170" s="22" t="s">
        <v>290</v>
      </c>
      <c r="D170" s="22" t="s">
        <v>324</v>
      </c>
      <c r="E170" s="23" t="s">
        <v>325</v>
      </c>
      <c r="F170" s="22" t="s">
        <v>142</v>
      </c>
      <c r="G170" s="22" t="s">
        <v>143</v>
      </c>
      <c r="H170" s="22" t="s">
        <v>30</v>
      </c>
      <c r="I170" s="22" t="s">
        <v>326</v>
      </c>
      <c r="J170" s="22" t="s">
        <v>327</v>
      </c>
      <c r="K170" s="22" t="s">
        <v>293</v>
      </c>
      <c r="L170" s="22">
        <v>2016</v>
      </c>
      <c r="M170" s="335">
        <f ca="1">VLOOKUP(A170,'2020_ModelLink'!$A$3:$S$332,18,FALSE)</f>
        <v>0</v>
      </c>
      <c r="N170" s="335">
        <f ca="1">VLOOKUP(A170,'2020_ModelLink'!$A$3:$S$332,19,FALSE)</f>
        <v>0</v>
      </c>
      <c r="O170" s="722">
        <f ca="1">VLOOKUP($A170,'2016_ModelLink'!$A$3:$S$332,17,FALSE)</f>
        <v>0.25304465493910688</v>
      </c>
      <c r="P170" s="722">
        <f ca="1">VLOOKUP($A170,'2017_ModelLink'!$A$3:$S$332,17,FALSE)</f>
        <v>0.12080536912751678</v>
      </c>
      <c r="Q170" s="722">
        <f ca="1">VLOOKUP($A170,'2018_ModelLink'!$A$3:$S$332,17,FALSE)</f>
        <v>0.13900414937759337</v>
      </c>
      <c r="R170" s="722">
        <f ca="1">VLOOKUP($A170,'2019_ModelLink'!$A$3:$S$332,17,FALSE)</f>
        <v>8.9426617569700162E-2</v>
      </c>
      <c r="S170" s="722">
        <f ca="1">VLOOKUP($A170,'2020_ModelLink'!$A$3:$S$332,17,FALSE)</f>
        <v>3.4883720930232558E-2</v>
      </c>
      <c r="T170" s="715">
        <f>VLOOKUP(A170,Targets!$A$1:$J$301,5,FALSE)</f>
        <v>0</v>
      </c>
      <c r="U170" s="715">
        <f>VLOOKUP(A170,Targets!$A$1:$J$301,5,FALSE)</f>
        <v>0</v>
      </c>
      <c r="V170" s="715">
        <f>VLOOKUP(A170,Targets!$A$1:$J$301,5,FALSE)</f>
        <v>0</v>
      </c>
      <c r="W170" s="715">
        <f>VLOOKUP(A170,Targets!$A$1:$J$301,5,FALSE)*3</f>
        <v>0</v>
      </c>
      <c r="X170" s="715">
        <f>VLOOKUP(A170,Targets!$A$1:$J$301,6,FALSE)*2</f>
        <v>0</v>
      </c>
      <c r="Y170" s="429" t="s">
        <v>328</v>
      </c>
      <c r="Z170" s="429" t="s">
        <v>246</v>
      </c>
      <c r="AA170" s="542"/>
      <c r="AB170" s="21"/>
    </row>
    <row r="171" spans="1:28" ht="409.5">
      <c r="A171" s="31">
        <v>168</v>
      </c>
      <c r="B171" s="22" t="s">
        <v>39</v>
      </c>
      <c r="C171" s="22" t="s">
        <v>290</v>
      </c>
      <c r="D171" s="22" t="s">
        <v>324</v>
      </c>
      <c r="E171" s="23" t="s">
        <v>329</v>
      </c>
      <c r="F171" s="22" t="s">
        <v>142</v>
      </c>
      <c r="G171" s="22" t="s">
        <v>143</v>
      </c>
      <c r="H171" s="22" t="s">
        <v>30</v>
      </c>
      <c r="I171" s="22" t="s">
        <v>326</v>
      </c>
      <c r="J171" s="22" t="s">
        <v>330</v>
      </c>
      <c r="K171" s="22" t="s">
        <v>293</v>
      </c>
      <c r="L171" s="22">
        <v>2016</v>
      </c>
      <c r="M171" s="335">
        <f ca="1">VLOOKUP(A171,'2020_ModelLink'!$A$3:$S$332,18,FALSE)</f>
        <v>0</v>
      </c>
      <c r="N171" s="335">
        <f ca="1">VLOOKUP(A171,'2020_ModelLink'!$A$3:$S$332,19,FALSE)</f>
        <v>0</v>
      </c>
      <c r="O171" s="722">
        <f ca="1">VLOOKUP($A171,'2016_ModelLink'!$A$3:$S$332,17,FALSE)</f>
        <v>0.11800347442904961</v>
      </c>
      <c r="P171" s="722">
        <f ca="1">VLOOKUP($A171,'2017_ModelLink'!$A$3:$S$332,17,FALSE)</f>
        <v>4.7491950516861552E-2</v>
      </c>
      <c r="Q171" s="722">
        <f ca="1">VLOOKUP($A171,'2018_ModelLink'!$A$3:$S$332,17,FALSE)</f>
        <v>5.598802395209581E-2</v>
      </c>
      <c r="R171" s="722">
        <f ca="1">VLOOKUP($A171,'2019_ModelLink'!$A$3:$S$332,17,FALSE)</f>
        <v>4.17345681465877E-2</v>
      </c>
      <c r="S171" s="722">
        <f ca="1">VLOOKUP($A171,'2020_ModelLink'!$A$3:$S$332,17,FALSE)</f>
        <v>2.8803296610882181E-2</v>
      </c>
      <c r="T171" s="715">
        <f>VLOOKUP(A171,Targets!$A$1:$J$301,5,FALSE)</f>
        <v>9.369689494189426E-2</v>
      </c>
      <c r="U171" s="715">
        <f>VLOOKUP(A171,Targets!$A$1:$J$301,5,FALSE)</f>
        <v>9.369689494189426E-2</v>
      </c>
      <c r="V171" s="715">
        <f>VLOOKUP(A171,Targets!$A$1:$J$301,5,FALSE)</f>
        <v>9.369689494189426E-2</v>
      </c>
      <c r="W171" s="715">
        <f>VLOOKUP(A171,Targets!$A$1:$J$301,5,FALSE)*3</f>
        <v>0.28109068482568278</v>
      </c>
      <c r="X171" s="715">
        <f>VLOOKUP(A171,Targets!$A$1:$J$301,6,FALSE)*2</f>
        <v>0.18739378988378852</v>
      </c>
      <c r="Y171" s="429" t="s">
        <v>328</v>
      </c>
      <c r="Z171" s="429" t="s">
        <v>246</v>
      </c>
      <c r="AA171" s="542"/>
      <c r="AB171" s="21"/>
    </row>
    <row r="172" spans="1:28" ht="409.5">
      <c r="A172" s="31">
        <v>169</v>
      </c>
      <c r="B172" s="22" t="s">
        <v>39</v>
      </c>
      <c r="C172" s="22" t="s">
        <v>290</v>
      </c>
      <c r="D172" s="22" t="s">
        <v>324</v>
      </c>
      <c r="E172" s="23" t="s">
        <v>331</v>
      </c>
      <c r="F172" s="22" t="s">
        <v>142</v>
      </c>
      <c r="G172" s="22" t="s">
        <v>143</v>
      </c>
      <c r="H172" s="22" t="s">
        <v>30</v>
      </c>
      <c r="I172" s="22" t="s">
        <v>332</v>
      </c>
      <c r="J172" s="22" t="s">
        <v>333</v>
      </c>
      <c r="K172" s="22" t="s">
        <v>293</v>
      </c>
      <c r="L172" s="22">
        <v>2016</v>
      </c>
      <c r="M172" s="335">
        <f ca="1">VLOOKUP(A172,'2020_ModelLink'!$A$3:$S$332,18,FALSE)</f>
        <v>0</v>
      </c>
      <c r="N172" s="335">
        <f ca="1">VLOOKUP(A172,'2020_ModelLink'!$A$3:$S$332,19,FALSE)</f>
        <v>0</v>
      </c>
      <c r="O172" s="722">
        <f ca="1">VLOOKUP($A172,'2016_ModelLink'!$A$3:$S$332,17,FALSE)</f>
        <v>5.4201714764828386E-2</v>
      </c>
      <c r="P172" s="722">
        <f ca="1">VLOOKUP($A172,'2017_ModelLink'!$A$3:$S$332,17,FALSE)</f>
        <v>1.6716551262005809E-2</v>
      </c>
      <c r="Q172" s="722">
        <f ca="1">VLOOKUP($A172,'2018_ModelLink'!$A$3:$S$332,17,FALSE)</f>
        <v>2.1564372988066231E-2</v>
      </c>
      <c r="R172" s="722">
        <f ca="1">VLOOKUP($A172,'2019_ModelLink'!$A$3:$S$332,17,FALSE)</f>
        <v>2.3849188195385531E-2</v>
      </c>
      <c r="S172" s="722">
        <f ca="1">VLOOKUP($A172,'2020_ModelLink'!$A$3:$S$332,17,FALSE)</f>
        <v>1.609106860101853E-2</v>
      </c>
      <c r="T172" s="715">
        <f>VLOOKUP(A172,Targets!$A$1:$J$301,5,FALSE)</f>
        <v>9.3696894941894288E-2</v>
      </c>
      <c r="U172" s="715">
        <f>VLOOKUP(A172,Targets!$A$1:$J$301,5,FALSE)</f>
        <v>9.3696894941894288E-2</v>
      </c>
      <c r="V172" s="715">
        <f>VLOOKUP(A172,Targets!$A$1:$J$301,5,FALSE)</f>
        <v>9.3696894941894288E-2</v>
      </c>
      <c r="W172" s="715">
        <f>VLOOKUP(A172,Targets!$A$1:$J$301,5,FALSE)*3</f>
        <v>0.28109068482568289</v>
      </c>
      <c r="X172" s="715">
        <f>VLOOKUP(A172,Targets!$A$1:$J$301,6,FALSE)*2</f>
        <v>0.18739378988378858</v>
      </c>
      <c r="Y172" s="429" t="s">
        <v>328</v>
      </c>
      <c r="Z172" s="429" t="s">
        <v>246</v>
      </c>
      <c r="AA172" s="542"/>
      <c r="AB172" s="21"/>
    </row>
    <row r="173" spans="1:28" ht="409.5">
      <c r="A173" s="31">
        <v>170</v>
      </c>
      <c r="B173" s="22" t="s">
        <v>39</v>
      </c>
      <c r="C173" s="22" t="s">
        <v>290</v>
      </c>
      <c r="D173" s="22" t="s">
        <v>324</v>
      </c>
      <c r="E173" s="23" t="s">
        <v>252</v>
      </c>
      <c r="F173" s="22" t="s">
        <v>142</v>
      </c>
      <c r="G173" s="22" t="s">
        <v>253</v>
      </c>
      <c r="H173" s="22" t="s">
        <v>30</v>
      </c>
      <c r="I173" s="22" t="s">
        <v>334</v>
      </c>
      <c r="J173" s="22" t="s">
        <v>335</v>
      </c>
      <c r="K173" s="22" t="s">
        <v>293</v>
      </c>
      <c r="L173" s="22">
        <v>2016</v>
      </c>
      <c r="M173" s="335">
        <f ca="1">VLOOKUP(A173,'2020_ModelLink'!$A$3:$S$332,18,FALSE)</f>
        <v>0</v>
      </c>
      <c r="N173" s="335">
        <f ca="1">VLOOKUP(A173,'2020_ModelLink'!$A$3:$S$332,19,FALSE)</f>
        <v>0</v>
      </c>
      <c r="O173" s="722">
        <f ca="1">VLOOKUP($A173,'2016_ModelLink'!$A$3:$S$332,17,FALSE)</f>
        <v>5.5483784073566821E-2</v>
      </c>
      <c r="P173" s="722">
        <f ca="1">VLOOKUP($A173,'2017_ModelLink'!$A$3:$S$332,17,FALSE)</f>
        <v>1.9057728108446619E-2</v>
      </c>
      <c r="Q173" s="722">
        <f ca="1">VLOOKUP($A173,'2018_ModelLink'!$A$3:$S$332,17,FALSE)</f>
        <v>2.3596968231056791E-2</v>
      </c>
      <c r="R173" s="722">
        <f ca="1">VLOOKUP($A173,'2019_ModelLink'!$A$3:$S$332,17,FALSE)</f>
        <v>2.3029780331768984E-2</v>
      </c>
      <c r="S173" s="722">
        <f ca="1">VLOOKUP($A173,'2020_ModelLink'!$A$3:$S$332,17,FALSE)</f>
        <v>1.5207557255126862E-2</v>
      </c>
      <c r="T173" s="715">
        <f>VLOOKUP(A173,Targets!$A$1:$J$301,5,FALSE)</f>
        <v>9.3696894941894274E-2</v>
      </c>
      <c r="U173" s="715">
        <f>VLOOKUP(A173,Targets!$A$1:$J$301,5,FALSE)</f>
        <v>9.3696894941894274E-2</v>
      </c>
      <c r="V173" s="715">
        <f>VLOOKUP(A173,Targets!$A$1:$J$301,5,FALSE)</f>
        <v>9.3696894941894274E-2</v>
      </c>
      <c r="W173" s="715">
        <f>VLOOKUP(A173,Targets!$A$1:$J$301,5,FALSE)*3</f>
        <v>0.28109068482568283</v>
      </c>
      <c r="X173" s="715">
        <f>VLOOKUP(A173,Targets!$A$1:$J$301,6,FALSE)*2</f>
        <v>0.18739378988378855</v>
      </c>
      <c r="Y173" s="429" t="s">
        <v>336</v>
      </c>
      <c r="Z173" s="543" t="s">
        <v>337</v>
      </c>
      <c r="AA173" s="542" t="s">
        <v>338</v>
      </c>
      <c r="AB173" s="21"/>
    </row>
    <row r="174" spans="1:28" ht="409.5">
      <c r="A174" s="31">
        <v>171</v>
      </c>
      <c r="B174" s="22" t="s">
        <v>39</v>
      </c>
      <c r="C174" s="22" t="s">
        <v>290</v>
      </c>
      <c r="D174" s="22" t="s">
        <v>324</v>
      </c>
      <c r="E174" s="23" t="s">
        <v>153</v>
      </c>
      <c r="F174" s="22" t="s">
        <v>142</v>
      </c>
      <c r="G174" s="22" t="s">
        <v>154</v>
      </c>
      <c r="H174" s="22" t="s">
        <v>30</v>
      </c>
      <c r="I174" s="22" t="s">
        <v>339</v>
      </c>
      <c r="J174" s="22" t="s">
        <v>156</v>
      </c>
      <c r="K174" s="22" t="s">
        <v>293</v>
      </c>
      <c r="L174" s="22">
        <v>2016</v>
      </c>
      <c r="M174" s="335">
        <f ca="1">VLOOKUP(A174,'2020_ModelLink'!$A$3:$S$332,18,FALSE)</f>
        <v>0</v>
      </c>
      <c r="N174" s="335">
        <f ca="1">VLOOKUP(A174,'2020_ModelLink'!$A$3:$S$332,19,FALSE)</f>
        <v>0</v>
      </c>
      <c r="O174" s="722">
        <f ca="1">VLOOKUP($A174,'2016_ModelLink'!$A$3:$S$332,17,FALSE)</f>
        <v>6.6221698730532658E-2</v>
      </c>
      <c r="P174" s="722">
        <f ca="1">VLOOKUP($A174,'2017_ModelLink'!$A$3:$S$332,17,FALSE)</f>
        <v>3.7783043707214324E-2</v>
      </c>
      <c r="Q174" s="722">
        <f ca="1">VLOOKUP($A174,'2018_ModelLink'!$A$3:$S$332,17,FALSE)</f>
        <v>2.7390044772188569E-2</v>
      </c>
      <c r="R174" s="722">
        <f ca="1">VLOOKUP($A174,'2019_ModelLink'!$A$3:$S$332,17,FALSE)</f>
        <v>3.2797681770284512E-2</v>
      </c>
      <c r="S174" s="722">
        <f ca="1">VLOOKUP($A174,'2020_ModelLink'!$A$3:$S$332,17,FALSE)</f>
        <v>2.5751633986928105E-2</v>
      </c>
      <c r="T174" s="715">
        <f>VLOOKUP(A174,Targets!$A$1:$J$301,5,FALSE)</f>
        <v>0.35615164741344224</v>
      </c>
      <c r="U174" s="715">
        <f>VLOOKUP(A174,Targets!$A$1:$J$301,5,FALSE)</f>
        <v>0.35615164741344224</v>
      </c>
      <c r="V174" s="715">
        <f>VLOOKUP(A174,Targets!$A$1:$J$301,5,FALSE)</f>
        <v>0.35615164741344224</v>
      </c>
      <c r="W174" s="715">
        <f>VLOOKUP(A174,Targets!$A$1:$J$301,5,FALSE)*3</f>
        <v>1.0684549422403267</v>
      </c>
      <c r="X174" s="715">
        <f>VLOOKUP(A174,Targets!$A$1:$J$301,6,FALSE)*2</f>
        <v>0.71230329482688448</v>
      </c>
      <c r="Y174" s="429" t="s">
        <v>340</v>
      </c>
      <c r="Z174" s="429"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AA174" s="542"/>
      <c r="AB174" s="21"/>
    </row>
    <row r="175" spans="1:28" ht="409.5">
      <c r="A175" s="31">
        <v>172</v>
      </c>
      <c r="B175" s="22" t="s">
        <v>39</v>
      </c>
      <c r="C175" s="22" t="s">
        <v>290</v>
      </c>
      <c r="D175" s="22" t="s">
        <v>341</v>
      </c>
      <c r="E175" s="23" t="s">
        <v>342</v>
      </c>
      <c r="F175" s="22" t="s">
        <v>142</v>
      </c>
      <c r="G175" s="22" t="s">
        <v>343</v>
      </c>
      <c r="H175" s="22" t="s">
        <v>30</v>
      </c>
      <c r="I175" s="22" t="s">
        <v>344</v>
      </c>
      <c r="J175" s="22" t="s">
        <v>345</v>
      </c>
      <c r="K175" s="22" t="s">
        <v>293</v>
      </c>
      <c r="L175" s="22">
        <v>2016</v>
      </c>
      <c r="M175" s="335">
        <f ca="1">VLOOKUP(A175,'2020_ModelLink'!$A$3:$S$332,18,FALSE)</f>
        <v>0</v>
      </c>
      <c r="N175" s="335">
        <f ca="1">VLOOKUP(A175,'2020_ModelLink'!$A$3:$S$332,19,FALSE)</f>
        <v>0</v>
      </c>
      <c r="O175" s="722">
        <f ca="1">VLOOKUP($A175,'2016_ModelLink'!$A$3:$S$332,17,FALSE)</f>
        <v>4.3746802894956537E-3</v>
      </c>
      <c r="P175" s="722">
        <f ca="1">VLOOKUP($A175,'2017_ModelLink'!$A$3:$S$332,17,FALSE)</f>
        <v>5.0917393138470511E-2</v>
      </c>
      <c r="Q175" s="722">
        <f ca="1">VLOOKUP($A175,'2018_ModelLink'!$A$3:$S$332,17,FALSE)</f>
        <v>5.0820587780012312E-2</v>
      </c>
      <c r="R175" s="722">
        <f ca="1">VLOOKUP($A175,'2019_ModelLink'!$A$3:$S$332,17,FALSE)</f>
        <v>4.8806258396775638E-2</v>
      </c>
      <c r="S175" s="722">
        <f ca="1">VLOOKUP($A175,'2020_ModelLink'!$A$3:$S$332,17,FALSE)</f>
        <v>2.0361879752568055E-3</v>
      </c>
      <c r="T175" s="715">
        <f>VLOOKUP(A175,Targets!$A$1:$J$301,5,FALSE)</f>
        <v>4.1436933762130007E-2</v>
      </c>
      <c r="U175" s="715">
        <f>VLOOKUP(A175,Targets!$A$1:$J$301,5,FALSE)</f>
        <v>4.1436933762130007E-2</v>
      </c>
      <c r="V175" s="715">
        <f>VLOOKUP(A175,Targets!$A$1:$J$301,5,FALSE)</f>
        <v>4.1436933762130007E-2</v>
      </c>
      <c r="W175" s="715">
        <f>VLOOKUP(A175,Targets!$A$1:$J$301,5,FALSE)*3</f>
        <v>0.12431080128639002</v>
      </c>
      <c r="X175" s="715">
        <f>VLOOKUP(A175,Targets!$A$1:$J$301,6,FALSE)*2</f>
        <v>8.2873867524260014E-2</v>
      </c>
      <c r="Y175" s="429" t="s">
        <v>336</v>
      </c>
      <c r="Z175" s="543" t="s">
        <v>337</v>
      </c>
      <c r="AA175" s="542" t="s">
        <v>338</v>
      </c>
      <c r="AB175" s="21"/>
    </row>
    <row r="176" spans="1:28" ht="375">
      <c r="A176" s="31">
        <v>173</v>
      </c>
      <c r="B176" s="22" t="s">
        <v>39</v>
      </c>
      <c r="C176" s="22" t="s">
        <v>290</v>
      </c>
      <c r="D176" s="22" t="s">
        <v>341</v>
      </c>
      <c r="E176" s="23" t="s">
        <v>346</v>
      </c>
      <c r="F176" s="22" t="s">
        <v>142</v>
      </c>
      <c r="G176" s="22" t="s">
        <v>347</v>
      </c>
      <c r="H176" s="22" t="s">
        <v>30</v>
      </c>
      <c r="I176" s="22" t="s">
        <v>348</v>
      </c>
      <c r="J176" s="22" t="s">
        <v>349</v>
      </c>
      <c r="K176" s="22" t="s">
        <v>293</v>
      </c>
      <c r="L176" s="22">
        <v>2016</v>
      </c>
      <c r="M176" s="335">
        <f ca="1">VLOOKUP(A176,'2020_ModelLink'!$A$3:$S$332,18,FALSE)</f>
        <v>0</v>
      </c>
      <c r="N176" s="335">
        <f ca="1">VLOOKUP(A176,'2020_ModelLink'!$A$3:$S$332,19,FALSE)</f>
        <v>0</v>
      </c>
      <c r="O176" s="722">
        <f ca="1">VLOOKUP($A176,'2016_ModelLink'!$A$3:$S$332,17,FALSE)</f>
        <v>0.10622462787550745</v>
      </c>
      <c r="P176" s="722">
        <f ca="1">VLOOKUP($A176,'2017_ModelLink'!$A$3:$S$332,17,FALSE)</f>
        <v>5.6375838926174496E-2</v>
      </c>
      <c r="Q176" s="722">
        <f ca="1">VLOOKUP($A176,'2018_ModelLink'!$A$3:$S$332,17,FALSE)</f>
        <v>5.8091286307053944E-2</v>
      </c>
      <c r="R176" s="722">
        <f ca="1">VLOOKUP($A176,'2019_ModelLink'!$A$3:$S$332,17,FALSE)</f>
        <v>0.16052631578947368</v>
      </c>
      <c r="S176" s="722">
        <f ca="1">VLOOKUP($A176,'2020_ModelLink'!$A$3:$S$332,17,FALSE)</f>
        <v>2.2148394241417496E-3</v>
      </c>
      <c r="T176" s="715">
        <f>VLOOKUP(A176,Targets!$A$1:$J$301,5,FALSE)</f>
        <v>0.20301641791332467</v>
      </c>
      <c r="U176" s="715">
        <f>VLOOKUP(A176,Targets!$A$1:$J$301,5,FALSE)</f>
        <v>0.20301641791332467</v>
      </c>
      <c r="V176" s="715">
        <f>VLOOKUP(A176,Targets!$A$1:$J$301,5,FALSE)</f>
        <v>0.20301641791332467</v>
      </c>
      <c r="W176" s="715">
        <f>VLOOKUP(A176,Targets!$A$1:$J$301,5,FALSE)*3</f>
        <v>0.60904925373997398</v>
      </c>
      <c r="X176" s="715">
        <f>VLOOKUP(A176,Targets!$A$1:$J$301,6,FALSE)*2</f>
        <v>0.40603283582664934</v>
      </c>
      <c r="Y176" s="429" t="s">
        <v>350</v>
      </c>
      <c r="Z176" s="543" t="s">
        <v>351</v>
      </c>
      <c r="AA176" s="542"/>
      <c r="AB176" s="21"/>
    </row>
    <row r="177" spans="1:28" ht="375">
      <c r="A177" s="31">
        <v>174</v>
      </c>
      <c r="B177" s="22" t="s">
        <v>39</v>
      </c>
      <c r="C177" s="22" t="s">
        <v>290</v>
      </c>
      <c r="D177" s="22" t="s">
        <v>341</v>
      </c>
      <c r="E177" s="23" t="s">
        <v>352</v>
      </c>
      <c r="F177" s="22" t="s">
        <v>142</v>
      </c>
      <c r="G177" s="22" t="s">
        <v>347</v>
      </c>
      <c r="H177" s="22" t="s">
        <v>30</v>
      </c>
      <c r="I177" s="22" t="s">
        <v>353</v>
      </c>
      <c r="J177" s="22" t="s">
        <v>354</v>
      </c>
      <c r="K177" s="22" t="s">
        <v>293</v>
      </c>
      <c r="L177" s="22">
        <v>2016</v>
      </c>
      <c r="M177" s="335">
        <f ca="1">VLOOKUP(A177,'2020_ModelLink'!$A$3:$S$332,18,FALSE)</f>
        <v>0</v>
      </c>
      <c r="N177" s="335">
        <f ca="1">VLOOKUP(A177,'2020_ModelLink'!$A$3:$S$332,19,FALSE)</f>
        <v>0</v>
      </c>
      <c r="O177" s="722">
        <f ca="1">VLOOKUP($A177,'2016_ModelLink'!$A$3:$S$332,17,FALSE)</f>
        <v>1.4109571628320834E-2</v>
      </c>
      <c r="P177" s="722">
        <f ca="1">VLOOKUP($A177,'2017_ModelLink'!$A$3:$S$332,17,FALSE)</f>
        <v>3.6307405524487378E-2</v>
      </c>
      <c r="Q177" s="722">
        <f ca="1">VLOOKUP($A177,'2018_ModelLink'!$A$3:$S$332,17,FALSE)</f>
        <v>3.6655260906757914E-2</v>
      </c>
      <c r="R177" s="722">
        <f ca="1">VLOOKUP($A177,'2019_ModelLink'!$A$3:$S$332,17,FALSE)</f>
        <v>8.645017687507453E-2</v>
      </c>
      <c r="S177" s="722">
        <f ca="1">VLOOKUP($A177,'2020_ModelLink'!$A$3:$S$332,17,FALSE)</f>
        <v>2.5229164914641325E-3</v>
      </c>
      <c r="T177" s="715">
        <f>VLOOKUP(A177,Targets!$A$1:$J$301,5,FALSE)</f>
        <v>1.1759343232438182E-2</v>
      </c>
      <c r="U177" s="715">
        <f>VLOOKUP(A177,Targets!$A$1:$J$301,5,FALSE)</f>
        <v>1.1759343232438182E-2</v>
      </c>
      <c r="V177" s="715">
        <f>VLOOKUP(A177,Targets!$A$1:$J$301,5,FALSE)</f>
        <v>1.1759343232438182E-2</v>
      </c>
      <c r="W177" s="715">
        <f>VLOOKUP(A177,Targets!$A$1:$J$301,5,FALSE)*3</f>
        <v>3.5278029697314542E-2</v>
      </c>
      <c r="X177" s="715">
        <f>VLOOKUP(A177,Targets!$A$1:$J$301,6,FALSE)*2</f>
        <v>2.3518686464876364E-2</v>
      </c>
      <c r="Y177" s="429" t="s">
        <v>355</v>
      </c>
      <c r="Z177" s="543" t="s">
        <v>351</v>
      </c>
      <c r="AA177" s="542"/>
      <c r="AB177" s="21"/>
    </row>
    <row r="178" spans="1:28" ht="375">
      <c r="A178" s="31">
        <v>175</v>
      </c>
      <c r="B178" s="22" t="s">
        <v>39</v>
      </c>
      <c r="C178" s="22" t="s">
        <v>290</v>
      </c>
      <c r="D178" s="22" t="s">
        <v>341</v>
      </c>
      <c r="E178" s="23" t="s">
        <v>356</v>
      </c>
      <c r="F178" s="22" t="s">
        <v>142</v>
      </c>
      <c r="G178" s="22" t="s">
        <v>347</v>
      </c>
      <c r="H178" s="22" t="s">
        <v>30</v>
      </c>
      <c r="I178" s="22" t="s">
        <v>357</v>
      </c>
      <c r="J178" s="22" t="s">
        <v>358</v>
      </c>
      <c r="K178" s="22" t="s">
        <v>293</v>
      </c>
      <c r="L178" s="22">
        <v>2016</v>
      </c>
      <c r="M178" s="335">
        <f ca="1">VLOOKUP(A178,'2020_ModelLink'!$A$3:$S$332,18,FALSE)</f>
        <v>0</v>
      </c>
      <c r="N178" s="335">
        <f ca="1">VLOOKUP(A178,'2020_ModelLink'!$A$3:$S$332,19,FALSE)</f>
        <v>0</v>
      </c>
      <c r="O178" s="722">
        <f ca="1">VLOOKUP($A178,'2016_ModelLink'!$A$3:$S$332,17,FALSE)</f>
        <v>2.5964893300516592E-3</v>
      </c>
      <c r="P178" s="722">
        <f ca="1">VLOOKUP($A178,'2017_ModelLink'!$A$3:$S$332,17,FALSE)</f>
        <v>2.2309582309582309E-2</v>
      </c>
      <c r="Q178" s="722">
        <f ca="1">VLOOKUP($A178,'2018_ModelLink'!$A$3:$S$332,17,FALSE)</f>
        <v>2.220463478400057E-2</v>
      </c>
      <c r="R178" s="722">
        <f ca="1">VLOOKUP($A178,'2019_ModelLink'!$A$3:$S$332,17,FALSE)</f>
        <v>3.8799167911059702E-2</v>
      </c>
      <c r="S178" s="722">
        <f ca="1">VLOOKUP($A178,'2020_ModelLink'!$A$3:$S$332,17,FALSE)</f>
        <v>1.9343518637394616E-3</v>
      </c>
      <c r="T178" s="715">
        <f>VLOOKUP(A178,Targets!$A$1:$J$301,5,FALSE)</f>
        <v>1.1759343232438184E-2</v>
      </c>
      <c r="U178" s="715">
        <f>VLOOKUP(A178,Targets!$A$1:$J$301,5,FALSE)</f>
        <v>1.1759343232438184E-2</v>
      </c>
      <c r="V178" s="715">
        <f>VLOOKUP(A178,Targets!$A$1:$J$301,5,FALSE)</f>
        <v>1.1759343232438184E-2</v>
      </c>
      <c r="W178" s="715">
        <f>VLOOKUP(A178,Targets!$A$1:$J$301,5,FALSE)*3</f>
        <v>3.5278029697314549E-2</v>
      </c>
      <c r="X178" s="715">
        <f>VLOOKUP(A178,Targets!$A$1:$J$301,6,FALSE)*2</f>
        <v>2.3518686464876367E-2</v>
      </c>
      <c r="Y178" s="429" t="s">
        <v>359</v>
      </c>
      <c r="Z178" s="543" t="s">
        <v>351</v>
      </c>
      <c r="AA178" s="542"/>
      <c r="AB178" s="21"/>
    </row>
    <row r="179" spans="1:28" ht="270">
      <c r="A179" s="31">
        <v>176</v>
      </c>
      <c r="B179" s="22" t="s">
        <v>39</v>
      </c>
      <c r="C179" s="22" t="s">
        <v>290</v>
      </c>
      <c r="D179" s="22" t="s">
        <v>341</v>
      </c>
      <c r="E179" s="23" t="s">
        <v>270</v>
      </c>
      <c r="F179" s="22" t="s">
        <v>142</v>
      </c>
      <c r="G179" s="22" t="s">
        <v>360</v>
      </c>
      <c r="H179" s="22" t="s">
        <v>30</v>
      </c>
      <c r="I179" s="22" t="s">
        <v>361</v>
      </c>
      <c r="J179" s="22" t="s">
        <v>362</v>
      </c>
      <c r="K179" s="22" t="s">
        <v>293</v>
      </c>
      <c r="L179" s="22">
        <v>2016</v>
      </c>
      <c r="M179" s="335">
        <f ca="1">VLOOKUP(A179,'2020_ModelLink'!$A$3:$S$332,18,FALSE)</f>
        <v>0</v>
      </c>
      <c r="N179" s="335">
        <f ca="1">VLOOKUP(A179,'2020_ModelLink'!$A$3:$S$332,19,FALSE)</f>
        <v>0</v>
      </c>
      <c r="O179" s="722">
        <f ca="1">VLOOKUP($A179,'2016_ModelLink'!$A$3:$S$332,17,FALSE)</f>
        <v>1.3083867591259977E-3</v>
      </c>
      <c r="P179" s="722">
        <f ca="1">VLOOKUP($A179,'2017_ModelLink'!$A$3:$S$332,17,FALSE)</f>
        <v>1.7904160084254869E-2</v>
      </c>
      <c r="Q179" s="722">
        <f ca="1">VLOOKUP($A179,'2018_ModelLink'!$A$3:$S$332,17,FALSE)</f>
        <v>1.7901803343425036E-2</v>
      </c>
      <c r="R179" s="722">
        <f ca="1">VLOOKUP($A179,'2019_ModelLink'!$A$3:$S$332,17,FALSE)</f>
        <v>3.6222339304531087E-2</v>
      </c>
      <c r="S179" s="722">
        <f ca="1">VLOOKUP($A179,'2020_ModelLink'!$A$3:$S$332,17,FALSE)</f>
        <v>2.6143790849673205E-4</v>
      </c>
      <c r="T179" s="715">
        <f>VLOOKUP(A179,Targets!$A$1:$J$301,5,FALSE)</f>
        <v>1.1759343232438184E-2</v>
      </c>
      <c r="U179" s="715">
        <f>VLOOKUP(A179,Targets!$A$1:$J$301,5,FALSE)</f>
        <v>1.1759343232438184E-2</v>
      </c>
      <c r="V179" s="715">
        <f>VLOOKUP(A179,Targets!$A$1:$J$301,5,FALSE)</f>
        <v>1.1759343232438184E-2</v>
      </c>
      <c r="W179" s="715">
        <f>VLOOKUP(A179,Targets!$A$1:$J$301,5,FALSE)*3</f>
        <v>3.5278029697314549E-2</v>
      </c>
      <c r="X179" s="715">
        <f>VLOOKUP(A179,Targets!$A$1:$J$301,6,FALSE)*2</f>
        <v>2.3518686464876367E-2</v>
      </c>
      <c r="Y179" s="429" t="s">
        <v>363</v>
      </c>
      <c r="Z179" s="429"/>
      <c r="AA179" s="542"/>
      <c r="AB179" s="21"/>
    </row>
    <row r="180" spans="1:28" ht="135">
      <c r="A180" s="31">
        <v>177</v>
      </c>
      <c r="B180" s="22" t="s">
        <v>39</v>
      </c>
      <c r="C180" s="22" t="s">
        <v>290</v>
      </c>
      <c r="D180" s="22" t="s">
        <v>364</v>
      </c>
      <c r="E180" s="23" t="s">
        <v>91</v>
      </c>
      <c r="F180" s="22" t="s">
        <v>92</v>
      </c>
      <c r="G180" s="22" t="s">
        <v>93</v>
      </c>
      <c r="H180" s="22" t="s">
        <v>30</v>
      </c>
      <c r="I180" s="22" t="s">
        <v>365</v>
      </c>
      <c r="J180" s="22" t="s">
        <v>92</v>
      </c>
      <c r="K180" s="22" t="s">
        <v>293</v>
      </c>
      <c r="L180" s="22">
        <v>2016</v>
      </c>
      <c r="M180" s="335">
        <f ca="1">VLOOKUP(A180,'2020_ModelLink'!$A$3:$S$332,18,FALSE)</f>
        <v>0</v>
      </c>
      <c r="N180" s="335">
        <f ca="1">VLOOKUP(A180,'2020_ModelLink'!$A$3:$S$332,19,FALSE)</f>
        <v>0</v>
      </c>
      <c r="O180" s="721">
        <f ca="1">VLOOKUP($A180,'2016_ModelLink'!$A$3:$S$332,17,FALSE)</f>
        <v>308.75989172309579</v>
      </c>
      <c r="P180" s="721">
        <f ca="1">VLOOKUP($A180,'2017_ModelLink'!$A$3:$S$332,17,FALSE)</f>
        <v>99.629885801856304</v>
      </c>
      <c r="Q180" s="721">
        <f ca="1">VLOOKUP($A180,'2018_ModelLink'!$A$3:$S$332,17,FALSE)</f>
        <v>126.72592204790902</v>
      </c>
      <c r="R180" s="721">
        <f ca="1">VLOOKUP($A180,'2019_ModelLink'!$A$3:$S$332,17,FALSE)</f>
        <v>336.89032019194184</v>
      </c>
      <c r="S180" s="721">
        <f ca="1">VLOOKUP($A180,'2020_ModelLink'!$A$3:$S$332,17,FALSE)</f>
        <v>12.655258112763464</v>
      </c>
      <c r="T180" s="307">
        <f>VLOOKUP(A180,Targets!$A$1:$J$301,5,FALSE)</f>
        <v>5.6159193172643524E-3</v>
      </c>
      <c r="U180" s="307">
        <f>VLOOKUP(A180,Targets!$A$1:$J$301,5,FALSE)</f>
        <v>5.6159193172643524E-3</v>
      </c>
      <c r="V180" s="307">
        <f>VLOOKUP(A180,Targets!$A$1:$J$301,5,FALSE)</f>
        <v>5.6159193172643524E-3</v>
      </c>
      <c r="W180" s="307">
        <f>VLOOKUP(A180,Targets!$A$1:$J$301,5,FALSE)*3</f>
        <v>1.6847757951793059E-2</v>
      </c>
      <c r="X180" s="307">
        <f>VLOOKUP(A180,Targets!$A$1:$J$301,6,FALSE)*2</f>
        <v>1.1231838634528705E-2</v>
      </c>
      <c r="Y180" s="429"/>
      <c r="Z180" s="429"/>
      <c r="AA180" s="542"/>
      <c r="AB180" s="21"/>
    </row>
    <row r="181" spans="1:28" ht="135">
      <c r="A181" s="31">
        <v>178</v>
      </c>
      <c r="B181" s="22" t="s">
        <v>39</v>
      </c>
      <c r="C181" s="22" t="s">
        <v>290</v>
      </c>
      <c r="D181" s="22" t="s">
        <v>364</v>
      </c>
      <c r="E181" s="23" t="s">
        <v>91</v>
      </c>
      <c r="F181" s="22" t="s">
        <v>95</v>
      </c>
      <c r="G181" s="22" t="s">
        <v>93</v>
      </c>
      <c r="H181" s="22" t="s">
        <v>30</v>
      </c>
      <c r="I181" s="22" t="s">
        <v>365</v>
      </c>
      <c r="J181" s="22" t="s">
        <v>95</v>
      </c>
      <c r="K181" s="22" t="s">
        <v>293</v>
      </c>
      <c r="L181" s="22">
        <v>2016</v>
      </c>
      <c r="M181" s="335">
        <f ca="1">VLOOKUP(A181,'2020_ModelLink'!$A$3:$S$332,18,FALSE)</f>
        <v>0</v>
      </c>
      <c r="N181" s="335">
        <f ca="1">VLOOKUP(A181,'2020_ModelLink'!$A$3:$S$332,19,FALSE)</f>
        <v>0</v>
      </c>
      <c r="O181" s="721">
        <f ca="1">VLOOKUP($A181,'2016_ModelLink'!$A$3:$S$332,17,FALSE)</f>
        <v>6.2627121171113395E-2</v>
      </c>
      <c r="P181" s="721">
        <f ca="1">VLOOKUP($A181,'2017_ModelLink'!$A$3:$S$332,17,FALSE)</f>
        <v>2.1583563714012717E-2</v>
      </c>
      <c r="Q181" s="721">
        <f ca="1">VLOOKUP($A181,'2018_ModelLink'!$A$3:$S$332,17,FALSE)</f>
        <v>3.0611934809421856E-2</v>
      </c>
      <c r="R181" s="721">
        <f ca="1">VLOOKUP($A181,'2019_ModelLink'!$A$3:$S$332,17,FALSE)</f>
        <v>7.386965584745582E-2</v>
      </c>
      <c r="S181" s="721">
        <f ca="1">VLOOKUP($A181,'2020_ModelLink'!$A$3:$S$332,17,FALSE)</f>
        <v>2.610874750144375E-3</v>
      </c>
      <c r="T181" s="307">
        <f>VLOOKUP(A181,Targets!$A$1:$J$301,5,FALSE)</f>
        <v>292.93386693769145</v>
      </c>
      <c r="U181" s="307">
        <f>VLOOKUP(A181,Targets!$A$1:$J$301,5,FALSE)</f>
        <v>292.93386693769145</v>
      </c>
      <c r="V181" s="307">
        <f>VLOOKUP(A181,Targets!$A$1:$J$301,5,FALSE)</f>
        <v>292.93386693769145</v>
      </c>
      <c r="W181" s="307">
        <f>VLOOKUP(A181,Targets!$A$1:$J$301,5,FALSE)*3</f>
        <v>878.8016008130744</v>
      </c>
      <c r="X181" s="307">
        <f>VLOOKUP(A181,Targets!$A$1:$J$301,6,FALSE)*2</f>
        <v>585.8677338753829</v>
      </c>
      <c r="Y181" s="429"/>
      <c r="Z181" s="429"/>
      <c r="AA181" s="542"/>
      <c r="AB181" s="21"/>
    </row>
    <row r="182" spans="1:28" ht="135">
      <c r="A182" s="31">
        <v>179</v>
      </c>
      <c r="B182" s="22" t="s">
        <v>39</v>
      </c>
      <c r="C182" s="22" t="s">
        <v>290</v>
      </c>
      <c r="D182" s="22" t="s">
        <v>364</v>
      </c>
      <c r="E182" s="23" t="s">
        <v>91</v>
      </c>
      <c r="F182" s="22" t="s">
        <v>96</v>
      </c>
      <c r="G182" s="22" t="s">
        <v>93</v>
      </c>
      <c r="H182" s="22" t="s">
        <v>30</v>
      </c>
      <c r="I182" s="22" t="s">
        <v>365</v>
      </c>
      <c r="J182" s="22" t="s">
        <v>96</v>
      </c>
      <c r="K182" s="22" t="s">
        <v>293</v>
      </c>
      <c r="L182" s="22">
        <v>2016</v>
      </c>
      <c r="M182" s="335">
        <f ca="1">VLOOKUP(A182,'2020_ModelLink'!$A$3:$S$332,18,FALSE)</f>
        <v>0</v>
      </c>
      <c r="N182" s="335">
        <f ca="1">VLOOKUP(A182,'2020_ModelLink'!$A$3:$S$332,19,FALSE)</f>
        <v>0</v>
      </c>
      <c r="O182" s="721">
        <f ca="1">VLOOKUP($A182,'2016_ModelLink'!$A$3:$S$332,17,FALSE)</f>
        <v>0.4769468424327129</v>
      </c>
      <c r="P182" s="721">
        <f ca="1">VLOOKUP($A182,'2017_ModelLink'!$A$3:$S$332,17,FALSE)</f>
        <v>0.15564670308157966</v>
      </c>
      <c r="Q182" s="721">
        <f ca="1">VLOOKUP($A182,'2018_ModelLink'!$A$3:$S$332,17,FALSE)</f>
        <v>0.29694917736404691</v>
      </c>
      <c r="R182" s="721">
        <f ca="1">VLOOKUP($A182,'2019_ModelLink'!$A$3:$S$332,17,FALSE)</f>
        <v>0.79477612732202296</v>
      </c>
      <c r="S182" s="721">
        <f ca="1">VLOOKUP($A182,'2020_ModelLink'!$A$3:$S$332,17,FALSE)</f>
        <v>3.0418270850716668E-2</v>
      </c>
      <c r="T182" s="307">
        <f>VLOOKUP(A182,Targets!$A$1:$J$301,5,FALSE)</f>
        <v>6.2935963617522572E-2</v>
      </c>
      <c r="U182" s="307">
        <f>VLOOKUP(A182,Targets!$A$1:$J$301,5,FALSE)</f>
        <v>6.2935963617522572E-2</v>
      </c>
      <c r="V182" s="307">
        <f>VLOOKUP(A182,Targets!$A$1:$J$301,5,FALSE)</f>
        <v>6.2935963617522572E-2</v>
      </c>
      <c r="W182" s="307">
        <f>VLOOKUP(A182,Targets!$A$1:$J$301,5,FALSE)*3</f>
        <v>0.18880789085256772</v>
      </c>
      <c r="X182" s="307">
        <f>VLOOKUP(A182,Targets!$A$1:$J$301,6,FALSE)*2</f>
        <v>0.12587192723504514</v>
      </c>
      <c r="Y182" s="429" t="s">
        <v>48</v>
      </c>
      <c r="Z182" s="429" t="s">
        <v>49</v>
      </c>
      <c r="AA182" s="542"/>
      <c r="AB182" s="21"/>
    </row>
    <row r="183" spans="1:28" ht="135">
      <c r="A183" s="31">
        <v>180</v>
      </c>
      <c r="B183" s="22" t="s">
        <v>39</v>
      </c>
      <c r="C183" s="22" t="s">
        <v>290</v>
      </c>
      <c r="D183" s="22" t="s">
        <v>364</v>
      </c>
      <c r="E183" s="23" t="s">
        <v>91</v>
      </c>
      <c r="F183" s="22" t="s">
        <v>97</v>
      </c>
      <c r="G183" s="22" t="s">
        <v>93</v>
      </c>
      <c r="H183" s="22" t="s">
        <v>30</v>
      </c>
      <c r="I183" s="22" t="s">
        <v>365</v>
      </c>
      <c r="J183" s="22" t="s">
        <v>97</v>
      </c>
      <c r="K183" s="22" t="s">
        <v>293</v>
      </c>
      <c r="L183" s="22">
        <v>2016</v>
      </c>
      <c r="M183" s="335">
        <f ca="1">VLOOKUP(A183,'2020_ModelLink'!$A$3:$S$332,18,FALSE)</f>
        <v>0</v>
      </c>
      <c r="N183" s="335">
        <f ca="1">VLOOKUP(A183,'2020_ModelLink'!$A$3:$S$332,19,FALSE)</f>
        <v>0</v>
      </c>
      <c r="O183" s="721">
        <f ca="1">VLOOKUP($A183,'2016_ModelLink'!$A$3:$S$332,17,FALSE)</f>
        <v>376.71386639097682</v>
      </c>
      <c r="P183" s="721">
        <f ca="1">VLOOKUP($A183,'2017_ModelLink'!$A$3:$S$332,17,FALSE)</f>
        <v>201.62032026562042</v>
      </c>
      <c r="Q183" s="721">
        <f ca="1">VLOOKUP($A183,'2018_ModelLink'!$A$3:$S$332,17,FALSE)</f>
        <v>176.21722775693706</v>
      </c>
      <c r="R183" s="721">
        <f ca="1">VLOOKUP($A183,'2019_ModelLink'!$A$3:$S$332,17,FALSE)</f>
        <v>423.55486988365419</v>
      </c>
      <c r="S183" s="721">
        <f ca="1">VLOOKUP($A183,'2020_ModelLink'!$A$3:$S$332,17,FALSE)</f>
        <v>143.83056313145227</v>
      </c>
      <c r="T183" s="307">
        <f>VLOOKUP(A183,Targets!$A$1:$J$301,5,FALSE)</f>
        <v>0.46665993497270553</v>
      </c>
      <c r="U183" s="307">
        <f>VLOOKUP(A183,Targets!$A$1:$J$301,5,FALSE)</f>
        <v>0.46665993497270553</v>
      </c>
      <c r="V183" s="307">
        <f>VLOOKUP(A183,Targets!$A$1:$J$301,5,FALSE)</f>
        <v>0.46665993497270553</v>
      </c>
      <c r="W183" s="307">
        <f>VLOOKUP(A183,Targets!$A$1:$J$301,5,FALSE)*3</f>
        <v>1.3999798049181167</v>
      </c>
      <c r="X183" s="307">
        <f>VLOOKUP(A183,Targets!$A$1:$J$301,6,FALSE)*2</f>
        <v>0.93331986994541105</v>
      </c>
      <c r="Y183" s="429"/>
      <c r="Z183" s="429"/>
      <c r="AA183" s="542"/>
      <c r="AB183" s="21"/>
    </row>
    <row r="184" spans="1:28" ht="135">
      <c r="A184" s="31">
        <v>181</v>
      </c>
      <c r="B184" s="22" t="s">
        <v>39</v>
      </c>
      <c r="C184" s="22" t="s">
        <v>290</v>
      </c>
      <c r="D184" s="22" t="s">
        <v>364</v>
      </c>
      <c r="E184" s="23" t="s">
        <v>91</v>
      </c>
      <c r="F184" s="22" t="s">
        <v>98</v>
      </c>
      <c r="G184" s="22" t="s">
        <v>93</v>
      </c>
      <c r="H184" s="22" t="s">
        <v>30</v>
      </c>
      <c r="I184" s="22" t="s">
        <v>365</v>
      </c>
      <c r="J184" s="22" t="s">
        <v>98</v>
      </c>
      <c r="K184" s="22" t="s">
        <v>293</v>
      </c>
      <c r="L184" s="22">
        <v>2016</v>
      </c>
      <c r="M184" s="335">
        <f ca="1">VLOOKUP(A184,'2020_ModelLink'!$A$3:$S$332,18,FALSE)</f>
        <v>0</v>
      </c>
      <c r="N184" s="335">
        <f ca="1">VLOOKUP(A184,'2020_ModelLink'!$A$3:$S$332,19,FALSE)</f>
        <v>0</v>
      </c>
      <c r="O184" s="721">
        <f ca="1">VLOOKUP($A184,'2016_ModelLink'!$A$3:$S$332,17,FALSE)</f>
        <v>7.6410523483615933E-2</v>
      </c>
      <c r="P184" s="721">
        <f ca="1">VLOOKUP($A184,'2017_ModelLink'!$A$3:$S$332,17,FALSE)</f>
        <v>4.3678510654396312E-2</v>
      </c>
      <c r="Q184" s="721">
        <f ca="1">VLOOKUP($A184,'2018_ModelLink'!$A$3:$S$332,17,FALSE)</f>
        <v>4.2567062848854663E-2</v>
      </c>
      <c r="R184" s="721">
        <f ca="1">VLOOKUP($A184,'2019_ModelLink'!$A$3:$S$332,17,FALSE)</f>
        <v>9.2872518429717235E-2</v>
      </c>
      <c r="S184" s="721">
        <f ca="1">VLOOKUP($A184,'2020_ModelLink'!$A$3:$S$332,17,FALSE)</f>
        <v>2.9673324892537812E-2</v>
      </c>
      <c r="T184" s="307">
        <f>VLOOKUP(A184,Targets!$A$1:$J$301,5,FALSE)</f>
        <v>409.87968010410589</v>
      </c>
      <c r="U184" s="307">
        <f>VLOOKUP(A184,Targets!$A$1:$J$301,5,FALSE)</f>
        <v>409.87968010410589</v>
      </c>
      <c r="V184" s="307">
        <f>VLOOKUP(A184,Targets!$A$1:$J$301,5,FALSE)</f>
        <v>409.87968010410589</v>
      </c>
      <c r="W184" s="307">
        <f>VLOOKUP(A184,Targets!$A$1:$J$301,5,FALSE)*3</f>
        <v>1229.6390403123178</v>
      </c>
      <c r="X184" s="307">
        <f>VLOOKUP(A184,Targets!$A$1:$J$301,6,FALSE)*2</f>
        <v>819.75936020821177</v>
      </c>
      <c r="Y184" s="429"/>
      <c r="Z184" s="429"/>
      <c r="AA184" s="542"/>
      <c r="AB184" s="21"/>
    </row>
    <row r="185" spans="1:28" ht="135">
      <c r="A185" s="31">
        <v>182</v>
      </c>
      <c r="B185" s="22" t="s">
        <v>39</v>
      </c>
      <c r="C185" s="22" t="s">
        <v>290</v>
      </c>
      <c r="D185" s="22" t="s">
        <v>364</v>
      </c>
      <c r="E185" s="23" t="s">
        <v>91</v>
      </c>
      <c r="F185" s="22" t="s">
        <v>99</v>
      </c>
      <c r="G185" s="22" t="s">
        <v>93</v>
      </c>
      <c r="H185" s="22" t="s">
        <v>30</v>
      </c>
      <c r="I185" s="22" t="s">
        <v>365</v>
      </c>
      <c r="J185" s="22" t="s">
        <v>99</v>
      </c>
      <c r="K185" s="22" t="s">
        <v>293</v>
      </c>
      <c r="L185" s="22">
        <v>2016</v>
      </c>
      <c r="M185" s="335">
        <f ca="1">VLOOKUP(A185,'2020_ModelLink'!$A$3:$S$332,18,FALSE)</f>
        <v>0</v>
      </c>
      <c r="N185" s="335">
        <f ca="1">VLOOKUP(A185,'2020_ModelLink'!$A$3:$S$332,19,FALSE)</f>
        <v>0</v>
      </c>
      <c r="O185" s="721">
        <f ca="1">VLOOKUP($A185,'2016_ModelLink'!$A$3:$S$332,17,FALSE)</f>
        <v>0.58191654386551739</v>
      </c>
      <c r="P185" s="721">
        <f ca="1">VLOOKUP($A185,'2017_ModelLink'!$A$3:$S$332,17,FALSE)</f>
        <v>0.31498117127231839</v>
      </c>
      <c r="Q185" s="721">
        <f ca="1">VLOOKUP($A185,'2018_ModelLink'!$A$3:$S$332,17,FALSE)</f>
        <v>0.41291915635076459</v>
      </c>
      <c r="R185" s="721">
        <f ca="1">VLOOKUP($A185,'2019_ModelLink'!$A$3:$S$332,17,FALSE)</f>
        <v>0.99923114146681258</v>
      </c>
      <c r="S185" s="721">
        <f ca="1">VLOOKUP($A185,'2020_ModelLink'!$A$3:$S$332,17,FALSE)</f>
        <v>0.34571219227295985</v>
      </c>
      <c r="T185" s="307">
        <f>VLOOKUP(A185,Targets!$A$1:$J$301,5,FALSE)</f>
        <v>8.8061421181050314E-2</v>
      </c>
      <c r="U185" s="307">
        <f>VLOOKUP(A185,Targets!$A$1:$J$301,5,FALSE)</f>
        <v>8.8061421181050314E-2</v>
      </c>
      <c r="V185" s="307">
        <f>VLOOKUP(A185,Targets!$A$1:$J$301,5,FALSE)</f>
        <v>8.8061421181050314E-2</v>
      </c>
      <c r="W185" s="307">
        <f>VLOOKUP(A185,Targets!$A$1:$J$301,5,FALSE)*3</f>
        <v>0.26418426354315094</v>
      </c>
      <c r="X185" s="307">
        <f>VLOOKUP(A185,Targets!$A$1:$J$301,6,FALSE)*2</f>
        <v>0.17612284236210063</v>
      </c>
      <c r="Y185" s="429" t="s">
        <v>48</v>
      </c>
      <c r="Z185" s="429" t="s">
        <v>49</v>
      </c>
      <c r="AA185" s="542"/>
      <c r="AB185" s="21"/>
    </row>
    <row r="186" spans="1:28" ht="210">
      <c r="A186" s="31">
        <v>183</v>
      </c>
      <c r="B186" s="22" t="s">
        <v>39</v>
      </c>
      <c r="C186" s="22" t="s">
        <v>366</v>
      </c>
      <c r="D186" s="22" t="s">
        <v>367</v>
      </c>
      <c r="E186" s="23" t="s">
        <v>368</v>
      </c>
      <c r="F186" s="22" t="s">
        <v>142</v>
      </c>
      <c r="G186" s="22" t="s">
        <v>369</v>
      </c>
      <c r="H186" s="22" t="s">
        <v>164</v>
      </c>
      <c r="I186" s="22" t="s">
        <v>370</v>
      </c>
      <c r="J186" s="22" t="s">
        <v>371</v>
      </c>
      <c r="K186" s="22" t="s">
        <v>293</v>
      </c>
      <c r="L186" s="66">
        <v>2016</v>
      </c>
      <c r="M186" s="715" t="str">
        <f>VLOOKUP($A186,'2016_ModelLink'!$A$3:$S$332,17,FALSE)</f>
        <v>N/A - Indicator</v>
      </c>
      <c r="N186" s="715" t="str">
        <f>VLOOKUP($A186,'2016_ModelLink'!$A$3:$S$332,17,FALSE)</f>
        <v>N/A - Indicator</v>
      </c>
      <c r="O186" s="722" t="str">
        <f>VLOOKUP($A186,'2016_ModelLink'!$A$3:$S$332,17,FALSE)</f>
        <v>N/A - Indicator</v>
      </c>
      <c r="P186" s="722" t="str">
        <f>VLOOKUP($A186,'2017_ModelLink'!$A$3:$S$332,17,FALSE)</f>
        <v>N/A - Indicator</v>
      </c>
      <c r="Q186" s="722">
        <f ca="1">VLOOKUP($A186,'2018_ModelLink'!$A$3:$S$332,17,FALSE)</f>
        <v>0</v>
      </c>
      <c r="R186" s="722">
        <f ca="1">VLOOKUP($A186,'2019_ModelLink'!$A$3:$S$332,17,FALSE)</f>
        <v>0</v>
      </c>
      <c r="S186" s="722">
        <f ca="1">VLOOKUP($A186,'2020_ModelLink'!$A$3:$S$332,17,FALSE)</f>
        <v>0</v>
      </c>
      <c r="T186" s="715">
        <f>VLOOKUP(A186,Targets!$A$1:$J$301,5,FALSE)</f>
        <v>0.65296111666289669</v>
      </c>
      <c r="U186" s="715">
        <f>VLOOKUP(A186,Targets!$A$1:$J$301,5,FALSE)</f>
        <v>0.65296111666289669</v>
      </c>
      <c r="V186" s="715">
        <f>VLOOKUP(A186,Targets!$A$1:$J$301,5,FALSE)</f>
        <v>0.65296111666289669</v>
      </c>
      <c r="W186" s="715" t="e">
        <f>VLOOKUP(B186,Targets!$A$1:$J$301,5,FALSE)</f>
        <v>#N/A</v>
      </c>
      <c r="X186" s="715" t="e">
        <f>VLOOKUP(C186,Targets!$A$1:$J$301,5,FALSE)</f>
        <v>#N/A</v>
      </c>
      <c r="Y186" s="429" t="s">
        <v>372</v>
      </c>
      <c r="Z186" s="429"/>
      <c r="AA186" s="542"/>
      <c r="AB186" s="21"/>
    </row>
    <row r="187" spans="1:28" ht="135">
      <c r="A187" s="31">
        <v>184</v>
      </c>
      <c r="B187" s="22" t="s">
        <v>39</v>
      </c>
      <c r="C187" s="22" t="s">
        <v>366</v>
      </c>
      <c r="D187" s="22" t="s">
        <v>367</v>
      </c>
      <c r="E187" s="23" t="s">
        <v>373</v>
      </c>
      <c r="F187" s="22" t="s">
        <v>142</v>
      </c>
      <c r="G187" s="22" t="s">
        <v>369</v>
      </c>
      <c r="H187" s="22" t="s">
        <v>164</v>
      </c>
      <c r="I187" s="22" t="s">
        <v>374</v>
      </c>
      <c r="J187" s="22" t="s">
        <v>375</v>
      </c>
      <c r="K187" s="22" t="s">
        <v>293</v>
      </c>
      <c r="L187" s="66">
        <v>2016</v>
      </c>
      <c r="M187" s="715" t="str">
        <f>VLOOKUP($A187,'2016_ModelLink'!$A$3:$S$332,17,FALSE)</f>
        <v>N/A - Indicator</v>
      </c>
      <c r="N187" s="715" t="str">
        <f>VLOOKUP($A187,'2016_ModelLink'!$A$3:$S$332,17,FALSE)</f>
        <v>N/A - Indicator</v>
      </c>
      <c r="O187" s="722" t="str">
        <f>VLOOKUP($A187,'2016_ModelLink'!$A$3:$S$332,17,FALSE)</f>
        <v>N/A - Indicator</v>
      </c>
      <c r="P187" s="722" t="str">
        <f>VLOOKUP($A187,'2017_ModelLink'!$A$3:$S$332,17,FALSE)</f>
        <v>N/A - Indicator</v>
      </c>
      <c r="Q187" s="722">
        <f ca="1">VLOOKUP($A187,'2018_ModelLink'!$A$3:$S$332,17,FALSE)</f>
        <v>0</v>
      </c>
      <c r="R187" s="722">
        <f ca="1">VLOOKUP($A187,'2019_ModelLink'!$A$3:$S$332,17,FALSE)</f>
        <v>0</v>
      </c>
      <c r="S187" s="722">
        <f ca="1">VLOOKUP($A187,'2020_ModelLink'!$A$3:$S$332,17,FALSE)</f>
        <v>0</v>
      </c>
      <c r="T187" s="715" t="str">
        <f>VLOOKUP(A187,Targets!$A$1:$J$301,5,FALSE)</f>
        <v>N/A</v>
      </c>
      <c r="U187" s="715" t="str">
        <f>VLOOKUP(A187,Targets!$A$1:$J$301,5,FALSE)</f>
        <v>N/A</v>
      </c>
      <c r="V187" s="715" t="str">
        <f>VLOOKUP(A187,Targets!$A$1:$J$301,5,FALSE)</f>
        <v>N/A</v>
      </c>
      <c r="W187" s="715" t="e">
        <f>VLOOKUP(B187,Targets!$A$1:$J$301,5,FALSE)</f>
        <v>#N/A</v>
      </c>
      <c r="X187" s="715" t="e">
        <f>VLOOKUP(C187,Targets!$A$1:$J$301,5,FALSE)</f>
        <v>#N/A</v>
      </c>
      <c r="Y187" s="429" t="s">
        <v>376</v>
      </c>
      <c r="Z187" s="429"/>
      <c r="AA187" s="542"/>
      <c r="AB187" s="21"/>
    </row>
    <row r="188" spans="1:28" ht="120">
      <c r="A188" s="31">
        <v>185</v>
      </c>
      <c r="B188" s="22" t="s">
        <v>39</v>
      </c>
      <c r="C188" s="22" t="s">
        <v>366</v>
      </c>
      <c r="D188" s="22" t="s">
        <v>377</v>
      </c>
      <c r="E188" s="23" t="s">
        <v>378</v>
      </c>
      <c r="F188" s="22" t="s">
        <v>142</v>
      </c>
      <c r="G188" s="22" t="s">
        <v>379</v>
      </c>
      <c r="H188" s="22" t="s">
        <v>164</v>
      </c>
      <c r="I188" s="22" t="s">
        <v>380</v>
      </c>
      <c r="J188" s="22" t="s">
        <v>381</v>
      </c>
      <c r="K188" s="22" t="s">
        <v>293</v>
      </c>
      <c r="L188" s="66" t="s">
        <v>382</v>
      </c>
      <c r="M188" s="715" t="str">
        <f>VLOOKUP($A188,'2016_ModelLink'!$A$3:$S$332,17,FALSE)</f>
        <v>N/A - Indicator</v>
      </c>
      <c r="N188" s="715" t="str">
        <f>VLOOKUP($A188,'2016_ModelLink'!$A$3:$S$332,17,FALSE)</f>
        <v>N/A - Indicator</v>
      </c>
      <c r="O188" s="722" t="str">
        <f>VLOOKUP($A188,'2016_ModelLink'!$A$3:$S$332,17,FALSE)</f>
        <v>N/A - Indicator</v>
      </c>
      <c r="P188" s="722" t="str">
        <f>VLOOKUP($A188,'2017_ModelLink'!$A$3:$S$332,17,FALSE)</f>
        <v>N/A - Indicator</v>
      </c>
      <c r="Q188" s="722">
        <f ca="1">VLOOKUP($A188,'2018_ModelLink'!$A$3:$S$332,17,FALSE)</f>
        <v>0</v>
      </c>
      <c r="R188" s="722">
        <f ca="1">VLOOKUP($A188,'2019_ModelLink'!$A$3:$S$332,17,FALSE)</f>
        <v>0</v>
      </c>
      <c r="S188" s="722">
        <f ca="1">VLOOKUP($A188,'2020_ModelLink'!$A$3:$S$332,17,FALSE)</f>
        <v>0</v>
      </c>
      <c r="T188" s="715" t="str">
        <f>VLOOKUP(A188,Targets!$A$1:$J$301,5,FALSE)</f>
        <v>N/A</v>
      </c>
      <c r="U188" s="715" t="str">
        <f>VLOOKUP(A188,Targets!$A$1:$J$301,5,FALSE)</f>
        <v>N/A</v>
      </c>
      <c r="V188" s="715" t="str">
        <f>VLOOKUP(A188,Targets!$A$1:$J$301,5,FALSE)</f>
        <v>N/A</v>
      </c>
      <c r="W188" s="715" t="e">
        <f>VLOOKUP(B188,Targets!$A$1:$J$301,5,FALSE)</f>
        <v>#N/A</v>
      </c>
      <c r="X188" s="715" t="e">
        <f>VLOOKUP(C188,Targets!$A$1:$J$301,5,FALSE)</f>
        <v>#N/A</v>
      </c>
      <c r="Y188" s="429" t="s">
        <v>383</v>
      </c>
      <c r="Z188" s="429"/>
      <c r="AA188" s="542"/>
      <c r="AB188" s="21"/>
    </row>
    <row r="189" spans="1:28" ht="120">
      <c r="A189" s="31">
        <v>186</v>
      </c>
      <c r="B189" s="22" t="s">
        <v>39</v>
      </c>
      <c r="C189" s="22" t="s">
        <v>366</v>
      </c>
      <c r="D189" s="22" t="s">
        <v>377</v>
      </c>
      <c r="E189" s="23" t="s">
        <v>384</v>
      </c>
      <c r="F189" s="22" t="s">
        <v>142</v>
      </c>
      <c r="G189" s="22" t="s">
        <v>379</v>
      </c>
      <c r="H189" s="22" t="s">
        <v>164</v>
      </c>
      <c r="I189" s="22" t="s">
        <v>385</v>
      </c>
      <c r="J189" s="22" t="s">
        <v>386</v>
      </c>
      <c r="K189" s="22" t="s">
        <v>293</v>
      </c>
      <c r="L189" s="66" t="s">
        <v>382</v>
      </c>
      <c r="M189" s="715" t="str">
        <f>VLOOKUP($A189,'2016_ModelLink'!$A$3:$S$332,17,FALSE)</f>
        <v>N/A - Indicator</v>
      </c>
      <c r="N189" s="715" t="str">
        <f>VLOOKUP($A189,'2016_ModelLink'!$A$3:$S$332,17,FALSE)</f>
        <v>N/A - Indicator</v>
      </c>
      <c r="O189" s="722" t="str">
        <f>VLOOKUP($A189,'2016_ModelLink'!$A$3:$S$332,17,FALSE)</f>
        <v>N/A - Indicator</v>
      </c>
      <c r="P189" s="722" t="str">
        <f>VLOOKUP($A189,'2017_ModelLink'!$A$3:$S$332,17,FALSE)</f>
        <v>N/A - Indicator</v>
      </c>
      <c r="Q189" s="722">
        <f ca="1">VLOOKUP($A189,'2018_ModelLink'!$A$3:$S$332,17,FALSE)</f>
        <v>0</v>
      </c>
      <c r="R189" s="722">
        <f ca="1">VLOOKUP($A189,'2019_ModelLink'!$A$3:$S$332,17,FALSE)</f>
        <v>0</v>
      </c>
      <c r="S189" s="722">
        <f ca="1">VLOOKUP($A189,'2020_ModelLink'!$A$3:$S$332,17,FALSE)</f>
        <v>0</v>
      </c>
      <c r="T189" s="715" t="str">
        <f>VLOOKUP(A189,Targets!$A$1:$J$301,5,FALSE)</f>
        <v>N/A</v>
      </c>
      <c r="U189" s="715" t="str">
        <f>VLOOKUP(A189,Targets!$A$1:$J$301,5,FALSE)</f>
        <v>N/A</v>
      </c>
      <c r="V189" s="715" t="str">
        <f>VLOOKUP(A189,Targets!$A$1:$J$301,5,FALSE)</f>
        <v>N/A</v>
      </c>
      <c r="W189" s="715" t="e">
        <f>VLOOKUP(B189,Targets!$A$1:$J$301,5,FALSE)</f>
        <v>#N/A</v>
      </c>
      <c r="X189" s="715" t="e">
        <f>VLOOKUP(C189,Targets!$A$1:$J$301,5,FALSE)</f>
        <v>#N/A</v>
      </c>
      <c r="Y189" s="429" t="s">
        <v>383</v>
      </c>
      <c r="Z189" s="429"/>
      <c r="AA189" s="542"/>
      <c r="AB189" s="21"/>
    </row>
    <row r="190" spans="1:28" ht="150">
      <c r="A190" s="31">
        <v>187</v>
      </c>
      <c r="B190" s="22" t="s">
        <v>39</v>
      </c>
      <c r="C190" s="22" t="s">
        <v>366</v>
      </c>
      <c r="D190" s="22" t="s">
        <v>387</v>
      </c>
      <c r="E190" s="23" t="s">
        <v>388</v>
      </c>
      <c r="F190" s="22" t="s">
        <v>142</v>
      </c>
      <c r="G190" s="22" t="s">
        <v>389</v>
      </c>
      <c r="H190" s="22" t="s">
        <v>164</v>
      </c>
      <c r="I190" s="22" t="s">
        <v>390</v>
      </c>
      <c r="J190" s="22" t="s">
        <v>391</v>
      </c>
      <c r="K190" s="22" t="s">
        <v>293</v>
      </c>
      <c r="L190" s="66" t="s">
        <v>382</v>
      </c>
      <c r="M190" s="715" t="str">
        <f>VLOOKUP($A190,'2016_ModelLink'!$A$3:$S$332,17,FALSE)</f>
        <v>N/A - Indicator</v>
      </c>
      <c r="N190" s="715" t="str">
        <f>VLOOKUP($A190,'2016_ModelLink'!$A$3:$S$332,17,FALSE)</f>
        <v>N/A - Indicator</v>
      </c>
      <c r="O190" s="722" t="str">
        <f>VLOOKUP($A190,'2016_ModelLink'!$A$3:$S$332,17,FALSE)</f>
        <v>N/A - Indicator</v>
      </c>
      <c r="P190" s="722" t="str">
        <f>VLOOKUP($A190,'2017_ModelLink'!$A$3:$S$332,17,FALSE)</f>
        <v>N/A - Indicator</v>
      </c>
      <c r="Q190" s="722">
        <f ca="1">VLOOKUP($A190,'2018_ModelLink'!$A$3:$S$332,17,FALSE)</f>
        <v>0</v>
      </c>
      <c r="R190" s="722">
        <f ca="1">VLOOKUP($A190,'2019_ModelLink'!$A$3:$S$332,17,FALSE)</f>
        <v>0</v>
      </c>
      <c r="S190" s="722">
        <f ca="1">VLOOKUP($A190,'2020_ModelLink'!$A$3:$S$332,17,FALSE)</f>
        <v>0</v>
      </c>
      <c r="T190" s="715" t="str">
        <f>VLOOKUP(A190,Targets!$A$1:$J$301,5,FALSE)</f>
        <v>N/A</v>
      </c>
      <c r="U190" s="715" t="str">
        <f>VLOOKUP(A190,Targets!$A$1:$J$301,5,FALSE)</f>
        <v>N/A</v>
      </c>
      <c r="V190" s="715" t="str">
        <f>VLOOKUP(A190,Targets!$A$1:$J$301,5,FALSE)</f>
        <v>N/A</v>
      </c>
      <c r="W190" s="715" t="e">
        <f>VLOOKUP(B190,Targets!$A$1:$J$301,5,FALSE)</f>
        <v>#N/A</v>
      </c>
      <c r="X190" s="715" t="e">
        <f>VLOOKUP(C190,Targets!$A$1:$J$301,5,FALSE)</f>
        <v>#N/A</v>
      </c>
      <c r="Y190" s="429" t="s">
        <v>392</v>
      </c>
      <c r="Z190" s="429"/>
      <c r="AA190" s="542"/>
      <c r="AB190" s="21"/>
    </row>
    <row r="191" spans="1:28" ht="195">
      <c r="A191" s="31">
        <v>188</v>
      </c>
      <c r="B191" s="22" t="s">
        <v>39</v>
      </c>
      <c r="C191" s="22" t="s">
        <v>366</v>
      </c>
      <c r="D191" s="22" t="s">
        <v>141</v>
      </c>
      <c r="E191" s="23" t="s">
        <v>51</v>
      </c>
      <c r="F191" s="22" t="s">
        <v>52</v>
      </c>
      <c r="G191" s="22" t="s">
        <v>53</v>
      </c>
      <c r="H191" s="22" t="s">
        <v>30</v>
      </c>
      <c r="I191" s="22" t="s">
        <v>393</v>
      </c>
      <c r="J191" s="22" t="s">
        <v>52</v>
      </c>
      <c r="K191" s="22" t="s">
        <v>394</v>
      </c>
      <c r="L191" s="22">
        <v>2016</v>
      </c>
      <c r="M191" s="335" t="str">
        <f ca="1">VLOOKUP(A191,'2020_ModelLink'!$A$3:$S$332,18,FALSE)</f>
        <v>N/A</v>
      </c>
      <c r="N191" s="335" t="str">
        <f ca="1">VLOOKUP(A191,'2020_ModelLink'!$A$3:$S$332,19,FALSE)</f>
        <v>N/A</v>
      </c>
      <c r="O191" s="721">
        <f ca="1">VLOOKUP($A191,'2016_ModelLink'!$A$3:$S$332,17,FALSE)</f>
        <v>4590.9439276523699</v>
      </c>
      <c r="P191" s="721">
        <f ca="1">VLOOKUP($A191,'2017_ModelLink'!$A$3:$S$332,17,FALSE)</f>
        <v>2120.2284962919252</v>
      </c>
      <c r="Q191" s="721">
        <f ca="1">VLOOKUP($A191,'2018_ModelLink'!$A$3:$S$332,17,FALSE)</f>
        <v>4869.3797351635285</v>
      </c>
      <c r="R191" s="721">
        <f ca="1">VLOOKUP($A191,'2019_ModelLink'!$A$3:$S$332,17,FALSE)</f>
        <v>2898.0948820547387</v>
      </c>
      <c r="S191" s="721">
        <f ca="1">VLOOKUP($A191,'2020_ModelLink'!$A$3:$S$332,17,FALSE)</f>
        <v>1897.323159941147</v>
      </c>
      <c r="T191" s="307" t="str">
        <f>VLOOKUP(A191,Targets!$A$1:$J$301,5,FALSE)</f>
        <v>N/A</v>
      </c>
      <c r="U191" s="307" t="str">
        <f>VLOOKUP(A191,Targets!$A$1:$J$301,5,FALSE)</f>
        <v>N/A</v>
      </c>
      <c r="V191" s="307" t="str">
        <f>VLOOKUP(A191,Targets!$A$1:$J$301,5,FALSE)</f>
        <v>N/A</v>
      </c>
      <c r="W191" s="307" t="e">
        <f>VLOOKUP(A191,Targets!$A$1:$J$301,5,FALSE)*3</f>
        <v>#VALUE!</v>
      </c>
      <c r="X191" s="307" t="e">
        <f>VLOOKUP(A191,Targets!$A$1:$J$301,6,FALSE)*2</f>
        <v>#VALUE!</v>
      </c>
      <c r="Y191" s="429"/>
      <c r="Z191" s="429"/>
      <c r="AA191" s="542"/>
      <c r="AB191" s="21"/>
    </row>
    <row r="192" spans="1:28" ht="195">
      <c r="A192" s="31">
        <v>189</v>
      </c>
      <c r="B192" s="22" t="s">
        <v>39</v>
      </c>
      <c r="C192" s="22" t="s">
        <v>366</v>
      </c>
      <c r="D192" s="22" t="s">
        <v>141</v>
      </c>
      <c r="E192" s="23" t="s">
        <v>51</v>
      </c>
      <c r="F192" s="22" t="s">
        <v>55</v>
      </c>
      <c r="G192" s="22" t="s">
        <v>53</v>
      </c>
      <c r="H192" s="22" t="s">
        <v>30</v>
      </c>
      <c r="I192" s="22" t="s">
        <v>393</v>
      </c>
      <c r="J192" s="22" t="s">
        <v>55</v>
      </c>
      <c r="K192" s="22" t="s">
        <v>394</v>
      </c>
      <c r="L192" s="22">
        <v>2016</v>
      </c>
      <c r="M192" s="335" t="str">
        <f ca="1">VLOOKUP(A192,'2020_ModelLink'!$A$3:$S$332,18,FALSE)</f>
        <v>N/A</v>
      </c>
      <c r="N192" s="335" t="str">
        <f ca="1">VLOOKUP(A192,'2020_ModelLink'!$A$3:$S$332,19,FALSE)</f>
        <v>N/A</v>
      </c>
      <c r="O192" s="721">
        <f ca="1">VLOOKUP($A192,'2016_ModelLink'!$A$3:$S$332,17,FALSE)</f>
        <v>3554.7299791819801</v>
      </c>
      <c r="P192" s="721">
        <f ca="1">VLOOKUP($A192,'2017_ModelLink'!$A$3:$S$332,17,FALSE)</f>
        <v>1561.293975827205</v>
      </c>
      <c r="Q192" s="721">
        <f ca="1">VLOOKUP($A192,'2018_ModelLink'!$A$3:$S$332,17,FALSE)</f>
        <v>3771.8348593808496</v>
      </c>
      <c r="R192" s="721">
        <f ca="1">VLOOKUP($A192,'2019_ModelLink'!$A$3:$S$332,17,FALSE)</f>
        <v>2497.9844953547299</v>
      </c>
      <c r="S192" s="721">
        <f ca="1">VLOOKUP($A192,'2020_ModelLink'!$A$3:$S$332,17,FALSE)</f>
        <v>1409.4834003058486</v>
      </c>
      <c r="T192" s="307">
        <f>VLOOKUP(A192,Targets!$A$1:$J$301,5,FALSE)</f>
        <v>6596.8139663280799</v>
      </c>
      <c r="U192" s="307">
        <f>VLOOKUP(A192,Targets!$A$1:$J$301,5,FALSE)</f>
        <v>6596.8139663280799</v>
      </c>
      <c r="V192" s="307">
        <f>VLOOKUP(A192,Targets!$A$1:$J$301,5,FALSE)</f>
        <v>6596.8139663280799</v>
      </c>
      <c r="W192" s="307">
        <f>VLOOKUP(A192,Targets!$A$1:$J$301,5,FALSE)*3</f>
        <v>19790.441898984238</v>
      </c>
      <c r="X192" s="307">
        <f>VLOOKUP(A192,Targets!$A$1:$J$301,6,FALSE)*2</f>
        <v>13193.62793265616</v>
      </c>
      <c r="Y192" s="429"/>
      <c r="Z192" s="429"/>
      <c r="AA192" s="542"/>
      <c r="AB192" s="21"/>
    </row>
    <row r="193" spans="1:28" ht="195">
      <c r="A193" s="31">
        <v>190</v>
      </c>
      <c r="B193" s="22" t="s">
        <v>39</v>
      </c>
      <c r="C193" s="22" t="s">
        <v>366</v>
      </c>
      <c r="D193" s="22" t="s">
        <v>141</v>
      </c>
      <c r="E193" s="23" t="s">
        <v>51</v>
      </c>
      <c r="F193" s="22" t="s">
        <v>56</v>
      </c>
      <c r="G193" s="22" t="s">
        <v>53</v>
      </c>
      <c r="H193" s="22" t="s">
        <v>30</v>
      </c>
      <c r="I193" s="22" t="s">
        <v>393</v>
      </c>
      <c r="J193" s="22" t="s">
        <v>56</v>
      </c>
      <c r="K193" s="22" t="s">
        <v>394</v>
      </c>
      <c r="L193" s="22">
        <v>2016</v>
      </c>
      <c r="M193" s="335" t="str">
        <f ca="1">VLOOKUP(A193,'2020_ModelLink'!$A$3:$S$332,18,FALSE)</f>
        <v>N/A</v>
      </c>
      <c r="N193" s="335" t="str">
        <f ca="1">VLOOKUP(A193,'2020_ModelLink'!$A$3:$S$332,19,FALSE)</f>
        <v>N/A</v>
      </c>
      <c r="O193" s="721">
        <f ca="1">VLOOKUP($A193,'2016_ModelLink'!$A$3:$S$332,17,FALSE)</f>
        <v>17529533.075263601</v>
      </c>
      <c r="P193" s="721">
        <f ca="1">VLOOKUP($A193,'2017_ModelLink'!$A$3:$S$332,17,FALSE)</f>
        <v>11829233.779383814</v>
      </c>
      <c r="Q193" s="721">
        <f ca="1">VLOOKUP($A193,'2018_ModelLink'!$A$3:$S$332,17,FALSE)</f>
        <v>25281292.089263417</v>
      </c>
      <c r="R193" s="721">
        <f ca="1">VLOOKUP($A193,'2019_ModelLink'!$A$3:$S$332,17,FALSE)</f>
        <v>12199569.293464012</v>
      </c>
      <c r="S193" s="721">
        <f ca="1">VLOOKUP($A193,'2020_ModelLink'!$A$3:$S$332,17,FALSE)</f>
        <v>14438508.915031388</v>
      </c>
      <c r="T193" s="307">
        <f>VLOOKUP(A193,Targets!$A$1:$J$301,5,FALSE)</f>
        <v>4195.9683923210259</v>
      </c>
      <c r="U193" s="307">
        <f>VLOOKUP(A193,Targets!$A$1:$J$301,5,FALSE)</f>
        <v>4195.9683923210259</v>
      </c>
      <c r="V193" s="307">
        <f>VLOOKUP(A193,Targets!$A$1:$J$301,5,FALSE)</f>
        <v>4195.9683923210259</v>
      </c>
      <c r="W193" s="307">
        <f>VLOOKUP(A193,Targets!$A$1:$J$301,5,FALSE)*3</f>
        <v>12587.905176963079</v>
      </c>
      <c r="X193" s="307">
        <f>VLOOKUP(A193,Targets!$A$1:$J$301,6,FALSE)*2</f>
        <v>8391.9367846420519</v>
      </c>
      <c r="Y193" s="429"/>
      <c r="Z193" s="429"/>
      <c r="AA193" s="542"/>
      <c r="AB193" s="21"/>
    </row>
    <row r="194" spans="1:28" ht="195">
      <c r="A194" s="31">
        <v>191</v>
      </c>
      <c r="B194" s="22" t="s">
        <v>39</v>
      </c>
      <c r="C194" s="22" t="s">
        <v>366</v>
      </c>
      <c r="D194" s="22" t="s">
        <v>141</v>
      </c>
      <c r="E194" s="23" t="s">
        <v>51</v>
      </c>
      <c r="F194" s="22" t="s">
        <v>57</v>
      </c>
      <c r="G194" s="22" t="s">
        <v>53</v>
      </c>
      <c r="H194" s="22" t="s">
        <v>30</v>
      </c>
      <c r="I194" s="22" t="s">
        <v>393</v>
      </c>
      <c r="J194" s="22" t="s">
        <v>57</v>
      </c>
      <c r="K194" s="22" t="s">
        <v>394</v>
      </c>
      <c r="L194" s="22">
        <v>2016</v>
      </c>
      <c r="M194" s="335" t="str">
        <f ca="1">VLOOKUP(A194,'2020_ModelLink'!$A$3:$S$332,18,FALSE)</f>
        <v>N/A</v>
      </c>
      <c r="N194" s="335" t="str">
        <f ca="1">VLOOKUP(A194,'2020_ModelLink'!$A$3:$S$332,19,FALSE)</f>
        <v>N/A</v>
      </c>
      <c r="O194" s="721">
        <f ca="1">VLOOKUP($A194,'2016_ModelLink'!$A$3:$S$332,17,FALSE)</f>
        <v>12908801.461421</v>
      </c>
      <c r="P194" s="721">
        <f ca="1">VLOOKUP($A194,'2017_ModelLink'!$A$3:$S$332,17,FALSE)</f>
        <v>8187370.7973197354</v>
      </c>
      <c r="Q194" s="721">
        <f ca="1">VLOOKUP($A194,'2018_ModelLink'!$A$3:$S$332,17,FALSE)</f>
        <v>19629014.223912973</v>
      </c>
      <c r="R194" s="721">
        <f ca="1">VLOOKUP($A194,'2019_ModelLink'!$A$3:$S$332,17,FALSE)</f>
        <v>10464686.287194207</v>
      </c>
      <c r="S194" s="721">
        <f ca="1">VLOOKUP($A194,'2020_ModelLink'!$A$3:$S$332,17,FALSE)</f>
        <v>10977955.680839896</v>
      </c>
      <c r="T194" s="307">
        <f>VLOOKUP(A194,Targets!$A$1:$J$301,5,FALSE)</f>
        <v>31019093.225557778</v>
      </c>
      <c r="U194" s="307">
        <f>VLOOKUP(A194,Targets!$A$1:$J$301,5,FALSE)</f>
        <v>31019093.225557778</v>
      </c>
      <c r="V194" s="307">
        <f>VLOOKUP(A194,Targets!$A$1:$J$301,5,FALSE)</f>
        <v>31019093.225557778</v>
      </c>
      <c r="W194" s="307">
        <f>VLOOKUP(A194,Targets!$A$1:$J$301,5,FALSE)*3</f>
        <v>93057279.676673338</v>
      </c>
      <c r="X194" s="307">
        <f>VLOOKUP(A194,Targets!$A$1:$J$301,6,FALSE)*2</f>
        <v>62038186.451115556</v>
      </c>
      <c r="Y194" s="429"/>
      <c r="Z194" s="429"/>
      <c r="AA194" s="542"/>
      <c r="AB194" s="21"/>
    </row>
    <row r="195" spans="1:28" ht="195">
      <c r="A195" s="31">
        <v>192</v>
      </c>
      <c r="B195" s="22" t="s">
        <v>39</v>
      </c>
      <c r="C195" s="22" t="s">
        <v>366</v>
      </c>
      <c r="D195" s="22" t="s">
        <v>141</v>
      </c>
      <c r="E195" s="23" t="s">
        <v>51</v>
      </c>
      <c r="F195" s="22" t="s">
        <v>58</v>
      </c>
      <c r="G195" s="22" t="s">
        <v>53</v>
      </c>
      <c r="H195" s="22" t="s">
        <v>30</v>
      </c>
      <c r="I195" s="22" t="s">
        <v>393</v>
      </c>
      <c r="J195" s="22" t="s">
        <v>58</v>
      </c>
      <c r="K195" s="22" t="s">
        <v>394</v>
      </c>
      <c r="L195" s="22">
        <v>2016</v>
      </c>
      <c r="M195" s="335" t="str">
        <f ca="1">VLOOKUP(A195,'2020_ModelLink'!$A$3:$S$332,18,FALSE)</f>
        <v>N/A</v>
      </c>
      <c r="N195" s="335" t="str">
        <f ca="1">VLOOKUP(A195,'2020_ModelLink'!$A$3:$S$332,19,FALSE)</f>
        <v>N/A</v>
      </c>
      <c r="O195" s="721">
        <f ca="1">VLOOKUP($A195,'2016_ModelLink'!$A$3:$S$332,17,FALSE)</f>
        <v>658150.57731771597</v>
      </c>
      <c r="P195" s="721">
        <f ca="1">VLOOKUP($A195,'2017_ModelLink'!$A$3:$S$332,17,FALSE)</f>
        <v>717123.36628211441</v>
      </c>
      <c r="Q195" s="721">
        <f ca="1">VLOOKUP($A195,'2018_ModelLink'!$A$3:$S$332,17,FALSE)</f>
        <v>165007.97731415418</v>
      </c>
      <c r="R195" s="721">
        <f ca="1">VLOOKUP($A195,'2019_ModelLink'!$A$3:$S$332,17,FALSE)</f>
        <v>29882.156361386344</v>
      </c>
      <c r="S195" s="721">
        <f ca="1">VLOOKUP($A195,'2020_ModelLink'!$A$3:$S$332,17,FALSE)</f>
        <v>190743.77595599869</v>
      </c>
      <c r="T195" s="307">
        <f>VLOOKUP(A195,Targets!$A$1:$J$301,5,FALSE)</f>
        <v>19185065.396241453</v>
      </c>
      <c r="U195" s="307">
        <f>VLOOKUP(A195,Targets!$A$1:$J$301,5,FALSE)</f>
        <v>19185065.396241453</v>
      </c>
      <c r="V195" s="307">
        <f>VLOOKUP(A195,Targets!$A$1:$J$301,5,FALSE)</f>
        <v>19185065.396241453</v>
      </c>
      <c r="W195" s="307">
        <f>VLOOKUP(A195,Targets!$A$1:$J$301,5,FALSE)*3</f>
        <v>57555196.188724354</v>
      </c>
      <c r="X195" s="307">
        <f>VLOOKUP(A195,Targets!$A$1:$J$301,6,FALSE)*2</f>
        <v>38370130.792482905</v>
      </c>
      <c r="Y195" s="429" t="s">
        <v>294</v>
      </c>
      <c r="Z195" s="544" t="s">
        <v>395</v>
      </c>
      <c r="AA195" s="542"/>
      <c r="AB195" s="21"/>
    </row>
    <row r="196" spans="1:28" ht="195">
      <c r="A196" s="31">
        <v>193</v>
      </c>
      <c r="B196" s="22" t="s">
        <v>39</v>
      </c>
      <c r="C196" s="22" t="s">
        <v>366</v>
      </c>
      <c r="D196" s="22" t="s">
        <v>141</v>
      </c>
      <c r="E196" s="23" t="s">
        <v>51</v>
      </c>
      <c r="F196" s="22" t="s">
        <v>60</v>
      </c>
      <c r="G196" s="22" t="s">
        <v>53</v>
      </c>
      <c r="H196" s="22" t="s">
        <v>30</v>
      </c>
      <c r="I196" s="22" t="s">
        <v>393</v>
      </c>
      <c r="J196" s="22" t="s">
        <v>60</v>
      </c>
      <c r="K196" s="22" t="s">
        <v>394</v>
      </c>
      <c r="L196" s="22">
        <v>2016</v>
      </c>
      <c r="M196" s="335" t="str">
        <f ca="1">VLOOKUP(A196,'2020_ModelLink'!$A$3:$S$332,18,FALSE)</f>
        <v>N/A</v>
      </c>
      <c r="N196" s="335" t="str">
        <f ca="1">VLOOKUP(A196,'2020_ModelLink'!$A$3:$S$332,19,FALSE)</f>
        <v>N/A</v>
      </c>
      <c r="O196" s="721">
        <f ca="1">VLOOKUP($A196,'2016_ModelLink'!$A$3:$S$332,17,FALSE)</f>
        <v>395429.50560636498</v>
      </c>
      <c r="P196" s="721">
        <f ca="1">VLOOKUP($A196,'2017_ModelLink'!$A$3:$S$332,17,FALSE)</f>
        <v>428364.72049244336</v>
      </c>
      <c r="Q196" s="721">
        <f ca="1">VLOOKUP($A196,'2018_ModelLink'!$A$3:$S$332,17,FALSE)</f>
        <v>99632.881440777332</v>
      </c>
      <c r="R196" s="721">
        <f ca="1">VLOOKUP($A196,'2019_ModelLink'!$A$3:$S$332,17,FALSE)</f>
        <v>17095.51933578297</v>
      </c>
      <c r="S196" s="721">
        <f ca="1">VLOOKUP($A196,'2020_ModelLink'!$A$3:$S$332,17,FALSE)</f>
        <v>166308.49588132161</v>
      </c>
      <c r="T196" s="307">
        <f>VLOOKUP(A196,Targets!$A$1:$J$301,5,FALSE)</f>
        <v>351100.64679401362</v>
      </c>
      <c r="U196" s="307">
        <f>VLOOKUP(A196,Targets!$A$1:$J$301,5,FALSE)</f>
        <v>351100.64679401362</v>
      </c>
      <c r="V196" s="307">
        <f>VLOOKUP(A196,Targets!$A$1:$J$301,5,FALSE)</f>
        <v>351100.64679401362</v>
      </c>
      <c r="W196" s="307">
        <f>VLOOKUP(A196,Targets!$A$1:$J$301,5,FALSE)*3</f>
        <v>1053301.9403820408</v>
      </c>
      <c r="X196" s="307">
        <f>VLOOKUP(A196,Targets!$A$1:$J$301,6,FALSE)*2</f>
        <v>702201.29358802724</v>
      </c>
      <c r="Y196" s="429" t="s">
        <v>294</v>
      </c>
      <c r="Z196" s="544" t="s">
        <v>395</v>
      </c>
      <c r="AA196" s="542"/>
      <c r="AB196" s="21"/>
    </row>
    <row r="197" spans="1:28" ht="195">
      <c r="A197" s="31">
        <v>194</v>
      </c>
      <c r="B197" s="22" t="s">
        <v>39</v>
      </c>
      <c r="C197" s="22" t="s">
        <v>366</v>
      </c>
      <c r="D197" s="22" t="s">
        <v>141</v>
      </c>
      <c r="E197" s="23" t="s">
        <v>51</v>
      </c>
      <c r="F197" s="22" t="s">
        <v>61</v>
      </c>
      <c r="G197" s="22" t="s">
        <v>53</v>
      </c>
      <c r="H197" s="22" t="s">
        <v>30</v>
      </c>
      <c r="I197" s="22" t="s">
        <v>393</v>
      </c>
      <c r="J197" s="22" t="s">
        <v>61</v>
      </c>
      <c r="K197" s="22" t="s">
        <v>394</v>
      </c>
      <c r="L197" s="22">
        <v>2016</v>
      </c>
      <c r="M197" s="335" t="str">
        <f ca="1">VLOOKUP(A197,'2020_ModelLink'!$A$3:$S$332,18,FALSE)</f>
        <v>N/A</v>
      </c>
      <c r="N197" s="335" t="str">
        <f ca="1">VLOOKUP(A197,'2020_ModelLink'!$A$3:$S$332,19,FALSE)</f>
        <v>N/A</v>
      </c>
      <c r="O197" s="721">
        <f ca="1">VLOOKUP($A197,'2016_ModelLink'!$A$3:$S$332,17,FALSE)</f>
        <v>55180.001106433003</v>
      </c>
      <c r="P197" s="721">
        <f ca="1">VLOOKUP($A197,'2017_ModelLink'!$A$3:$S$332,17,FALSE)</f>
        <v>18670.744517401385</v>
      </c>
      <c r="Q197" s="721">
        <f ca="1">VLOOKUP($A197,'2018_ModelLink'!$A$3:$S$332,17,FALSE)</f>
        <v>44541.967750757394</v>
      </c>
      <c r="R197" s="721">
        <f ca="1">VLOOKUP($A197,'2019_ModelLink'!$A$3:$S$332,17,FALSE)</f>
        <v>23630.438480622244</v>
      </c>
      <c r="S197" s="721">
        <f ca="1">VLOOKUP($A197,'2020_ModelLink'!$A$3:$S$332,17,FALSE)</f>
        <v>17778.648464718222</v>
      </c>
      <c r="T197" s="307">
        <f>VLOOKUP(A197,Targets!$A$1:$J$301,5,FALSE)</f>
        <v>191680.22379405162</v>
      </c>
      <c r="U197" s="307">
        <f>VLOOKUP(A197,Targets!$A$1:$J$301,5,FALSE)</f>
        <v>191680.22379405162</v>
      </c>
      <c r="V197" s="307">
        <f>VLOOKUP(A197,Targets!$A$1:$J$301,5,FALSE)</f>
        <v>191680.22379405162</v>
      </c>
      <c r="W197" s="307">
        <f>VLOOKUP(A197,Targets!$A$1:$J$301,5,FALSE)*3</f>
        <v>575040.6713821548</v>
      </c>
      <c r="X197" s="307">
        <f>VLOOKUP(A197,Targets!$A$1:$J$301,6,FALSE)*2</f>
        <v>383360.44758810324</v>
      </c>
      <c r="Y197" s="429"/>
      <c r="Z197" s="429"/>
      <c r="AA197" s="542"/>
      <c r="AB197" s="21"/>
    </row>
    <row r="198" spans="1:28" ht="195">
      <c r="A198" s="31">
        <v>195</v>
      </c>
      <c r="B198" s="22" t="s">
        <v>39</v>
      </c>
      <c r="C198" s="22" t="s">
        <v>366</v>
      </c>
      <c r="D198" s="22" t="s">
        <v>141</v>
      </c>
      <c r="E198" s="23" t="s">
        <v>51</v>
      </c>
      <c r="F198" s="22" t="s">
        <v>62</v>
      </c>
      <c r="G198" s="22" t="s">
        <v>53</v>
      </c>
      <c r="H198" s="22" t="s">
        <v>30</v>
      </c>
      <c r="I198" s="22" t="s">
        <v>393</v>
      </c>
      <c r="J198" s="22" t="s">
        <v>62</v>
      </c>
      <c r="K198" s="22" t="s">
        <v>394</v>
      </c>
      <c r="L198" s="22">
        <v>2016</v>
      </c>
      <c r="M198" s="335" t="str">
        <f ca="1">VLOOKUP(A198,'2020_ModelLink'!$A$3:$S$332,18,FALSE)</f>
        <v>N/A</v>
      </c>
      <c r="N198" s="335" t="str">
        <f ca="1">VLOOKUP(A198,'2020_ModelLink'!$A$3:$S$332,19,FALSE)</f>
        <v>N/A</v>
      </c>
      <c r="O198" s="721">
        <f ca="1">VLOOKUP($A198,'2016_ModelLink'!$A$3:$S$332,17,FALSE)</f>
        <v>41747.003227813402</v>
      </c>
      <c r="P198" s="721">
        <f ca="1">VLOOKUP($A198,'2017_ModelLink'!$A$3:$S$332,17,FALSE)</f>
        <v>13285.931537879211</v>
      </c>
      <c r="Q198" s="721">
        <f ca="1">VLOOKUP($A198,'2018_ModelLink'!$A$3:$S$332,17,FALSE)</f>
        <v>34211.996240279623</v>
      </c>
      <c r="R198" s="721">
        <f ca="1">VLOOKUP($A198,'2019_ModelLink'!$A$3:$S$332,17,FALSE)</f>
        <v>20075.722901657369</v>
      </c>
      <c r="S198" s="721">
        <f ca="1">VLOOKUP($A198,'2020_ModelLink'!$A$3:$S$332,17,FALSE)</f>
        <v>12459.039077470705</v>
      </c>
      <c r="T198" s="307">
        <f>VLOOKUP(A198,Targets!$A$1:$J$301,5,FALSE)</f>
        <v>72231.748057820674</v>
      </c>
      <c r="U198" s="307">
        <f>VLOOKUP(A198,Targets!$A$1:$J$301,5,FALSE)</f>
        <v>72231.748057820674</v>
      </c>
      <c r="V198" s="307">
        <f>VLOOKUP(A198,Targets!$A$1:$J$301,5,FALSE)</f>
        <v>72231.748057820674</v>
      </c>
      <c r="W198" s="307">
        <f>VLOOKUP(A198,Targets!$A$1:$J$301,5,FALSE)*3</f>
        <v>216695.24417346204</v>
      </c>
      <c r="X198" s="307">
        <f>VLOOKUP(A198,Targets!$A$1:$J$301,6,FALSE)*2</f>
        <v>144463.49611564135</v>
      </c>
      <c r="Y198" s="429"/>
      <c r="Z198" s="429"/>
      <c r="AA198" s="542"/>
      <c r="AB198" s="21"/>
    </row>
    <row r="199" spans="1:28" ht="195">
      <c r="A199" s="31">
        <v>196</v>
      </c>
      <c r="B199" s="22" t="s">
        <v>39</v>
      </c>
      <c r="C199" s="22" t="s">
        <v>366</v>
      </c>
      <c r="D199" s="22" t="s">
        <v>141</v>
      </c>
      <c r="E199" s="23" t="s">
        <v>51</v>
      </c>
      <c r="F199" s="22" t="s">
        <v>63</v>
      </c>
      <c r="G199" s="22" t="s">
        <v>53</v>
      </c>
      <c r="H199" s="22" t="s">
        <v>30</v>
      </c>
      <c r="I199" s="22" t="s">
        <v>393</v>
      </c>
      <c r="J199" s="22" t="s">
        <v>63</v>
      </c>
      <c r="K199" s="22" t="s">
        <v>394</v>
      </c>
      <c r="L199" s="22">
        <v>2016</v>
      </c>
      <c r="M199" s="335" t="str">
        <f ca="1">VLOOKUP(A199,'2020_ModelLink'!$A$3:$S$332,18,FALSE)</f>
        <v>N/A</v>
      </c>
      <c r="N199" s="335" t="str">
        <f ca="1">VLOOKUP(A199,'2020_ModelLink'!$A$3:$S$332,19,FALSE)</f>
        <v>N/A</v>
      </c>
      <c r="O199" s="721">
        <f ca="1">VLOOKUP($A199,'2016_ModelLink'!$A$3:$S$332,17,FALSE)</f>
        <v>215162157.76574799</v>
      </c>
      <c r="P199" s="721">
        <f ca="1">VLOOKUP($A199,'2017_ModelLink'!$A$3:$S$332,17,FALSE)</f>
        <v>102078374.17575823</v>
      </c>
      <c r="Q199" s="721">
        <f ca="1">VLOOKUP($A199,'2018_ModelLink'!$A$3:$S$332,17,FALSE)</f>
        <v>264032344.80648011</v>
      </c>
      <c r="R199" s="721">
        <f ca="1">VLOOKUP($A199,'2019_ModelLink'!$A$3:$S$332,17,FALSE)</f>
        <v>102671892.85767052</v>
      </c>
      <c r="S199" s="721">
        <f ca="1">VLOOKUP($A199,'2020_ModelLink'!$A$3:$S$332,17,FALSE)</f>
        <v>121695934.54045625</v>
      </c>
      <c r="T199" s="307">
        <f>VLOOKUP(A199,Targets!$A$1:$J$301,5,FALSE)</f>
        <v>45609.493295679466</v>
      </c>
      <c r="U199" s="307">
        <f>VLOOKUP(A199,Targets!$A$1:$J$301,5,FALSE)</f>
        <v>45609.493295679466</v>
      </c>
      <c r="V199" s="307">
        <f>VLOOKUP(A199,Targets!$A$1:$J$301,5,FALSE)</f>
        <v>45609.493295679466</v>
      </c>
      <c r="W199" s="307">
        <f>VLOOKUP(A199,Targets!$A$1:$J$301,5,FALSE)*3</f>
        <v>136828.47988703841</v>
      </c>
      <c r="X199" s="307">
        <f>VLOOKUP(A199,Targets!$A$1:$J$301,6,FALSE)*2</f>
        <v>91218.986591358931</v>
      </c>
      <c r="Y199" s="429"/>
      <c r="Z199" s="429"/>
      <c r="AA199" s="542"/>
      <c r="AB199" s="21"/>
    </row>
    <row r="200" spans="1:28" ht="195">
      <c r="A200" s="31">
        <v>197</v>
      </c>
      <c r="B200" s="22" t="s">
        <v>39</v>
      </c>
      <c r="C200" s="22" t="s">
        <v>366</v>
      </c>
      <c r="D200" s="22" t="s">
        <v>141</v>
      </c>
      <c r="E200" s="23" t="s">
        <v>51</v>
      </c>
      <c r="F200" s="22" t="s">
        <v>64</v>
      </c>
      <c r="G200" s="22" t="s">
        <v>53</v>
      </c>
      <c r="H200" s="22" t="s">
        <v>30</v>
      </c>
      <c r="I200" s="22" t="s">
        <v>393</v>
      </c>
      <c r="J200" s="22" t="s">
        <v>64</v>
      </c>
      <c r="K200" s="22" t="s">
        <v>394</v>
      </c>
      <c r="L200" s="22">
        <v>2016</v>
      </c>
      <c r="M200" s="335" t="str">
        <f ca="1">VLOOKUP(A200,'2020_ModelLink'!$A$3:$S$332,18,FALSE)</f>
        <v>N/A</v>
      </c>
      <c r="N200" s="335" t="str">
        <f ca="1">VLOOKUP(A200,'2020_ModelLink'!$A$3:$S$332,19,FALSE)</f>
        <v>N/A</v>
      </c>
      <c r="O200" s="721">
        <f ca="1">VLOOKUP($A200,'2016_ModelLink'!$A$3:$S$332,17,FALSE)</f>
        <v>155638967.50607699</v>
      </c>
      <c r="P200" s="721">
        <f ca="1">VLOOKUP($A200,'2017_ModelLink'!$A$3:$S$332,17,FALSE)</f>
        <v>70335418.773030251</v>
      </c>
      <c r="Q200" s="721">
        <f ca="1">VLOOKUP($A200,'2018_ModelLink'!$A$3:$S$332,17,FALSE)</f>
        <v>203184949.41917124</v>
      </c>
      <c r="R200" s="721">
        <f ca="1">VLOOKUP($A200,'2019_ModelLink'!$A$3:$S$332,17,FALSE)</f>
        <v>85450449.032280743</v>
      </c>
      <c r="S200" s="721">
        <f ca="1">VLOOKUP($A200,'2020_ModelLink'!$A$3:$S$332,17,FALSE)</f>
        <v>85131325.578947797</v>
      </c>
      <c r="T200" s="307">
        <f>VLOOKUP(A200,Targets!$A$1:$J$301,5,FALSE)</f>
        <v>339188596.29518348</v>
      </c>
      <c r="U200" s="307">
        <f>VLOOKUP(A200,Targets!$A$1:$J$301,5,FALSE)</f>
        <v>339188596.29518348</v>
      </c>
      <c r="V200" s="307">
        <f>VLOOKUP(A200,Targets!$A$1:$J$301,5,FALSE)</f>
        <v>339188596.29518348</v>
      </c>
      <c r="W200" s="307">
        <f>VLOOKUP(A200,Targets!$A$1:$J$301,5,FALSE)*3</f>
        <v>1017565788.8855505</v>
      </c>
      <c r="X200" s="307">
        <f>VLOOKUP(A200,Targets!$A$1:$J$301,6,FALSE)*2</f>
        <v>678377192.59036696</v>
      </c>
      <c r="Y200" s="429"/>
      <c r="Z200" s="429"/>
      <c r="AA200" s="542"/>
      <c r="AB200" s="21"/>
    </row>
    <row r="201" spans="1:28" ht="195">
      <c r="A201" s="31">
        <v>198</v>
      </c>
      <c r="B201" s="22" t="s">
        <v>39</v>
      </c>
      <c r="C201" s="22" t="s">
        <v>366</v>
      </c>
      <c r="D201" s="22" t="s">
        <v>141</v>
      </c>
      <c r="E201" s="23" t="s">
        <v>51</v>
      </c>
      <c r="F201" s="22" t="s">
        <v>65</v>
      </c>
      <c r="G201" s="22" t="s">
        <v>53</v>
      </c>
      <c r="H201" s="22" t="s">
        <v>30</v>
      </c>
      <c r="I201" s="22" t="s">
        <v>393</v>
      </c>
      <c r="J201" s="22" t="s">
        <v>65</v>
      </c>
      <c r="K201" s="22" t="s">
        <v>394</v>
      </c>
      <c r="L201" s="22">
        <v>2016</v>
      </c>
      <c r="M201" s="335" t="str">
        <f ca="1">VLOOKUP(A201,'2020_ModelLink'!$A$3:$S$332,18,FALSE)</f>
        <v>N/A</v>
      </c>
      <c r="N201" s="335" t="str">
        <f ca="1">VLOOKUP(A201,'2020_ModelLink'!$A$3:$S$332,19,FALSE)</f>
        <v>N/A</v>
      </c>
      <c r="O201" s="721">
        <f ca="1">VLOOKUP($A201,'2016_ModelLink'!$A$3:$S$332,17,FALSE)</f>
        <v>9847643.0532631408</v>
      </c>
      <c r="P201" s="721">
        <f ca="1">VLOOKUP($A201,'2017_ModelLink'!$A$3:$S$332,17,FALSE)</f>
        <v>7906120.7257685047</v>
      </c>
      <c r="Q201" s="721">
        <f ca="1">VLOOKUP($A201,'2018_ModelLink'!$A$3:$S$332,17,FALSE)</f>
        <v>1457968.9561695815</v>
      </c>
      <c r="R201" s="721">
        <f ca="1">VLOOKUP($A201,'2019_ModelLink'!$A$3:$S$332,17,FALSE)</f>
        <v>480219.7888017107</v>
      </c>
      <c r="S201" s="721">
        <f ca="1">VLOOKUP($A201,'2020_ModelLink'!$A$3:$S$332,17,FALSE)</f>
        <v>1363967.5102556366</v>
      </c>
      <c r="T201" s="307">
        <f>VLOOKUP(A201,Targets!$A$1:$J$301,5,FALSE)</f>
        <v>209069831.50117296</v>
      </c>
      <c r="U201" s="307">
        <f>VLOOKUP(A201,Targets!$A$1:$J$301,5,FALSE)</f>
        <v>209069831.50117296</v>
      </c>
      <c r="V201" s="307">
        <f>VLOOKUP(A201,Targets!$A$1:$J$301,5,FALSE)</f>
        <v>209069831.50117296</v>
      </c>
      <c r="W201" s="307">
        <f>VLOOKUP(A201,Targets!$A$1:$J$301,5,FALSE)*3</f>
        <v>627209494.50351882</v>
      </c>
      <c r="X201" s="307">
        <f>VLOOKUP(A201,Targets!$A$1:$J$301,6,FALSE)*2</f>
        <v>418139663.00234592</v>
      </c>
      <c r="Y201" s="429" t="s">
        <v>294</v>
      </c>
      <c r="Z201" s="544" t="s">
        <v>395</v>
      </c>
      <c r="AA201" s="542"/>
      <c r="AB201" s="21"/>
    </row>
    <row r="202" spans="1:28" ht="195">
      <c r="A202" s="31">
        <v>199</v>
      </c>
      <c r="B202" s="22" t="s">
        <v>39</v>
      </c>
      <c r="C202" s="22" t="s">
        <v>366</v>
      </c>
      <c r="D202" s="22" t="s">
        <v>141</v>
      </c>
      <c r="E202" s="23" t="s">
        <v>51</v>
      </c>
      <c r="F202" s="22" t="s">
        <v>66</v>
      </c>
      <c r="G202" s="22" t="s">
        <v>53</v>
      </c>
      <c r="H202" s="22" t="s">
        <v>30</v>
      </c>
      <c r="I202" s="22" t="s">
        <v>393</v>
      </c>
      <c r="J202" s="22" t="s">
        <v>66</v>
      </c>
      <c r="K202" s="22" t="s">
        <v>394</v>
      </c>
      <c r="L202" s="22">
        <v>2016</v>
      </c>
      <c r="M202" s="335" t="str">
        <f ca="1">VLOOKUP(A202,'2020_ModelLink'!$A$3:$S$332,18,FALSE)</f>
        <v>N/A</v>
      </c>
      <c r="N202" s="335" t="str">
        <f ca="1">VLOOKUP(A202,'2020_ModelLink'!$A$3:$S$332,19,FALSE)</f>
        <v>N/A</v>
      </c>
      <c r="O202" s="721">
        <f ca="1">VLOOKUP($A202,'2016_ModelLink'!$A$3:$S$332,17,FALSE)</f>
        <v>6000837.5956774</v>
      </c>
      <c r="P202" s="721">
        <f ca="1">VLOOKUP($A202,'2017_ModelLink'!$A$3:$S$332,17,FALSE)</f>
        <v>4701231.2561380565</v>
      </c>
      <c r="Q202" s="721">
        <f ca="1">VLOOKUP($A202,'2018_ModelLink'!$A$3:$S$332,17,FALSE)</f>
        <v>908171.25417388184</v>
      </c>
      <c r="R202" s="721">
        <f ca="1">VLOOKUP($A202,'2019_ModelLink'!$A$3:$S$332,17,FALSE)</f>
        <v>210730.83388234445</v>
      </c>
      <c r="S202" s="721">
        <f ca="1">VLOOKUP($A202,'2020_ModelLink'!$A$3:$S$332,17,FALSE)</f>
        <v>985426.07679589977</v>
      </c>
      <c r="T202" s="307">
        <f>VLOOKUP(A202,Targets!$A$1:$J$301,5,FALSE)</f>
        <v>3995986.8255473995</v>
      </c>
      <c r="U202" s="307">
        <f>VLOOKUP(A202,Targets!$A$1:$J$301,5,FALSE)</f>
        <v>3995986.8255473995</v>
      </c>
      <c r="V202" s="307">
        <f>VLOOKUP(A202,Targets!$A$1:$J$301,5,FALSE)</f>
        <v>3995986.8255473995</v>
      </c>
      <c r="W202" s="307">
        <f>VLOOKUP(A202,Targets!$A$1:$J$301,5,FALSE)*3</f>
        <v>11987960.476642199</v>
      </c>
      <c r="X202" s="307">
        <f>VLOOKUP(A202,Targets!$A$1:$J$301,6,FALSE)*2</f>
        <v>7991973.6510947989</v>
      </c>
      <c r="Y202" s="429" t="s">
        <v>294</v>
      </c>
      <c r="Z202" s="544" t="s">
        <v>395</v>
      </c>
      <c r="AA202" s="542"/>
      <c r="AB202" s="21"/>
    </row>
    <row r="203" spans="1:28" ht="225">
      <c r="A203" s="31">
        <v>200</v>
      </c>
      <c r="B203" s="22" t="s">
        <v>39</v>
      </c>
      <c r="C203" s="22" t="s">
        <v>366</v>
      </c>
      <c r="D203" s="22" t="s">
        <v>252</v>
      </c>
      <c r="E203" s="23" t="s">
        <v>42</v>
      </c>
      <c r="F203" s="22" t="s">
        <v>43</v>
      </c>
      <c r="G203" s="22" t="s">
        <v>44</v>
      </c>
      <c r="H203" s="22" t="s">
        <v>30</v>
      </c>
      <c r="I203" s="22" t="s">
        <v>396</v>
      </c>
      <c r="J203" s="22" t="s">
        <v>314</v>
      </c>
      <c r="K203" s="22" t="s">
        <v>394</v>
      </c>
      <c r="L203" s="22">
        <v>2016</v>
      </c>
      <c r="M203" s="335" t="str">
        <f ca="1">VLOOKUP(A203,'2020_ModelLink'!$A$3:$S$332,18,FALSE)</f>
        <v>N/A</v>
      </c>
      <c r="N203" s="335" t="str">
        <f ca="1">VLOOKUP(A203,'2020_ModelLink'!$A$3:$S$332,19,FALSE)</f>
        <v>N/A</v>
      </c>
      <c r="O203" s="721">
        <f ca="1">VLOOKUP($A203,'2016_ModelLink'!$A$3:$S$332,17,FALSE)</f>
        <v>11222.29901293838</v>
      </c>
      <c r="P203" s="721">
        <f ca="1">VLOOKUP($A203,'2017_ModelLink'!$A$3:$S$332,17,FALSE)</f>
        <v>8058.8041723150018</v>
      </c>
      <c r="Q203" s="721">
        <f ca="1">VLOOKUP($A203,'2018_ModelLink'!$A$3:$S$332,17,FALSE)</f>
        <v>14405.767327942591</v>
      </c>
      <c r="R203" s="721">
        <f ca="1">VLOOKUP($A203,'2019_ModelLink'!$A$3:$S$332,17,FALSE)</f>
        <v>7489.1394575259537</v>
      </c>
      <c r="S203" s="721">
        <f ca="1">VLOOKUP($A203,'2020_ModelLink'!$A$3:$S$332,17,FALSE)</f>
        <v>8642.8496945248098</v>
      </c>
      <c r="T203" s="307">
        <f>VLOOKUP(A203,Targets!$A$1:$J$301,5,FALSE)</f>
        <v>2183522.4687020159</v>
      </c>
      <c r="U203" s="307">
        <f>VLOOKUP(A203,Targets!$A$1:$J$301,5,FALSE)</f>
        <v>2183522.4687020159</v>
      </c>
      <c r="V203" s="307">
        <f>VLOOKUP(A203,Targets!$A$1:$J$301,5,FALSE)</f>
        <v>2183522.4687020159</v>
      </c>
      <c r="W203" s="307">
        <f>VLOOKUP(A203,Targets!$A$1:$J$301,5,FALSE)*3</f>
        <v>6550567.4061060473</v>
      </c>
      <c r="X203" s="307">
        <f>VLOOKUP(A203,Targets!$A$1:$J$301,6,FALSE)*2</f>
        <v>4367044.9374040319</v>
      </c>
      <c r="Y203" s="429" t="s">
        <v>48</v>
      </c>
      <c r="Z203" s="429"/>
      <c r="AA203" s="542"/>
      <c r="AB203" s="21"/>
    </row>
    <row r="204" spans="1:28" ht="165">
      <c r="A204" s="31">
        <v>201</v>
      </c>
      <c r="B204" s="22" t="s">
        <v>39</v>
      </c>
      <c r="C204" s="22" t="s">
        <v>366</v>
      </c>
      <c r="D204" s="22" t="s">
        <v>397</v>
      </c>
      <c r="E204" s="23" t="s">
        <v>398</v>
      </c>
      <c r="F204" s="22" t="s">
        <v>399</v>
      </c>
      <c r="G204" s="22" t="s">
        <v>219</v>
      </c>
      <c r="H204" s="22" t="s">
        <v>164</v>
      </c>
      <c r="I204" s="22" t="s">
        <v>400</v>
      </c>
      <c r="J204" s="22" t="s">
        <v>401</v>
      </c>
      <c r="K204" s="22" t="s">
        <v>394</v>
      </c>
      <c r="L204" s="22" t="s">
        <v>167</v>
      </c>
      <c r="M204" s="715" t="str">
        <f>VLOOKUP($A204,'2016_ModelLink'!$A$3:$S$332,17,FALSE)</f>
        <v>N/A - Indicator</v>
      </c>
      <c r="N204" s="715" t="str">
        <f>VLOOKUP($A204,'2016_ModelLink'!$A$3:$S$332,17,FALSE)</f>
        <v>N/A - Indicator</v>
      </c>
      <c r="O204" s="722" t="str">
        <f>VLOOKUP($A204,'2016_ModelLink'!$A$3:$S$332,17,FALSE)</f>
        <v>N/A - Indicator</v>
      </c>
      <c r="P204" s="722" t="str">
        <f>VLOOKUP($A204,'2017_ModelLink'!$A$3:$S$332,17,FALSE)</f>
        <v>N/A - Indicator</v>
      </c>
      <c r="Q204" s="722">
        <f ca="1">VLOOKUP($A204,'2018_ModelLink'!$A$3:$S$332,17,FALSE)</f>
        <v>0</v>
      </c>
      <c r="R204" s="722">
        <f ca="1">VLOOKUP($A204,'2019_ModelLink'!$A$3:$S$332,17,FALSE)</f>
        <v>0</v>
      </c>
      <c r="S204" s="722" t="str">
        <f>VLOOKUP($A204,'2020_ModelLink'!$A$3:$S$332,17,FALSE)</f>
        <v>N/A</v>
      </c>
      <c r="T204" s="715">
        <f>VLOOKUP(A204,Targets!$A$1:$J$301,5,FALSE)</f>
        <v>9436.5060046885974</v>
      </c>
      <c r="U204" s="715">
        <f>VLOOKUP(A204,Targets!$A$1:$J$301,5,FALSE)</f>
        <v>9436.5060046885974</v>
      </c>
      <c r="V204" s="715">
        <f>VLOOKUP(A204,Targets!$A$1:$J$301,5,FALSE)</f>
        <v>9436.5060046885974</v>
      </c>
      <c r="W204" s="715" t="e">
        <f>VLOOKUP(B204,Targets!$A$1:$J$301,5,FALSE)</f>
        <v>#N/A</v>
      </c>
      <c r="X204" s="715" t="e">
        <f>VLOOKUP(C204,Targets!$A$1:$J$301,5,FALSE)</f>
        <v>#N/A</v>
      </c>
      <c r="Y204" s="429"/>
      <c r="Z204" s="429"/>
      <c r="AA204" s="542"/>
      <c r="AB204" s="21"/>
    </row>
    <row r="205" spans="1:28" ht="165">
      <c r="A205" s="31">
        <v>202</v>
      </c>
      <c r="B205" s="22" t="s">
        <v>39</v>
      </c>
      <c r="C205" s="22" t="s">
        <v>366</v>
      </c>
      <c r="D205" s="22" t="s">
        <v>397</v>
      </c>
      <c r="E205" s="23" t="s">
        <v>398</v>
      </c>
      <c r="F205" s="22" t="s">
        <v>402</v>
      </c>
      <c r="G205" s="22" t="s">
        <v>219</v>
      </c>
      <c r="H205" s="22" t="s">
        <v>164</v>
      </c>
      <c r="I205" s="22" t="s">
        <v>400</v>
      </c>
      <c r="J205" s="22" t="s">
        <v>403</v>
      </c>
      <c r="K205" s="22" t="s">
        <v>394</v>
      </c>
      <c r="L205" s="22" t="s">
        <v>167</v>
      </c>
      <c r="M205" s="715" t="str">
        <f>VLOOKUP($A205,'2016_ModelLink'!$A$3:$S$332,17,FALSE)</f>
        <v>N/A - Indicator</v>
      </c>
      <c r="N205" s="715" t="str">
        <f>VLOOKUP($A205,'2016_ModelLink'!$A$3:$S$332,17,FALSE)</f>
        <v>N/A - Indicator</v>
      </c>
      <c r="O205" s="722" t="str">
        <f>VLOOKUP($A205,'2016_ModelLink'!$A$3:$S$332,17,FALSE)</f>
        <v>N/A - Indicator</v>
      </c>
      <c r="P205" s="722" t="str">
        <f>VLOOKUP($A205,'2017_ModelLink'!$A$3:$S$332,17,FALSE)</f>
        <v>N/A - Indicator</v>
      </c>
      <c r="Q205" s="722">
        <f ca="1">VLOOKUP($A205,'2018_ModelLink'!$A$3:$S$332,17,FALSE)</f>
        <v>0</v>
      </c>
      <c r="R205" s="722">
        <f ca="1">VLOOKUP($A205,'2019_ModelLink'!$A$3:$S$332,17,FALSE)</f>
        <v>0</v>
      </c>
      <c r="S205" s="722" t="str">
        <f>VLOOKUP($A205,'2020_ModelLink'!$A$3:$S$332,17,FALSE)</f>
        <v>N/A</v>
      </c>
      <c r="T205" s="715" t="str">
        <f>VLOOKUP(A205,Targets!$A$1:$J$301,5,FALSE)</f>
        <v xml:space="preserve"> N/A - Indicator</v>
      </c>
      <c r="U205" s="715" t="str">
        <f>VLOOKUP(A205,Targets!$A$1:$J$301,5,FALSE)</f>
        <v xml:space="preserve"> N/A - Indicator</v>
      </c>
      <c r="V205" s="715" t="str">
        <f>VLOOKUP(A205,Targets!$A$1:$J$301,5,FALSE)</f>
        <v xml:space="preserve"> N/A - Indicator</v>
      </c>
      <c r="W205" s="715" t="e">
        <f>VLOOKUP(B205,Targets!$A$1:$J$301,5,FALSE)</f>
        <v>#N/A</v>
      </c>
      <c r="X205" s="715" t="e">
        <f>VLOOKUP(C205,Targets!$A$1:$J$301,5,FALSE)</f>
        <v>#N/A</v>
      </c>
      <c r="Y205" s="429"/>
      <c r="Z205" s="429"/>
      <c r="AA205" s="542"/>
      <c r="AB205" s="21"/>
    </row>
    <row r="206" spans="1:28" ht="409.5">
      <c r="A206" s="31">
        <v>203</v>
      </c>
      <c r="B206" s="22" t="s">
        <v>39</v>
      </c>
      <c r="C206" s="22" t="s">
        <v>366</v>
      </c>
      <c r="D206" s="22" t="s">
        <v>397</v>
      </c>
      <c r="E206" s="23" t="s">
        <v>398</v>
      </c>
      <c r="F206" s="22" t="s">
        <v>404</v>
      </c>
      <c r="G206" s="22" t="s">
        <v>219</v>
      </c>
      <c r="H206" s="22" t="s">
        <v>164</v>
      </c>
      <c r="I206" s="22" t="s">
        <v>400</v>
      </c>
      <c r="J206" s="22" t="s">
        <v>405</v>
      </c>
      <c r="K206" s="22" t="s">
        <v>394</v>
      </c>
      <c r="L206" s="22" t="s">
        <v>167</v>
      </c>
      <c r="M206" s="715" t="str">
        <f>VLOOKUP($A206,'2016_ModelLink'!$A$3:$S$332,17,FALSE)</f>
        <v>N/A - Indicator</v>
      </c>
      <c r="N206" s="715" t="str">
        <f>VLOOKUP($A206,'2016_ModelLink'!$A$3:$S$332,17,FALSE)</f>
        <v>N/A - Indicator</v>
      </c>
      <c r="O206" s="722" t="str">
        <f>VLOOKUP($A206,'2016_ModelLink'!$A$3:$S$332,17,FALSE)</f>
        <v>N/A - Indicator</v>
      </c>
      <c r="P206" s="722" t="str">
        <f>VLOOKUP($A206,'2017_ModelLink'!$A$3:$S$332,17,FALSE)</f>
        <v>N/A - Indicator</v>
      </c>
      <c r="Q206" s="722">
        <f ca="1">VLOOKUP($A206,'2018_ModelLink'!$A$3:$S$332,17,FALSE)</f>
        <v>0</v>
      </c>
      <c r="R206" s="722">
        <f ca="1">VLOOKUP($A206,'2019_ModelLink'!$A$3:$S$332,17,FALSE)</f>
        <v>0</v>
      </c>
      <c r="S206" s="722" t="str">
        <f>VLOOKUP($A206,'2020_ModelLink'!$A$3:$S$332,17,FALSE)</f>
        <v>N/A</v>
      </c>
      <c r="T206" s="715" t="str">
        <f>VLOOKUP(A206,Targets!$A$1:$J$301,5,FALSE)</f>
        <v xml:space="preserve"> N/A - Indicator</v>
      </c>
      <c r="U206" s="715" t="str">
        <f>VLOOKUP(A206,Targets!$A$1:$J$301,5,FALSE)</f>
        <v xml:space="preserve"> N/A - Indicator</v>
      </c>
      <c r="V206" s="715" t="str">
        <f>VLOOKUP(A206,Targets!$A$1:$J$301,5,FALSE)</f>
        <v xml:space="preserve"> N/A - Indicator</v>
      </c>
      <c r="W206" s="715" t="e">
        <f>VLOOKUP(B206,Targets!$A$1:$J$301,5,FALSE)</f>
        <v>#N/A</v>
      </c>
      <c r="X206" s="715" t="e">
        <f>VLOOKUP(C206,Targets!$A$1:$J$301,5,FALSE)</f>
        <v>#N/A</v>
      </c>
      <c r="Y206" s="429" t="s">
        <v>406</v>
      </c>
      <c r="Z206" s="429" t="s">
        <v>407</v>
      </c>
      <c r="AA206" s="542"/>
      <c r="AB206" s="21"/>
    </row>
    <row r="207" spans="1:28" ht="165">
      <c r="A207" s="31">
        <v>204</v>
      </c>
      <c r="B207" s="22" t="s">
        <v>39</v>
      </c>
      <c r="C207" s="22" t="s">
        <v>366</v>
      </c>
      <c r="D207" s="22" t="s">
        <v>397</v>
      </c>
      <c r="E207" s="23" t="s">
        <v>234</v>
      </c>
      <c r="F207" s="22" t="s">
        <v>408</v>
      </c>
      <c r="G207" s="22" t="s">
        <v>235</v>
      </c>
      <c r="H207" s="22" t="s">
        <v>164</v>
      </c>
      <c r="I207" s="22" t="s">
        <v>409</v>
      </c>
      <c r="J207" s="22" t="s">
        <v>410</v>
      </c>
      <c r="K207" s="22" t="s">
        <v>394</v>
      </c>
      <c r="L207" s="22" t="s">
        <v>167</v>
      </c>
      <c r="M207" s="335" t="str">
        <f>VLOOKUP(A207,'2020_ModelLink'!$A$3:$S$332,18,FALSE)</f>
        <v>N/A</v>
      </c>
      <c r="N207" s="335" t="str">
        <f>VLOOKUP(A207,'2020_ModelLink'!$A$3:$S$332,19,FALSE)</f>
        <v>N/A</v>
      </c>
      <c r="O207" s="721" t="str">
        <f>VLOOKUP($A207,'2016_ModelLink'!$A$3:$S$332,17,FALSE)</f>
        <v>N/A - Indicator</v>
      </c>
      <c r="P207" s="721" t="str">
        <f>VLOOKUP($A207,'2017_ModelLink'!$A$3:$S$332,17,FALSE)</f>
        <v>N/A - Indicator</v>
      </c>
      <c r="Q207" s="721">
        <f ca="1">VLOOKUP($A207,'2018_ModelLink'!$A$3:$S$332,17,FALSE)</f>
        <v>0</v>
      </c>
      <c r="R207" s="721">
        <f ca="1">VLOOKUP($A207,'2019_ModelLink'!$A$3:$S$332,17,FALSE)</f>
        <v>0</v>
      </c>
      <c r="S207" s="721" t="str">
        <f>VLOOKUP($A207,'2020_ModelLink'!$A$3:$S$332,17,FALSE)</f>
        <v>N/A</v>
      </c>
      <c r="T207" s="307" t="str">
        <f>VLOOKUP(A207,Targets!$A$1:$J$301,5,FALSE)</f>
        <v xml:space="preserve"> N/A - Indicator</v>
      </c>
      <c r="U207" s="307" t="str">
        <f>VLOOKUP(A207,Targets!$A$1:$J$301,5,FALSE)</f>
        <v xml:space="preserve"> N/A - Indicator</v>
      </c>
      <c r="V207" s="307" t="str">
        <f>VLOOKUP(A207,Targets!$A$1:$J$301,5,FALSE)</f>
        <v xml:space="preserve"> N/A - Indicator</v>
      </c>
      <c r="W207" s="307" t="e">
        <f>VLOOKUP(B207,Targets!$A$1:$J$301,5,FALSE)</f>
        <v>#N/A</v>
      </c>
      <c r="X207" s="307" t="e">
        <f>VLOOKUP(C207,Targets!$A$1:$J$301,5,FALSE)</f>
        <v>#N/A</v>
      </c>
      <c r="Y207" s="429"/>
      <c r="Z207" s="429"/>
      <c r="AA207" s="542"/>
      <c r="AB207" s="21"/>
    </row>
    <row r="208" spans="1:28" ht="165">
      <c r="A208" s="31">
        <v>205</v>
      </c>
      <c r="B208" s="22" t="s">
        <v>39</v>
      </c>
      <c r="C208" s="22" t="s">
        <v>366</v>
      </c>
      <c r="D208" s="22" t="s">
        <v>397</v>
      </c>
      <c r="E208" s="23" t="s">
        <v>234</v>
      </c>
      <c r="F208" s="22" t="s">
        <v>411</v>
      </c>
      <c r="G208" s="22" t="s">
        <v>235</v>
      </c>
      <c r="H208" s="22" t="s">
        <v>164</v>
      </c>
      <c r="I208" s="22" t="s">
        <v>409</v>
      </c>
      <c r="J208" s="22" t="s">
        <v>410</v>
      </c>
      <c r="K208" s="22" t="s">
        <v>394</v>
      </c>
      <c r="L208" s="22" t="s">
        <v>167</v>
      </c>
      <c r="M208" s="335" t="str">
        <f>VLOOKUP(A208,'2020_ModelLink'!$A$3:$S$332,18,FALSE)</f>
        <v>N/A</v>
      </c>
      <c r="N208" s="335" t="str">
        <f>VLOOKUP(A208,'2020_ModelLink'!$A$3:$S$332,19,FALSE)</f>
        <v>N/A</v>
      </c>
      <c r="O208" s="721" t="str">
        <f>VLOOKUP($A208,'2016_ModelLink'!$A$3:$S$332,17,FALSE)</f>
        <v>N/A - Indicator</v>
      </c>
      <c r="P208" s="721" t="str">
        <f>VLOOKUP($A208,'2017_ModelLink'!$A$3:$S$332,17,FALSE)</f>
        <v>N/A - Indicator</v>
      </c>
      <c r="Q208" s="721">
        <f ca="1">VLOOKUP($A208,'2018_ModelLink'!$A$3:$S$332,17,FALSE)</f>
        <v>0</v>
      </c>
      <c r="R208" s="721">
        <f ca="1">VLOOKUP($A208,'2019_ModelLink'!$A$3:$S$332,17,FALSE)</f>
        <v>0</v>
      </c>
      <c r="S208" s="721" t="str">
        <f>VLOOKUP($A208,'2020_ModelLink'!$A$3:$S$332,17,FALSE)</f>
        <v>N/A</v>
      </c>
      <c r="T208" s="307" t="str">
        <f>VLOOKUP(A208,Targets!$A$1:$J$301,5,FALSE)</f>
        <v xml:space="preserve"> N/A</v>
      </c>
      <c r="U208" s="307" t="str">
        <f>VLOOKUP(A208,Targets!$A$1:$J$301,5,FALSE)</f>
        <v xml:space="preserve"> N/A</v>
      </c>
      <c r="V208" s="307" t="str">
        <f>VLOOKUP(A208,Targets!$A$1:$J$301,5,FALSE)</f>
        <v xml:space="preserve"> N/A</v>
      </c>
      <c r="W208" s="307" t="e">
        <f>VLOOKUP(B208,Targets!$A$1:$J$301,5,FALSE)</f>
        <v>#N/A</v>
      </c>
      <c r="X208" s="307" t="e">
        <f>VLOOKUP(C208,Targets!$A$1:$J$301,5,FALSE)</f>
        <v>#N/A</v>
      </c>
      <c r="Y208" s="429"/>
      <c r="Z208" s="429"/>
      <c r="AA208" s="542"/>
      <c r="AB208" s="21"/>
    </row>
    <row r="209" spans="1:28" ht="240">
      <c r="A209" s="31">
        <v>206</v>
      </c>
      <c r="B209" s="22" t="s">
        <v>39</v>
      </c>
      <c r="C209" s="22" t="s">
        <v>366</v>
      </c>
      <c r="D209" s="22" t="s">
        <v>397</v>
      </c>
      <c r="E209" s="23" t="s">
        <v>234</v>
      </c>
      <c r="F209" s="22" t="s">
        <v>412</v>
      </c>
      <c r="G209" s="22" t="s">
        <v>235</v>
      </c>
      <c r="H209" s="22" t="s">
        <v>164</v>
      </c>
      <c r="I209" s="22" t="s">
        <v>409</v>
      </c>
      <c r="J209" s="22" t="s">
        <v>413</v>
      </c>
      <c r="K209" s="22" t="s">
        <v>394</v>
      </c>
      <c r="L209" s="22" t="s">
        <v>167</v>
      </c>
      <c r="M209" s="335" t="str">
        <f>VLOOKUP(A209,'2020_ModelLink'!$A$3:$S$332,18,FALSE)</f>
        <v>N/A</v>
      </c>
      <c r="N209" s="335" t="str">
        <f>VLOOKUP(A209,'2020_ModelLink'!$A$3:$S$332,19,FALSE)</f>
        <v>N/A</v>
      </c>
      <c r="O209" s="721" t="str">
        <f>VLOOKUP($A209,'2016_ModelLink'!$A$3:$S$332,17,FALSE)</f>
        <v>N/A - Indicator</v>
      </c>
      <c r="P209" s="721" t="str">
        <f>VLOOKUP($A209,'2017_ModelLink'!$A$3:$S$332,17,FALSE)</f>
        <v>N/A - Indicator</v>
      </c>
      <c r="Q209" s="721">
        <f ca="1">VLOOKUP($A209,'2018_ModelLink'!$A$3:$S$332,17,FALSE)</f>
        <v>0</v>
      </c>
      <c r="R209" s="721">
        <f ca="1">VLOOKUP($A209,'2019_ModelLink'!$A$3:$S$332,17,FALSE)</f>
        <v>0</v>
      </c>
      <c r="S209" s="721" t="str">
        <f>VLOOKUP($A209,'2020_ModelLink'!$A$3:$S$332,17,FALSE)</f>
        <v>N/A</v>
      </c>
      <c r="T209" s="307" t="str">
        <f>VLOOKUP(A209,Targets!$A$1:$J$301,5,FALSE)</f>
        <v xml:space="preserve"> N/A</v>
      </c>
      <c r="U209" s="307" t="str">
        <f>VLOOKUP(A209,Targets!$A$1:$J$301,5,FALSE)</f>
        <v xml:space="preserve"> N/A</v>
      </c>
      <c r="V209" s="307" t="str">
        <f>VLOOKUP(A209,Targets!$A$1:$J$301,5,FALSE)</f>
        <v xml:space="preserve"> N/A</v>
      </c>
      <c r="W209" s="307" t="e">
        <f>VLOOKUP(B209,Targets!$A$1:$J$301,5,FALSE)</f>
        <v>#N/A</v>
      </c>
      <c r="X209" s="307" t="e">
        <f>VLOOKUP(C209,Targets!$A$1:$J$301,5,FALSE)</f>
        <v>#N/A</v>
      </c>
      <c r="Y209" s="429" t="s">
        <v>414</v>
      </c>
      <c r="Z209" s="429"/>
      <c r="AA209" s="542"/>
      <c r="AB209" s="21"/>
    </row>
    <row r="210" spans="1:28" ht="210">
      <c r="A210" s="31">
        <v>207</v>
      </c>
      <c r="B210" s="22" t="s">
        <v>39</v>
      </c>
      <c r="C210" s="22" t="s">
        <v>366</v>
      </c>
      <c r="D210" s="22" t="s">
        <v>397</v>
      </c>
      <c r="E210" s="23" t="s">
        <v>415</v>
      </c>
      <c r="F210" s="22" t="s">
        <v>408</v>
      </c>
      <c r="G210" s="22" t="s">
        <v>416</v>
      </c>
      <c r="H210" s="22" t="s">
        <v>164</v>
      </c>
      <c r="I210" s="22" t="s">
        <v>417</v>
      </c>
      <c r="J210" s="22" t="s">
        <v>418</v>
      </c>
      <c r="K210" s="22" t="s">
        <v>394</v>
      </c>
      <c r="L210" s="22" t="s">
        <v>167</v>
      </c>
      <c r="M210" s="68" t="str">
        <f>VLOOKUP($A210,'2016_ModelLink'!$A$3:$S$332,17,FALSE)</f>
        <v>N/A - Indicator</v>
      </c>
      <c r="N210" s="68" t="str">
        <f>VLOOKUP($A210,'2016_ModelLink'!$A$3:$S$332,17,FALSE)</f>
        <v>N/A - Indicator</v>
      </c>
      <c r="O210" s="721" t="str">
        <f>VLOOKUP($A210,'2016_ModelLink'!$A$3:$S$332,17,FALSE)</f>
        <v>N/A - Indicator</v>
      </c>
      <c r="P210" s="721" t="str">
        <f>VLOOKUP($A210,'2017_ModelLink'!$A$3:$S$332,17,FALSE)</f>
        <v>N/A - Indicator</v>
      </c>
      <c r="Q210" s="721">
        <f ca="1">VLOOKUP($A210,'2018_ModelLink'!$A$3:$S$332,17,FALSE)</f>
        <v>0</v>
      </c>
      <c r="R210" s="721">
        <f ca="1">VLOOKUP($A210,'2019_ModelLink'!$A$3:$S$332,17,FALSE)</f>
        <v>0</v>
      </c>
      <c r="S210" s="721" t="str">
        <f>VLOOKUP($A210,'2020_ModelLink'!$A$3:$S$332,17,FALSE)</f>
        <v>N/A</v>
      </c>
      <c r="T210" s="307" t="str">
        <f>VLOOKUP(A210,Targets!$A$1:$J$301,5,FALSE)</f>
        <v xml:space="preserve"> N/A</v>
      </c>
      <c r="U210" s="307" t="str">
        <f>VLOOKUP(A210,Targets!$A$1:$J$301,5,FALSE)</f>
        <v xml:space="preserve"> N/A</v>
      </c>
      <c r="V210" s="307" t="str">
        <f>VLOOKUP(A210,Targets!$A$1:$J$301,5,FALSE)</f>
        <v xml:space="preserve"> N/A</v>
      </c>
      <c r="W210" s="307" t="e">
        <f>VLOOKUP(B210,Targets!$A$1:$J$301,5,FALSE)</f>
        <v>#N/A</v>
      </c>
      <c r="X210" s="307" t="e">
        <f>VLOOKUP(C210,Targets!$A$1:$J$301,5,FALSE)</f>
        <v>#N/A</v>
      </c>
      <c r="Y210" s="429"/>
      <c r="Z210" s="429"/>
      <c r="AA210" s="542"/>
      <c r="AB210" s="21"/>
    </row>
    <row r="211" spans="1:28" ht="210">
      <c r="A211" s="31">
        <v>208</v>
      </c>
      <c r="B211" s="22" t="s">
        <v>39</v>
      </c>
      <c r="C211" s="22" t="s">
        <v>366</v>
      </c>
      <c r="D211" s="22" t="s">
        <v>397</v>
      </c>
      <c r="E211" s="23" t="s">
        <v>415</v>
      </c>
      <c r="F211" s="22" t="s">
        <v>411</v>
      </c>
      <c r="G211" s="22" t="s">
        <v>416</v>
      </c>
      <c r="H211" s="22" t="s">
        <v>164</v>
      </c>
      <c r="I211" s="22" t="s">
        <v>417</v>
      </c>
      <c r="J211" s="22" t="s">
        <v>419</v>
      </c>
      <c r="K211" s="22" t="s">
        <v>394</v>
      </c>
      <c r="L211" s="22" t="s">
        <v>167</v>
      </c>
      <c r="M211" s="68" t="str">
        <f>VLOOKUP($A211,'2016_ModelLink'!$A$3:$S$332,17,FALSE)</f>
        <v>N/A - Indicator</v>
      </c>
      <c r="N211" s="68" t="str">
        <f>VLOOKUP($A211,'2016_ModelLink'!$A$3:$S$332,17,FALSE)</f>
        <v>N/A - Indicator</v>
      </c>
      <c r="O211" s="721" t="str">
        <f>VLOOKUP($A211,'2016_ModelLink'!$A$3:$S$332,17,FALSE)</f>
        <v>N/A - Indicator</v>
      </c>
      <c r="P211" s="721" t="str">
        <f>VLOOKUP($A211,'2017_ModelLink'!$A$3:$S$332,17,FALSE)</f>
        <v>N/A - Indicator</v>
      </c>
      <c r="Q211" s="721">
        <f ca="1">VLOOKUP($A211,'2018_ModelLink'!$A$3:$S$332,17,FALSE)</f>
        <v>0</v>
      </c>
      <c r="R211" s="721">
        <f ca="1">VLOOKUP($A211,'2019_ModelLink'!$A$3:$S$332,17,FALSE)</f>
        <v>0</v>
      </c>
      <c r="S211" s="721" t="str">
        <f>VLOOKUP($A211,'2020_ModelLink'!$A$3:$S$332,17,FALSE)</f>
        <v>N/A</v>
      </c>
      <c r="T211" s="307" t="str">
        <f>VLOOKUP(A211,Targets!$A$1:$J$301,5,FALSE)</f>
        <v xml:space="preserve"> N/A</v>
      </c>
      <c r="U211" s="307" t="str">
        <f>VLOOKUP(A211,Targets!$A$1:$J$301,5,FALSE)</f>
        <v xml:space="preserve"> N/A</v>
      </c>
      <c r="V211" s="307" t="str">
        <f>VLOOKUP(A211,Targets!$A$1:$J$301,5,FALSE)</f>
        <v xml:space="preserve"> N/A</v>
      </c>
      <c r="W211" s="307" t="e">
        <f>VLOOKUP(B211,Targets!$A$1:$J$301,5,FALSE)</f>
        <v>#N/A</v>
      </c>
      <c r="X211" s="307" t="e">
        <f>VLOOKUP(C211,Targets!$A$1:$J$301,5,FALSE)</f>
        <v>#N/A</v>
      </c>
      <c r="Y211" s="429"/>
      <c r="Z211" s="429"/>
      <c r="AA211" s="542"/>
      <c r="AB211" s="21"/>
    </row>
    <row r="212" spans="1:28" ht="210">
      <c r="A212" s="31">
        <v>209</v>
      </c>
      <c r="B212" s="22" t="s">
        <v>39</v>
      </c>
      <c r="C212" s="22" t="s">
        <v>366</v>
      </c>
      <c r="D212" s="22" t="s">
        <v>397</v>
      </c>
      <c r="E212" s="23" t="s">
        <v>415</v>
      </c>
      <c r="F212" s="22" t="s">
        <v>412</v>
      </c>
      <c r="G212" s="22" t="s">
        <v>416</v>
      </c>
      <c r="H212" s="22" t="s">
        <v>164</v>
      </c>
      <c r="I212" s="22" t="s">
        <v>417</v>
      </c>
      <c r="J212" s="22" t="s">
        <v>420</v>
      </c>
      <c r="K212" s="22" t="s">
        <v>394</v>
      </c>
      <c r="L212" s="22" t="s">
        <v>167</v>
      </c>
      <c r="M212" s="68" t="str">
        <f>VLOOKUP($A212,'2016_ModelLink'!$A$3:$S$332,17,FALSE)</f>
        <v>N/A - Indicator</v>
      </c>
      <c r="N212" s="68" t="str">
        <f>VLOOKUP($A212,'2016_ModelLink'!$A$3:$S$332,17,FALSE)</f>
        <v>N/A - Indicator</v>
      </c>
      <c r="O212" s="721" t="str">
        <f>VLOOKUP($A212,'2016_ModelLink'!$A$3:$S$332,17,FALSE)</f>
        <v>N/A - Indicator</v>
      </c>
      <c r="P212" s="721" t="str">
        <f>VLOOKUP($A212,'2017_ModelLink'!$A$3:$S$332,17,FALSE)</f>
        <v>N/A - Indicator</v>
      </c>
      <c r="Q212" s="721">
        <f ca="1">VLOOKUP($A212,'2018_ModelLink'!$A$3:$S$332,17,FALSE)</f>
        <v>0</v>
      </c>
      <c r="R212" s="721">
        <f ca="1">VLOOKUP($A212,'2019_ModelLink'!$A$3:$S$332,17,FALSE)</f>
        <v>0</v>
      </c>
      <c r="S212" s="721" t="str">
        <f>VLOOKUP($A212,'2020_ModelLink'!$A$3:$S$332,17,FALSE)</f>
        <v>N/A</v>
      </c>
      <c r="T212" s="307" t="str">
        <f>VLOOKUP(A212,Targets!$A$1:$J$301,5,FALSE)</f>
        <v xml:space="preserve"> N/A</v>
      </c>
      <c r="U212" s="307" t="str">
        <f>VLOOKUP(A212,Targets!$A$1:$J$301,5,FALSE)</f>
        <v xml:space="preserve"> N/A</v>
      </c>
      <c r="V212" s="307" t="str">
        <f>VLOOKUP(A212,Targets!$A$1:$J$301,5,FALSE)</f>
        <v xml:space="preserve"> N/A</v>
      </c>
      <c r="W212" s="307" t="e">
        <f>VLOOKUP(B212,Targets!$A$1:$J$301,5,FALSE)</f>
        <v>#N/A</v>
      </c>
      <c r="X212" s="307" t="e">
        <f>VLOOKUP(C212,Targets!$A$1:$J$301,5,FALSE)</f>
        <v>#N/A</v>
      </c>
      <c r="Y212" s="429" t="s">
        <v>421</v>
      </c>
      <c r="Z212" s="429"/>
      <c r="AA212" s="542"/>
      <c r="AB212" s="21"/>
    </row>
    <row r="213" spans="1:28" ht="409.5">
      <c r="A213" s="31">
        <v>210</v>
      </c>
      <c r="B213" s="22" t="s">
        <v>39</v>
      </c>
      <c r="C213" s="22" t="s">
        <v>422</v>
      </c>
      <c r="D213" s="22" t="s">
        <v>153</v>
      </c>
      <c r="E213" s="23" t="s">
        <v>141</v>
      </c>
      <c r="F213" s="22" t="s">
        <v>142</v>
      </c>
      <c r="G213" s="22" t="s">
        <v>143</v>
      </c>
      <c r="H213" s="22" t="s">
        <v>30</v>
      </c>
      <c r="I213" s="22" t="s">
        <v>423</v>
      </c>
      <c r="J213" s="22" t="s">
        <v>424</v>
      </c>
      <c r="K213" s="22" t="s">
        <v>394</v>
      </c>
      <c r="L213" s="22">
        <v>2016</v>
      </c>
      <c r="M213" s="335">
        <f ca="1">VLOOKUP(A213,'2020_ModelLink'!$A$3:$S$332,18,FALSE)</f>
        <v>0</v>
      </c>
      <c r="N213" s="335">
        <f ca="1">VLOOKUP(A213,'2020_ModelLink'!$A$3:$S$332,19,FALSE)</f>
        <v>0</v>
      </c>
      <c r="O213" s="722">
        <f ca="1">VLOOKUP($A213,'2016_ModelLink'!$A$3:$S$332,17,FALSE)</f>
        <v>3.4340854264225909E-2</v>
      </c>
      <c r="P213" s="722">
        <f ca="1">VLOOKUP($A213,'2017_ModelLink'!$A$3:$S$332,17,FALSE)</f>
        <v>2.4270826047422537E-2</v>
      </c>
      <c r="Q213" s="722">
        <f ca="1">VLOOKUP($A213,'2018_ModelLink'!$A$3:$S$332,17,FALSE)</f>
        <v>2.2501747030048917E-2</v>
      </c>
      <c r="R213" s="722">
        <f ca="1">VLOOKUP($A213,'2019_ModelLink'!$A$3:$S$332,17,FALSE)</f>
        <v>1.644697779361121E-2</v>
      </c>
      <c r="S213" s="722">
        <f ca="1">VLOOKUP($A213,'2020_ModelLink'!$A$3:$S$332,17,FALSE)</f>
        <v>1.1600237953599048E-2</v>
      </c>
      <c r="T213" s="715" t="str">
        <f>VLOOKUP(A213,Targets!$A$1:$J$301,5,FALSE)</f>
        <v xml:space="preserve"> N/A</v>
      </c>
      <c r="U213" s="715" t="str">
        <f>VLOOKUP(A213,Targets!$A$1:$J$301,5,FALSE)</f>
        <v xml:space="preserve"> N/A</v>
      </c>
      <c r="V213" s="715" t="str">
        <f>VLOOKUP(A213,Targets!$A$1:$J$301,5,FALSE)</f>
        <v xml:space="preserve"> N/A</v>
      </c>
      <c r="W213" s="715" t="e">
        <f>VLOOKUP(A213,Targets!$A$1:$J$301,5,FALSE)*3</f>
        <v>#VALUE!</v>
      </c>
      <c r="X213" s="715" t="e">
        <f>VLOOKUP(A213,Targets!$A$1:$J$301,6,FALSE)*2</f>
        <v>#VALUE!</v>
      </c>
      <c r="Y213" s="429" t="s">
        <v>425</v>
      </c>
      <c r="Z213" s="429" t="s">
        <v>246</v>
      </c>
      <c r="AA213" s="542"/>
      <c r="AB213" s="21"/>
    </row>
    <row r="214" spans="1:28" ht="285">
      <c r="A214" s="31">
        <v>211</v>
      </c>
      <c r="B214" s="22" t="s">
        <v>39</v>
      </c>
      <c r="C214" s="22" t="s">
        <v>422</v>
      </c>
      <c r="D214" s="22" t="s">
        <v>426</v>
      </c>
      <c r="E214" s="23" t="s">
        <v>252</v>
      </c>
      <c r="F214" s="22" t="s">
        <v>142</v>
      </c>
      <c r="G214" s="22" t="s">
        <v>253</v>
      </c>
      <c r="H214" s="22" t="s">
        <v>164</v>
      </c>
      <c r="I214" s="22" t="s">
        <v>427</v>
      </c>
      <c r="J214" s="22" t="s">
        <v>428</v>
      </c>
      <c r="K214" s="22" t="s">
        <v>394</v>
      </c>
      <c r="L214" s="22" t="s">
        <v>167</v>
      </c>
      <c r="M214" s="335">
        <f ca="1">VLOOKUP(A214,'2020_ModelLink'!$A$3:$S$332,18,FALSE)</f>
        <v>0</v>
      </c>
      <c r="N214" s="335">
        <f ca="1">VLOOKUP(A214,'2020_ModelLink'!$A$3:$S$332,19,FALSE)</f>
        <v>0</v>
      </c>
      <c r="O214" s="722" t="str">
        <f>VLOOKUP($A214,'2016_ModelLink'!$A$3:$S$332,17,FALSE)</f>
        <v>N/A - Indicator</v>
      </c>
      <c r="P214" s="722" t="str">
        <f>VLOOKUP($A214,'2017_ModelLink'!$A$3:$S$332,17,FALSE)</f>
        <v>N/A - Indicator</v>
      </c>
      <c r="Q214" s="722">
        <f ca="1">VLOOKUP($A214,'2018_ModelLink'!$A$3:$S$332,17,FALSE)</f>
        <v>2.2501747030048917E-2</v>
      </c>
      <c r="R214" s="722">
        <f ca="1">VLOOKUP($A214,'2019_ModelLink'!$A$3:$S$332,17,FALSE)</f>
        <v>1.644697779361121E-2</v>
      </c>
      <c r="S214" s="722">
        <f ca="1">VLOOKUP($A214,'2020_ModelLink'!$A$3:$S$332,17,FALSE)</f>
        <v>1.1600237953599048E-2</v>
      </c>
      <c r="T214" s="715">
        <f>VLOOKUP(A214,Targets!$A$1:$J$301,5,FALSE)</f>
        <v>9.3696894941894288E-2</v>
      </c>
      <c r="U214" s="715">
        <f>VLOOKUP(A214,Targets!$A$1:$J$301,5,FALSE)</f>
        <v>9.3696894941894288E-2</v>
      </c>
      <c r="V214" s="715">
        <f>VLOOKUP(A214,Targets!$A$1:$J$301,5,FALSE)</f>
        <v>9.3696894941894288E-2</v>
      </c>
      <c r="W214" s="715">
        <f>VLOOKUP(A214,Targets!$A$1:$J$301,5,FALSE)*3</f>
        <v>0.28109068482568289</v>
      </c>
      <c r="X214" s="715">
        <f>VLOOKUP(A214,Targets!$A$1:$J$301,6,FALSE)*2</f>
        <v>0.18739378988378858</v>
      </c>
      <c r="Y214" s="429" t="s">
        <v>429</v>
      </c>
      <c r="Z214" s="429"/>
      <c r="AA214" s="542"/>
      <c r="AB214" s="21"/>
    </row>
    <row r="215" spans="1:28" ht="409.5">
      <c r="A215" s="31">
        <v>212</v>
      </c>
      <c r="B215" s="22" t="s">
        <v>39</v>
      </c>
      <c r="C215" s="22" t="s">
        <v>422</v>
      </c>
      <c r="D215" s="22" t="s">
        <v>426</v>
      </c>
      <c r="E215" s="23" t="s">
        <v>430</v>
      </c>
      <c r="F215" s="22" t="s">
        <v>142</v>
      </c>
      <c r="G215" s="22" t="s">
        <v>416</v>
      </c>
      <c r="H215" s="22" t="s">
        <v>164</v>
      </c>
      <c r="I215" s="22" t="s">
        <v>431</v>
      </c>
      <c r="J215" s="22" t="s">
        <v>432</v>
      </c>
      <c r="K215" s="22" t="s">
        <v>394</v>
      </c>
      <c r="L215" s="22" t="s">
        <v>167</v>
      </c>
      <c r="M215" s="715" t="str">
        <f>VLOOKUP($A215,'2016_ModelLink'!$A$3:$S$332,17,FALSE)</f>
        <v>N/A - Indicator</v>
      </c>
      <c r="N215" s="715" t="str">
        <f>VLOOKUP($A215,'2016_ModelLink'!$A$3:$S$332,17,FALSE)</f>
        <v>N/A - Indicator</v>
      </c>
      <c r="O215" s="722" t="str">
        <f>VLOOKUP($A215,'2016_ModelLink'!$A$3:$S$332,17,FALSE)</f>
        <v>N/A - Indicator</v>
      </c>
      <c r="P215" s="722" t="str">
        <f>VLOOKUP($A215,'2017_ModelLink'!$A$3:$S$332,17,FALSE)</f>
        <v>N/A - Indicator</v>
      </c>
      <c r="Q215" s="722">
        <f ca="1">VLOOKUP($A215,'2018_ModelLink'!$A$3:$S$332,17,FALSE)</f>
        <v>0</v>
      </c>
      <c r="R215" s="722">
        <f ca="1">VLOOKUP($A215,'2019_ModelLink'!$A$3:$S$332,17,FALSE)</f>
        <v>0</v>
      </c>
      <c r="S215" s="722">
        <f ca="1">VLOOKUP($A215,'2020_ModelLink'!$A$3:$S$332,17,FALSE)</f>
        <v>0</v>
      </c>
      <c r="T215" s="715" t="str">
        <f>VLOOKUP(A215,Targets!$A$1:$J$301,5,FALSE)</f>
        <v xml:space="preserve"> N/A - Indicator</v>
      </c>
      <c r="U215" s="715" t="str">
        <f>VLOOKUP(A215,Targets!$A$1:$J$301,5,FALSE)</f>
        <v xml:space="preserve"> N/A - Indicator</v>
      </c>
      <c r="V215" s="715" t="str">
        <f>VLOOKUP(A215,Targets!$A$1:$J$301,5,FALSE)</f>
        <v xml:space="preserve"> N/A - Indicator</v>
      </c>
      <c r="W215" s="715" t="e">
        <f>VLOOKUP(A215,Targets!$A$1:$J$301,5,FALSE)*3</f>
        <v>#VALUE!</v>
      </c>
      <c r="X215" s="715" t="e">
        <f>VLOOKUP(A215,Targets!$A$1:$J$301,6,FALSE)*2</f>
        <v>#VALUE!</v>
      </c>
      <c r="Y215" s="429" t="s">
        <v>433</v>
      </c>
      <c r="Z215" s="429"/>
      <c r="AA215" s="542"/>
      <c r="AB215" s="21"/>
    </row>
    <row r="216" spans="1:28" ht="135">
      <c r="A216" s="31">
        <v>213</v>
      </c>
      <c r="B216" s="22" t="s">
        <v>39</v>
      </c>
      <c r="C216" s="22" t="s">
        <v>422</v>
      </c>
      <c r="D216" s="22" t="s">
        <v>434</v>
      </c>
      <c r="E216" s="23" t="s">
        <v>91</v>
      </c>
      <c r="F216" s="22" t="s">
        <v>92</v>
      </c>
      <c r="G216" s="22" t="s">
        <v>93</v>
      </c>
      <c r="H216" s="22" t="s">
        <v>30</v>
      </c>
      <c r="I216" s="22" t="s">
        <v>435</v>
      </c>
      <c r="J216" s="22" t="s">
        <v>92</v>
      </c>
      <c r="K216" s="22" t="s">
        <v>394</v>
      </c>
      <c r="L216" s="22">
        <v>2016</v>
      </c>
      <c r="M216" s="335">
        <f ca="1">VLOOKUP(A216,'2020_ModelLink'!$A$3:$S$332,18,FALSE)</f>
        <v>0</v>
      </c>
      <c r="N216" s="335">
        <f ca="1">VLOOKUP(A216,'2020_ModelLink'!$A$3:$S$332,19,FALSE)</f>
        <v>0</v>
      </c>
      <c r="O216" s="721">
        <f ca="1">VLOOKUP($A216,'2016_ModelLink'!$A$3:$S$332,17,FALSE)</f>
        <v>252.79448034943113</v>
      </c>
      <c r="P216" s="721">
        <f ca="1">VLOOKUP($A216,'2017_ModelLink'!$A$3:$S$332,17,FALSE)</f>
        <v>218.18298505594356</v>
      </c>
      <c r="Q216" s="721">
        <f ca="1">VLOOKUP($A216,'2018_ModelLink'!$A$3:$S$332,17,FALSE)</f>
        <v>219.63457345377984</v>
      </c>
      <c r="R216" s="721">
        <f ca="1">VLOOKUP($A216,'2019_ModelLink'!$A$3:$S$332,17,FALSE)</f>
        <v>259.84504371055107</v>
      </c>
      <c r="S216" s="721">
        <f ca="1">VLOOKUP($A216,'2020_ModelLink'!$A$3:$S$332,17,FALSE)</f>
        <v>331.3686375818254</v>
      </c>
      <c r="T216" s="307" t="str">
        <f>VLOOKUP(A216,Targets!$A$1:$J$301,5,FALSE)</f>
        <v xml:space="preserve"> N/A - Indicator</v>
      </c>
      <c r="U216" s="307" t="str">
        <f>VLOOKUP(A216,Targets!$A$1:$J$301,5,FALSE)</f>
        <v xml:space="preserve"> N/A - Indicator</v>
      </c>
      <c r="V216" s="307" t="str">
        <f>VLOOKUP(A216,Targets!$A$1:$J$301,5,FALSE)</f>
        <v xml:space="preserve"> N/A - Indicator</v>
      </c>
      <c r="W216" s="307" t="e">
        <f>VLOOKUP(A216,Targets!$A$1:$J$301,5,FALSE)*3</f>
        <v>#VALUE!</v>
      </c>
      <c r="X216" s="307" t="e">
        <f>VLOOKUP(A216,Targets!$A$1:$J$301,6,FALSE)*2</f>
        <v>#VALUE!</v>
      </c>
      <c r="Y216" s="429"/>
      <c r="Z216" s="429"/>
      <c r="AA216" s="542"/>
      <c r="AB216" s="21"/>
    </row>
    <row r="217" spans="1:28" ht="135">
      <c r="A217" s="31">
        <v>214</v>
      </c>
      <c r="B217" s="22" t="s">
        <v>39</v>
      </c>
      <c r="C217" s="22" t="s">
        <v>422</v>
      </c>
      <c r="D217" s="22" t="s">
        <v>434</v>
      </c>
      <c r="E217" s="23" t="s">
        <v>91</v>
      </c>
      <c r="F217" s="22" t="s">
        <v>95</v>
      </c>
      <c r="G217" s="22" t="s">
        <v>93</v>
      </c>
      <c r="H217" s="22" t="s">
        <v>30</v>
      </c>
      <c r="I217" s="22" t="s">
        <v>435</v>
      </c>
      <c r="J217" s="22" t="s">
        <v>95</v>
      </c>
      <c r="K217" s="22" t="s">
        <v>394</v>
      </c>
      <c r="L217" s="22">
        <v>2016</v>
      </c>
      <c r="M217" s="335">
        <f ca="1">VLOOKUP(A217,'2020_ModelLink'!$A$3:$S$332,18,FALSE)</f>
        <v>0</v>
      </c>
      <c r="N217" s="335">
        <f ca="1">VLOOKUP(A217,'2020_ModelLink'!$A$3:$S$332,19,FALSE)</f>
        <v>0</v>
      </c>
      <c r="O217" s="721">
        <f ca="1">VLOOKUP($A217,'2016_ModelLink'!$A$3:$S$332,17,FALSE)</f>
        <v>6.7807003324595175E-2</v>
      </c>
      <c r="P217" s="721">
        <f ca="1">VLOOKUP($A217,'2017_ModelLink'!$A$3:$S$332,17,FALSE)</f>
        <v>4.1213434891709221E-2</v>
      </c>
      <c r="Q217" s="721">
        <f ca="1">VLOOKUP($A217,'2018_ModelLink'!$A$3:$S$332,17,FALSE)</f>
        <v>3.6981760817995001E-2</v>
      </c>
      <c r="R217" s="721">
        <f ca="1">VLOOKUP($A217,'2019_ModelLink'!$A$3:$S$332,17,FALSE)</f>
        <v>6.1047977558683082E-2</v>
      </c>
      <c r="S217" s="721">
        <f ca="1">VLOOKUP($A217,'2020_ModelLink'!$A$3:$S$332,17,FALSE)</f>
        <v>4.8496070942200147E-2</v>
      </c>
      <c r="T217" s="307">
        <f>VLOOKUP(A217,Targets!$A$1:$J$301,5,FALSE)</f>
        <v>292.93386693769145</v>
      </c>
      <c r="U217" s="307">
        <f>VLOOKUP(A217,Targets!$A$1:$J$301,5,FALSE)</f>
        <v>292.93386693769145</v>
      </c>
      <c r="V217" s="307">
        <f>VLOOKUP(A217,Targets!$A$1:$J$301,5,FALSE)</f>
        <v>292.93386693769145</v>
      </c>
      <c r="W217" s="307">
        <f>VLOOKUP(A217,Targets!$A$1:$J$301,5,FALSE)*3</f>
        <v>878.8016008130744</v>
      </c>
      <c r="X217" s="307">
        <f>VLOOKUP(A217,Targets!$A$1:$J$301,6,FALSE)*2</f>
        <v>585.8677338753829</v>
      </c>
      <c r="Y217" s="429"/>
      <c r="Z217" s="429"/>
      <c r="AA217" s="542"/>
      <c r="AB217" s="21"/>
    </row>
    <row r="218" spans="1:28" ht="135">
      <c r="A218" s="31">
        <v>215</v>
      </c>
      <c r="B218" s="22" t="s">
        <v>39</v>
      </c>
      <c r="C218" s="22" t="s">
        <v>422</v>
      </c>
      <c r="D218" s="22" t="s">
        <v>434</v>
      </c>
      <c r="E218" s="23" t="s">
        <v>91</v>
      </c>
      <c r="F218" s="22" t="s">
        <v>96</v>
      </c>
      <c r="G218" s="22" t="s">
        <v>93</v>
      </c>
      <c r="H218" s="22" t="s">
        <v>30</v>
      </c>
      <c r="I218" s="22" t="s">
        <v>435</v>
      </c>
      <c r="J218" s="22" t="s">
        <v>96</v>
      </c>
      <c r="K218" s="22" t="s">
        <v>394</v>
      </c>
      <c r="L218" s="22">
        <v>2016</v>
      </c>
      <c r="M218" s="335">
        <f ca="1">VLOOKUP(A218,'2020_ModelLink'!$A$3:$S$332,18,FALSE)</f>
        <v>0</v>
      </c>
      <c r="N218" s="335">
        <f ca="1">VLOOKUP(A218,'2020_ModelLink'!$A$3:$S$332,19,FALSE)</f>
        <v>0</v>
      </c>
      <c r="O218" s="721">
        <f ca="1">VLOOKUP($A218,'2016_ModelLink'!$A$3:$S$332,17,FALSE)</f>
        <v>0.47732983132924717</v>
      </c>
      <c r="P218" s="721">
        <f ca="1">VLOOKUP($A218,'2017_ModelLink'!$A$3:$S$332,17,FALSE)</f>
        <v>0.27974754402891922</v>
      </c>
      <c r="Q218" s="721">
        <f ca="1">VLOOKUP($A218,'2018_ModelLink'!$A$3:$S$332,17,FALSE)</f>
        <v>0.41831196269124932</v>
      </c>
      <c r="R218" s="721">
        <f ca="1">VLOOKUP($A218,'2019_ModelLink'!$A$3:$S$332,17,FALSE)</f>
        <v>0.78441307302490493</v>
      </c>
      <c r="S218" s="721">
        <f ca="1">VLOOKUP($A218,'2020_ModelLink'!$A$3:$S$332,17,FALSE)</f>
        <v>0.68124918386781941</v>
      </c>
      <c r="T218" s="307">
        <f>VLOOKUP(A218,Targets!$A$1:$J$301,5,FALSE)</f>
        <v>6.2935963617522572E-2</v>
      </c>
      <c r="U218" s="307">
        <f>VLOOKUP(A218,Targets!$A$1:$J$301,5,FALSE)</f>
        <v>6.2935963617522572E-2</v>
      </c>
      <c r="V218" s="307">
        <f>VLOOKUP(A218,Targets!$A$1:$J$301,5,FALSE)</f>
        <v>6.2935963617522572E-2</v>
      </c>
      <c r="W218" s="307">
        <f>VLOOKUP(A218,Targets!$A$1:$J$301,5,FALSE)*3</f>
        <v>0.18880789085256772</v>
      </c>
      <c r="X218" s="307">
        <f>VLOOKUP(A218,Targets!$A$1:$J$301,6,FALSE)*2</f>
        <v>0.12587192723504514</v>
      </c>
      <c r="Y218" s="429" t="s">
        <v>48</v>
      </c>
      <c r="Z218" s="429" t="s">
        <v>49</v>
      </c>
      <c r="AA218" s="542"/>
      <c r="AB218" s="21"/>
    </row>
    <row r="219" spans="1:28" ht="135">
      <c r="A219" s="31">
        <v>216</v>
      </c>
      <c r="B219" s="22" t="s">
        <v>39</v>
      </c>
      <c r="C219" s="22" t="s">
        <v>422</v>
      </c>
      <c r="D219" s="22" t="s">
        <v>434</v>
      </c>
      <c r="E219" s="23" t="s">
        <v>91</v>
      </c>
      <c r="F219" s="22" t="s">
        <v>97</v>
      </c>
      <c r="G219" s="22" t="s">
        <v>93</v>
      </c>
      <c r="H219" s="22" t="s">
        <v>30</v>
      </c>
      <c r="I219" s="22" t="s">
        <v>435</v>
      </c>
      <c r="J219" s="22" t="s">
        <v>97</v>
      </c>
      <c r="K219" s="22" t="s">
        <v>394</v>
      </c>
      <c r="L219" s="22">
        <v>2016</v>
      </c>
      <c r="M219" s="335">
        <f ca="1">VLOOKUP(A219,'2020_ModelLink'!$A$3:$S$332,18,FALSE)</f>
        <v>0</v>
      </c>
      <c r="N219" s="335">
        <f ca="1">VLOOKUP(A219,'2020_ModelLink'!$A$3:$S$332,19,FALSE)</f>
        <v>0</v>
      </c>
      <c r="O219" s="721">
        <f ca="1">VLOOKUP($A219,'2016_ModelLink'!$A$3:$S$332,17,FALSE)</f>
        <v>511.94720125703424</v>
      </c>
      <c r="P219" s="721">
        <f ca="1">VLOOKUP($A219,'2017_ModelLink'!$A$3:$S$332,17,FALSE)</f>
        <v>611.31127848128483</v>
      </c>
      <c r="Q219" s="721">
        <f ca="1">VLOOKUP($A219,'2018_ModelLink'!$A$3:$S$332,17,FALSE)</f>
        <v>587.01052905849212</v>
      </c>
      <c r="R219" s="721">
        <f ca="1">VLOOKUP($A219,'2019_ModelLink'!$A$3:$S$332,17,FALSE)</f>
        <v>393.1078073186211</v>
      </c>
      <c r="S219" s="721">
        <f ca="1">VLOOKUP($A219,'2020_ModelLink'!$A$3:$S$332,17,FALSE)</f>
        <v>472.99893304018002</v>
      </c>
      <c r="T219" s="307">
        <f>VLOOKUP(A219,Targets!$A$1:$J$301,5,FALSE)</f>
        <v>0.46665993497270547</v>
      </c>
      <c r="U219" s="307">
        <f>VLOOKUP(A219,Targets!$A$1:$J$301,5,FALSE)</f>
        <v>0.46665993497270547</v>
      </c>
      <c r="V219" s="307">
        <f>VLOOKUP(A219,Targets!$A$1:$J$301,5,FALSE)</f>
        <v>0.46665993497270547</v>
      </c>
      <c r="W219" s="307">
        <f>VLOOKUP(A219,Targets!$A$1:$J$301,5,FALSE)*3</f>
        <v>1.3999798049181165</v>
      </c>
      <c r="X219" s="307">
        <f>VLOOKUP(A219,Targets!$A$1:$J$301,6,FALSE)*2</f>
        <v>0.93331986994541094</v>
      </c>
      <c r="Y219" s="429"/>
      <c r="Z219" s="429"/>
      <c r="AA219" s="542"/>
      <c r="AB219" s="21"/>
    </row>
    <row r="220" spans="1:28" ht="135">
      <c r="A220" s="31">
        <v>217</v>
      </c>
      <c r="B220" s="22" t="s">
        <v>39</v>
      </c>
      <c r="C220" s="22" t="s">
        <v>422</v>
      </c>
      <c r="D220" s="22" t="s">
        <v>434</v>
      </c>
      <c r="E220" s="23" t="s">
        <v>91</v>
      </c>
      <c r="F220" s="22" t="s">
        <v>98</v>
      </c>
      <c r="G220" s="22" t="s">
        <v>93</v>
      </c>
      <c r="H220" s="22" t="s">
        <v>30</v>
      </c>
      <c r="I220" s="22" t="s">
        <v>435</v>
      </c>
      <c r="J220" s="22" t="s">
        <v>98</v>
      </c>
      <c r="K220" s="22" t="s">
        <v>394</v>
      </c>
      <c r="L220" s="22">
        <v>2016</v>
      </c>
      <c r="M220" s="335">
        <f ca="1">VLOOKUP(A220,'2020_ModelLink'!$A$3:$S$332,18,FALSE)</f>
        <v>0</v>
      </c>
      <c r="N220" s="335">
        <f ca="1">VLOOKUP(A220,'2020_ModelLink'!$A$3:$S$332,19,FALSE)</f>
        <v>0</v>
      </c>
      <c r="O220" s="721">
        <f ca="1">VLOOKUP($A220,'2016_ModelLink'!$A$3:$S$332,17,FALSE)</f>
        <v>0.1373194760014903</v>
      </c>
      <c r="P220" s="721">
        <f ca="1">VLOOKUP($A220,'2017_ModelLink'!$A$3:$S$332,17,FALSE)</f>
        <v>0.11547297131257045</v>
      </c>
      <c r="Q220" s="721">
        <f ca="1">VLOOKUP($A220,'2018_ModelLink'!$A$3:$S$332,17,FALSE)</f>
        <v>9.8840007936429303E-2</v>
      </c>
      <c r="R220" s="721">
        <f ca="1">VLOOKUP($A220,'2019_ModelLink'!$A$3:$S$332,17,FALSE)</f>
        <v>9.2356722516758291E-2</v>
      </c>
      <c r="S220" s="721">
        <f ca="1">VLOOKUP($A220,'2020_ModelLink'!$A$3:$S$332,17,FALSE)</f>
        <v>6.9223780438899513E-2</v>
      </c>
      <c r="T220" s="307">
        <f>VLOOKUP(A220,Targets!$A$1:$J$301,5,FALSE)</f>
        <v>409.87968010410589</v>
      </c>
      <c r="U220" s="307">
        <f>VLOOKUP(A220,Targets!$A$1:$J$301,5,FALSE)</f>
        <v>409.87968010410589</v>
      </c>
      <c r="V220" s="307">
        <f>VLOOKUP(A220,Targets!$A$1:$J$301,5,FALSE)</f>
        <v>409.87968010410589</v>
      </c>
      <c r="W220" s="307">
        <f>VLOOKUP(A220,Targets!$A$1:$J$301,5,FALSE)*3</f>
        <v>1229.6390403123178</v>
      </c>
      <c r="X220" s="307">
        <f>VLOOKUP(A220,Targets!$A$1:$J$301,6,FALSE)*2</f>
        <v>819.75936020821177</v>
      </c>
      <c r="Y220" s="429"/>
      <c r="Z220" s="429"/>
      <c r="AA220" s="542"/>
      <c r="AB220" s="21"/>
    </row>
    <row r="221" spans="1:28" ht="135">
      <c r="A221" s="31">
        <v>218</v>
      </c>
      <c r="B221" s="22" t="s">
        <v>39</v>
      </c>
      <c r="C221" s="22" t="s">
        <v>422</v>
      </c>
      <c r="D221" s="22" t="s">
        <v>434</v>
      </c>
      <c r="E221" s="23" t="s">
        <v>91</v>
      </c>
      <c r="F221" s="22" t="s">
        <v>99</v>
      </c>
      <c r="G221" s="22" t="s">
        <v>93</v>
      </c>
      <c r="H221" s="22" t="s">
        <v>30</v>
      </c>
      <c r="I221" s="22" t="s">
        <v>435</v>
      </c>
      <c r="J221" s="22" t="s">
        <v>99</v>
      </c>
      <c r="K221" s="22" t="s">
        <v>394</v>
      </c>
      <c r="L221" s="22">
        <v>2016</v>
      </c>
      <c r="M221" s="335">
        <f ca="1">VLOOKUP(A221,'2020_ModelLink'!$A$3:$S$332,18,FALSE)</f>
        <v>0</v>
      </c>
      <c r="N221" s="335">
        <f ca="1">VLOOKUP(A221,'2020_ModelLink'!$A$3:$S$332,19,FALSE)</f>
        <v>0</v>
      </c>
      <c r="O221" s="721">
        <f ca="1">VLOOKUP($A221,'2016_ModelLink'!$A$3:$S$332,17,FALSE)</f>
        <v>0.96666537531878627</v>
      </c>
      <c r="P221" s="721">
        <f ca="1">VLOOKUP($A221,'2017_ModelLink'!$A$3:$S$332,17,FALSE)</f>
        <v>0.78380460670876462</v>
      </c>
      <c r="Q221" s="721">
        <f ca="1">VLOOKUP($A221,'2018_ModelLink'!$A$3:$S$332,17,FALSE)</f>
        <v>1.0248836267359509</v>
      </c>
      <c r="R221" s="721">
        <f ca="1">VLOOKUP($A221,'2019_ModelLink'!$A$3:$S$332,17,FALSE)</f>
        <v>1.18670303949446</v>
      </c>
      <c r="S221" s="721">
        <f ca="1">VLOOKUP($A221,'2020_ModelLink'!$A$3:$S$332,17,FALSE)</f>
        <v>0.9724219511401504</v>
      </c>
      <c r="T221" s="307">
        <f>VLOOKUP(A221,Targets!$A$1:$J$301,5,FALSE)</f>
        <v>8.8061421181050301E-2</v>
      </c>
      <c r="U221" s="307">
        <f>VLOOKUP(A221,Targets!$A$1:$J$301,5,FALSE)</f>
        <v>8.8061421181050301E-2</v>
      </c>
      <c r="V221" s="307">
        <f>VLOOKUP(A221,Targets!$A$1:$J$301,5,FALSE)</f>
        <v>8.8061421181050301E-2</v>
      </c>
      <c r="W221" s="307">
        <f>VLOOKUP(A221,Targets!$A$1:$J$301,5,FALSE)*3</f>
        <v>0.26418426354315089</v>
      </c>
      <c r="X221" s="307">
        <f>VLOOKUP(A221,Targets!$A$1:$J$301,6,FALSE)*2</f>
        <v>0.1761228423621006</v>
      </c>
      <c r="Y221" s="429" t="s">
        <v>48</v>
      </c>
      <c r="Z221" s="429" t="s">
        <v>49</v>
      </c>
      <c r="AA221" s="542"/>
      <c r="AB221" s="21"/>
    </row>
    <row r="222" spans="1:28" ht="195">
      <c r="A222" s="31">
        <v>219</v>
      </c>
      <c r="B222" s="22" t="s">
        <v>39</v>
      </c>
      <c r="C222" s="22" t="s">
        <v>422</v>
      </c>
      <c r="D222" s="22" t="s">
        <v>436</v>
      </c>
      <c r="E222" s="23" t="s">
        <v>437</v>
      </c>
      <c r="F222" s="22" t="s">
        <v>438</v>
      </c>
      <c r="G222" s="22" t="s">
        <v>439</v>
      </c>
      <c r="H222" s="22" t="s">
        <v>164</v>
      </c>
      <c r="I222" s="22" t="s">
        <v>440</v>
      </c>
      <c r="J222" s="22" t="s">
        <v>441</v>
      </c>
      <c r="K222" s="22" t="s">
        <v>394</v>
      </c>
      <c r="L222" s="22" t="s">
        <v>167</v>
      </c>
      <c r="M222" s="68" t="str">
        <f>VLOOKUP($A222,'2016_ModelLink'!$A$3:$S$332,17,FALSE)</f>
        <v>N/A - Indicator</v>
      </c>
      <c r="N222" s="68" t="str">
        <f>VLOOKUP($A222,'2016_ModelLink'!$A$3:$S$332,17,FALSE)</f>
        <v>N/A - Indicator</v>
      </c>
      <c r="O222" s="721" t="str">
        <f>VLOOKUP($A222,'2016_ModelLink'!$A$3:$S$332,17,FALSE)</f>
        <v>N/A - Indicator</v>
      </c>
      <c r="P222" s="721" t="str">
        <f>VLOOKUP($A222,'2017_ModelLink'!$A$3:$S$332,17,FALSE)</f>
        <v>N/A - Indicator</v>
      </c>
      <c r="Q222" s="721">
        <f ca="1">VLOOKUP($A222,'2018_ModelLink'!$A$3:$S$332,17,FALSE)</f>
        <v>0</v>
      </c>
      <c r="R222" s="721">
        <f ca="1">VLOOKUP($A222,'2019_ModelLink'!$A$3:$S$332,17,FALSE)</f>
        <v>0</v>
      </c>
      <c r="S222" s="721" t="str">
        <f>VLOOKUP($A222,'2020_ModelLink'!$A$3:$S$332,17,FALSE)</f>
        <v>N/A</v>
      </c>
      <c r="T222" s="307">
        <f>VLOOKUP(A222,Targets!$A$1:$J$301,5,FALSE)</f>
        <v>0.65296111666289658</v>
      </c>
      <c r="U222" s="307">
        <f>VLOOKUP(A222,Targets!$A$1:$J$301,5,FALSE)</f>
        <v>0.65296111666289658</v>
      </c>
      <c r="V222" s="307">
        <f>VLOOKUP(A222,Targets!$A$1:$J$301,5,FALSE)</f>
        <v>0.65296111666289658</v>
      </c>
      <c r="W222" s="307" t="e">
        <f>VLOOKUP(B222,Targets!$A$1:$J$301,5,FALSE)</f>
        <v>#N/A</v>
      </c>
      <c r="X222" s="307" t="e">
        <f>VLOOKUP(C222,Targets!$A$1:$J$301,5,FALSE)</f>
        <v>#N/A</v>
      </c>
      <c r="Y222" s="429" t="s">
        <v>442</v>
      </c>
      <c r="Z222" s="429" t="s">
        <v>443</v>
      </c>
      <c r="AA222" s="542"/>
      <c r="AB222" s="21"/>
    </row>
    <row r="223" spans="1:28" ht="105">
      <c r="A223" s="31">
        <v>220</v>
      </c>
      <c r="B223" s="22" t="s">
        <v>39</v>
      </c>
      <c r="C223" s="22" t="s">
        <v>422</v>
      </c>
      <c r="D223" s="22" t="s">
        <v>444</v>
      </c>
      <c r="E223" s="23" t="s">
        <v>445</v>
      </c>
      <c r="F223" s="22" t="s">
        <v>142</v>
      </c>
      <c r="G223" s="22" t="s">
        <v>446</v>
      </c>
      <c r="H223" s="22" t="s">
        <v>30</v>
      </c>
      <c r="I223" s="22" t="s">
        <v>447</v>
      </c>
      <c r="J223" s="22" t="s">
        <v>448</v>
      </c>
      <c r="K223" s="22" t="s">
        <v>394</v>
      </c>
      <c r="L223" s="22">
        <v>2016</v>
      </c>
      <c r="M223" s="335">
        <f ca="1">VLOOKUP(A223,'2020_ModelLink'!$A$3:$S$332,18,FALSE)</f>
        <v>0</v>
      </c>
      <c r="N223" s="335">
        <f ca="1">VLOOKUP(A223,'2020_ModelLink'!$A$3:$S$332,19,FALSE)</f>
        <v>0</v>
      </c>
      <c r="O223" s="722">
        <f ca="1">VLOOKUP($A223,'2016_ModelLink'!$A$3:$S$332,17,FALSE)</f>
        <v>1.4687100893997445E-2</v>
      </c>
      <c r="P223" s="722">
        <f ca="1">VLOOKUP($A223,'2017_ModelLink'!$A$3:$S$332,17,FALSE)</f>
        <v>1.4758340910680562E-2</v>
      </c>
      <c r="Q223" s="722">
        <f ca="1">VLOOKUP($A223,'2018_ModelLink'!$A$3:$S$332,17,FALSE)</f>
        <v>1.4744933612858141E-2</v>
      </c>
      <c r="R223" s="722">
        <f ca="1">VLOOKUP($A223,'2019_ModelLink'!$A$3:$S$332,17,FALSE)</f>
        <v>0.21392946205913788</v>
      </c>
      <c r="S223" s="722">
        <f ca="1">VLOOKUP($A223,'2020_ModelLink'!$A$3:$S$332,17,FALSE)</f>
        <v>4.164187983343248E-4</v>
      </c>
      <c r="T223" s="715" t="str">
        <f>VLOOKUP(A223,Targets!$A$1:$J$301,5,FALSE)</f>
        <v xml:space="preserve"> N/A</v>
      </c>
      <c r="U223" s="715" t="str">
        <f>VLOOKUP(A223,Targets!$A$1:$J$301,5,FALSE)</f>
        <v xml:space="preserve"> N/A</v>
      </c>
      <c r="V223" s="715" t="str">
        <f>VLOOKUP(A223,Targets!$A$1:$J$301,5,FALSE)</f>
        <v xml:space="preserve"> N/A</v>
      </c>
      <c r="W223" s="715" t="e">
        <f>VLOOKUP(A223,Targets!$A$1:$J$301,5,FALSE)*3</f>
        <v>#VALUE!</v>
      </c>
      <c r="X223" s="715" t="e">
        <f>VLOOKUP(A223,Targets!$A$1:$J$301,6,FALSE)*2</f>
        <v>#VALUE!</v>
      </c>
      <c r="Z223" s="429" t="s">
        <v>449</v>
      </c>
      <c r="AA223" s="542"/>
      <c r="AB223" s="21"/>
    </row>
    <row r="224" spans="1:28" ht="195">
      <c r="A224" s="31">
        <v>221</v>
      </c>
      <c r="B224" s="22" t="s">
        <v>39</v>
      </c>
      <c r="C224" s="22" t="s">
        <v>422</v>
      </c>
      <c r="D224" s="22" t="s">
        <v>444</v>
      </c>
      <c r="E224" s="23" t="s">
        <v>450</v>
      </c>
      <c r="F224" s="22" t="s">
        <v>451</v>
      </c>
      <c r="G224" s="22" t="s">
        <v>452</v>
      </c>
      <c r="H224" s="22" t="s">
        <v>30</v>
      </c>
      <c r="I224" s="22" t="s">
        <v>453</v>
      </c>
      <c r="J224" s="22" t="s">
        <v>454</v>
      </c>
      <c r="K224" s="22" t="s">
        <v>394</v>
      </c>
      <c r="L224" s="22">
        <v>2016</v>
      </c>
      <c r="M224" s="335">
        <f ca="1">VLOOKUP(A224,'2020_ModelLink'!$A$3:$S$332,18,FALSE)</f>
        <v>0</v>
      </c>
      <c r="N224" s="335">
        <f ca="1">VLOOKUP(A224,'2020_ModelLink'!$A$3:$S$332,19,FALSE)</f>
        <v>0</v>
      </c>
      <c r="O224" s="721">
        <f ca="1">VLOOKUP($A224,'2016_ModelLink'!$A$3:$S$332,17,FALSE)</f>
        <v>25.492516880921073</v>
      </c>
      <c r="P224" s="721">
        <f ca="1">VLOOKUP($A224,'2017_ModelLink'!$A$3:$S$332,17,FALSE)</f>
        <v>24.237238356781308</v>
      </c>
      <c r="Q224" s="721">
        <f ca="1">VLOOKUP($A224,'2018_ModelLink'!$A$3:$S$332,17,FALSE)</f>
        <v>20.415816246080006</v>
      </c>
      <c r="R224" s="721">
        <f ca="1">VLOOKUP($A224,'2019_ModelLink'!$A$3:$S$332,17,FALSE)</f>
        <v>44.01682570672628</v>
      </c>
      <c r="S224" s="721">
        <f ca="1">VLOOKUP($A224,'2020_ModelLink'!$A$3:$S$332,17,FALSE)</f>
        <v>42.078878154197973</v>
      </c>
      <c r="T224" s="307">
        <f>VLOOKUP(A224,Targets!$A$1:$J$301,5,FALSE)</f>
        <v>1.4186644883065102E-2</v>
      </c>
      <c r="U224" s="307">
        <f>VLOOKUP(A224,Targets!$A$1:$J$301,5,FALSE)</f>
        <v>1.4186644883065102E-2</v>
      </c>
      <c r="V224" s="307">
        <f>VLOOKUP(A224,Targets!$A$1:$J$301,5,FALSE)</f>
        <v>1.4186644883065102E-2</v>
      </c>
      <c r="W224" s="307">
        <f>VLOOKUP(A224,Targets!$A$1:$J$301,5,FALSE)*3</f>
        <v>4.2559934649195302E-2</v>
      </c>
      <c r="X224" s="307">
        <f>VLOOKUP(A224,Targets!$A$1:$J$301,6,FALSE)*2</f>
        <v>2.8373289766130204E-2</v>
      </c>
      <c r="Y224" s="429" t="s">
        <v>455</v>
      </c>
      <c r="Z224" s="429"/>
      <c r="AA224" s="542"/>
      <c r="AB224" s="21"/>
    </row>
    <row r="225" spans="1:28" ht="270">
      <c r="A225" s="31">
        <v>222</v>
      </c>
      <c r="B225" s="22" t="s">
        <v>39</v>
      </c>
      <c r="C225" s="22" t="s">
        <v>422</v>
      </c>
      <c r="D225" s="22" t="s">
        <v>456</v>
      </c>
      <c r="E225" s="23" t="s">
        <v>457</v>
      </c>
      <c r="F225" s="22" t="s">
        <v>142</v>
      </c>
      <c r="G225" s="22" t="s">
        <v>458</v>
      </c>
      <c r="H225" s="22" t="s">
        <v>164</v>
      </c>
      <c r="I225" s="22" t="s">
        <v>459</v>
      </c>
      <c r="J225" s="22" t="s">
        <v>460</v>
      </c>
      <c r="K225" s="22" t="s">
        <v>394</v>
      </c>
      <c r="L225" s="22" t="s">
        <v>167</v>
      </c>
      <c r="M225" s="335">
        <f ca="1">VLOOKUP(A225,'2020_ModelLink'!$A$3:$S$332,18,FALSE)</f>
        <v>0</v>
      </c>
      <c r="N225" s="335">
        <f ca="1">VLOOKUP(A225,'2020_ModelLink'!$A$3:$S$332,19,FALSE)</f>
        <v>0</v>
      </c>
      <c r="O225" s="722" t="str">
        <f>VLOOKUP($A225,'2016_ModelLink'!$A$3:$S$332,17,FALSE)</f>
        <v>N/A - Indicator</v>
      </c>
      <c r="P225" s="722" t="str">
        <f>VLOOKUP($A225,'2017_ModelLink'!$A$3:$S$332,17,FALSE)</f>
        <v>N/A - Indicator</v>
      </c>
      <c r="Q225" s="722">
        <f ca="1">VLOOKUP($A225,'2018_ModelLink'!$A$3:$S$332,17,FALSE)</f>
        <v>6.1315466311120261E-2</v>
      </c>
      <c r="R225" s="722">
        <f ca="1">VLOOKUP($A225,'2019_ModelLink'!$A$3:$S$332,17,FALSE)</f>
        <v>0.21392946205913788</v>
      </c>
      <c r="S225" s="722">
        <f ca="1">VLOOKUP($A225,'2020_ModelLink'!$A$3:$S$332,17,FALSE)</f>
        <v>4.164187983343248E-4</v>
      </c>
      <c r="T225" s="715">
        <f>VLOOKUP(A225,Targets!$A$1:$J$301,5,FALSE)</f>
        <v>51924.088203341635</v>
      </c>
      <c r="U225" s="715">
        <f>VLOOKUP(A225,Targets!$A$1:$J$301,5,FALSE)</f>
        <v>51924.088203341635</v>
      </c>
      <c r="V225" s="715">
        <f>VLOOKUP(A225,Targets!$A$1:$J$301,5,FALSE)</f>
        <v>51924.088203341635</v>
      </c>
      <c r="W225" s="715">
        <f>VLOOKUP(A225,Targets!$A$1:$J$301,5,FALSE)*3</f>
        <v>155772.2646100249</v>
      </c>
      <c r="X225" s="715">
        <f>VLOOKUP(A225,Targets!$A$1:$J$301,6,FALSE)*2</f>
        <v>103848.17640668327</v>
      </c>
      <c r="Y225" s="429" t="s">
        <v>461</v>
      </c>
      <c r="Z225" s="429"/>
      <c r="AA225" s="542"/>
      <c r="AB225" s="21"/>
    </row>
    <row r="226" spans="1:28" ht="210">
      <c r="A226" s="31">
        <v>223</v>
      </c>
      <c r="B226" s="22" t="s">
        <v>39</v>
      </c>
      <c r="C226" s="22" t="s">
        <v>462</v>
      </c>
      <c r="D226" s="22" t="s">
        <v>463</v>
      </c>
      <c r="E226" s="23" t="s">
        <v>51</v>
      </c>
      <c r="F226" s="22" t="s">
        <v>52</v>
      </c>
      <c r="G226" s="22" t="s">
        <v>53</v>
      </c>
      <c r="H226" s="22" t="s">
        <v>30</v>
      </c>
      <c r="I226" s="22" t="s">
        <v>464</v>
      </c>
      <c r="J226" s="22" t="s">
        <v>52</v>
      </c>
      <c r="K226" s="22" t="s">
        <v>465</v>
      </c>
      <c r="L226" s="22">
        <v>2016</v>
      </c>
      <c r="M226" s="335" t="str">
        <f ca="1">VLOOKUP(A226,'2020_ModelLink'!$A$3:$S$332,18,FALSE)</f>
        <v>N/A</v>
      </c>
      <c r="N226" s="335" t="str">
        <f ca="1">VLOOKUP(A226,'2020_ModelLink'!$A$3:$S$332,19,FALSE)</f>
        <v>N/A</v>
      </c>
      <c r="O226" s="721">
        <f ca="1">VLOOKUP($A226,'2016_ModelLink'!$A$3:$S$332,17,FALSE)</f>
        <v>646.382896032644</v>
      </c>
      <c r="P226" s="721">
        <f ca="1">VLOOKUP($A226,'2017_ModelLink'!$A$3:$S$332,17,FALSE)</f>
        <v>47.503317920000001</v>
      </c>
      <c r="Q226" s="721">
        <f ca="1">VLOOKUP($A226,'2018_ModelLink'!$A$3:$S$332,17,FALSE)</f>
        <v>302.2910458942402</v>
      </c>
      <c r="R226" s="721">
        <f ca="1">VLOOKUP($A226,'2019_ModelLink'!$A$3:$S$332,17,FALSE)</f>
        <v>248.094280785423</v>
      </c>
      <c r="S226" s="721">
        <f ca="1">VLOOKUP($A226,'2020_ModelLink'!$A$3:$S$332,17,FALSE)</f>
        <v>1372.1801163610985</v>
      </c>
      <c r="T226" s="307" t="str">
        <f>VLOOKUP(A226,Targets!$A$1:$J$301,5,FALSE)</f>
        <v xml:space="preserve"> N/A - Indicator</v>
      </c>
      <c r="U226" s="307" t="str">
        <f>VLOOKUP(A226,Targets!$A$1:$J$301,5,FALSE)</f>
        <v xml:space="preserve"> N/A - Indicator</v>
      </c>
      <c r="V226" s="307" t="str">
        <f>VLOOKUP(A226,Targets!$A$1:$J$301,5,FALSE)</f>
        <v xml:space="preserve"> N/A - Indicator</v>
      </c>
      <c r="W226" s="307" t="e">
        <f>VLOOKUP(A226,Targets!$A$1:$J$301,5,FALSE)*3</f>
        <v>#VALUE!</v>
      </c>
      <c r="X226" s="307" t="e">
        <f>VLOOKUP(A226,Targets!$A$1:$J$301,6,FALSE)*2</f>
        <v>#VALUE!</v>
      </c>
      <c r="Y226" s="429"/>
      <c r="Z226" s="429"/>
      <c r="AA226" s="542"/>
      <c r="AB226" s="21"/>
    </row>
    <row r="227" spans="1:28" ht="210">
      <c r="A227" s="31">
        <v>224</v>
      </c>
      <c r="B227" s="22" t="s">
        <v>39</v>
      </c>
      <c r="C227" s="22" t="s">
        <v>462</v>
      </c>
      <c r="D227" s="22" t="s">
        <v>463</v>
      </c>
      <c r="E227" s="23" t="s">
        <v>51</v>
      </c>
      <c r="F227" s="22" t="s">
        <v>55</v>
      </c>
      <c r="G227" s="22" t="s">
        <v>53</v>
      </c>
      <c r="H227" s="22" t="s">
        <v>30</v>
      </c>
      <c r="I227" s="22" t="s">
        <v>464</v>
      </c>
      <c r="J227" s="22" t="s">
        <v>55</v>
      </c>
      <c r="K227" s="22" t="s">
        <v>465</v>
      </c>
      <c r="L227" s="22">
        <v>2016</v>
      </c>
      <c r="M227" s="335" t="str">
        <f ca="1">VLOOKUP(A227,'2020_ModelLink'!$A$3:$S$332,18,FALSE)</f>
        <v>N/A</v>
      </c>
      <c r="N227" s="335" t="str">
        <f ca="1">VLOOKUP(A227,'2020_ModelLink'!$A$3:$S$332,19,FALSE)</f>
        <v>N/A</v>
      </c>
      <c r="O227" s="721">
        <f ca="1">VLOOKUP($A227,'2016_ModelLink'!$A$3:$S$332,17,FALSE)</f>
        <v>420.14889831378099</v>
      </c>
      <c r="P227" s="721">
        <f ca="1">VLOOKUP($A227,'2017_ModelLink'!$A$3:$S$332,17,FALSE)</f>
        <v>35.609316123607819</v>
      </c>
      <c r="Q227" s="721">
        <f ca="1">VLOOKUP($A227,'2018_ModelLink'!$A$3:$S$332,17,FALSE)</f>
        <v>212.64288722449444</v>
      </c>
      <c r="R227" s="721">
        <f ca="1">VLOOKUP($A227,'2019_ModelLink'!$A$3:$S$332,17,FALSE)</f>
        <v>175.97140330581982</v>
      </c>
      <c r="S227" s="721">
        <f ca="1">VLOOKUP($A227,'2020_ModelLink'!$A$3:$S$332,17,FALSE)</f>
        <v>987.68045846797577</v>
      </c>
      <c r="T227" s="307">
        <f>VLOOKUP(A227,Targets!$A$1:$J$301,5,FALSE)</f>
        <v>676.02408997536736</v>
      </c>
      <c r="U227" s="307">
        <f>VLOOKUP(A227,Targets!$A$1:$J$301,5,FALSE)</f>
        <v>676.02408997536736</v>
      </c>
      <c r="V227" s="307">
        <f>VLOOKUP(A227,Targets!$A$1:$J$301,5,FALSE)</f>
        <v>676.02408997536736</v>
      </c>
      <c r="W227" s="307">
        <f>VLOOKUP(A227,Targets!$A$1:$J$301,5,FALSE)*3</f>
        <v>2028.0722699261021</v>
      </c>
      <c r="X227" s="307">
        <f>VLOOKUP(A227,Targets!$A$1:$J$301,6,FALSE)*2</f>
        <v>1352.0481799507347</v>
      </c>
      <c r="Y227" s="429"/>
      <c r="Z227" s="429"/>
      <c r="AA227" s="542"/>
      <c r="AB227" s="21"/>
    </row>
    <row r="228" spans="1:28" ht="210">
      <c r="A228" s="31">
        <v>225</v>
      </c>
      <c r="B228" s="22" t="s">
        <v>39</v>
      </c>
      <c r="C228" s="22" t="s">
        <v>462</v>
      </c>
      <c r="D228" s="22" t="s">
        <v>463</v>
      </c>
      <c r="E228" s="23" t="s">
        <v>51</v>
      </c>
      <c r="F228" s="22" t="s">
        <v>56</v>
      </c>
      <c r="G228" s="22" t="s">
        <v>53</v>
      </c>
      <c r="H228" s="22" t="s">
        <v>30</v>
      </c>
      <c r="I228" s="22" t="s">
        <v>464</v>
      </c>
      <c r="J228" s="22" t="s">
        <v>56</v>
      </c>
      <c r="K228" s="22" t="s">
        <v>465</v>
      </c>
      <c r="L228" s="22">
        <v>2016</v>
      </c>
      <c r="M228" s="335" t="str">
        <f ca="1">VLOOKUP(A228,'2020_ModelLink'!$A$3:$S$332,18,FALSE)</f>
        <v>N/A</v>
      </c>
      <c r="N228" s="335" t="str">
        <f ca="1">VLOOKUP(A228,'2020_ModelLink'!$A$3:$S$332,19,FALSE)</f>
        <v>N/A</v>
      </c>
      <c r="O228" s="721">
        <f ca="1">VLOOKUP($A228,'2016_ModelLink'!$A$3:$S$332,17,FALSE)</f>
        <v>3264127.5240094699</v>
      </c>
      <c r="P228" s="721">
        <f ca="1">VLOOKUP($A228,'2017_ModelLink'!$A$3:$S$332,17,FALSE)</f>
        <v>291761.2069689713</v>
      </c>
      <c r="Q228" s="721">
        <f ca="1">VLOOKUP($A228,'2018_ModelLink'!$A$3:$S$332,17,FALSE)</f>
        <v>2474643.6614470836</v>
      </c>
      <c r="R228" s="721">
        <f ca="1">VLOOKUP($A228,'2019_ModelLink'!$A$3:$S$332,17,FALSE)</f>
        <v>3813183.5491236742</v>
      </c>
      <c r="S228" s="721">
        <f ca="1">VLOOKUP($A228,'2020_ModelLink'!$A$3:$S$332,17,FALSE)</f>
        <v>9817484.3249429446</v>
      </c>
      <c r="T228" s="307">
        <f>VLOOKUP(A228,Targets!$A$1:$J$301,5,FALSE)</f>
        <v>406.57401239875924</v>
      </c>
      <c r="U228" s="307">
        <f>VLOOKUP(A228,Targets!$A$1:$J$301,5,FALSE)</f>
        <v>406.57401239875924</v>
      </c>
      <c r="V228" s="307">
        <f>VLOOKUP(A228,Targets!$A$1:$J$301,5,FALSE)</f>
        <v>406.57401239875924</v>
      </c>
      <c r="W228" s="307">
        <f>VLOOKUP(A228,Targets!$A$1:$J$301,5,FALSE)*3</f>
        <v>1219.7220371962776</v>
      </c>
      <c r="X228" s="307">
        <f>VLOOKUP(A228,Targets!$A$1:$J$301,6,FALSE)*2</f>
        <v>813.14802479751847</v>
      </c>
      <c r="Y228" s="429"/>
      <c r="Z228" s="429"/>
      <c r="AA228" s="542"/>
      <c r="AB228" s="21"/>
    </row>
    <row r="229" spans="1:28" ht="210">
      <c r="A229" s="31">
        <v>226</v>
      </c>
      <c r="B229" s="22" t="s">
        <v>39</v>
      </c>
      <c r="C229" s="22" t="s">
        <v>462</v>
      </c>
      <c r="D229" s="22" t="s">
        <v>463</v>
      </c>
      <c r="E229" s="23" t="s">
        <v>51</v>
      </c>
      <c r="F229" s="22" t="s">
        <v>57</v>
      </c>
      <c r="G229" s="22" t="s">
        <v>53</v>
      </c>
      <c r="H229" s="22" t="s">
        <v>30</v>
      </c>
      <c r="I229" s="22" t="s">
        <v>464</v>
      </c>
      <c r="J229" s="22" t="s">
        <v>57</v>
      </c>
      <c r="K229" s="22" t="s">
        <v>465</v>
      </c>
      <c r="L229" s="22">
        <v>2016</v>
      </c>
      <c r="M229" s="335" t="str">
        <f ca="1">VLOOKUP(A229,'2020_ModelLink'!$A$3:$S$332,18,FALSE)</f>
        <v>N/A</v>
      </c>
      <c r="N229" s="335" t="str">
        <f ca="1">VLOOKUP(A229,'2020_ModelLink'!$A$3:$S$332,19,FALSE)</f>
        <v>N/A</v>
      </c>
      <c r="O229" s="721">
        <f ca="1">VLOOKUP($A229,'2016_ModelLink'!$A$3:$S$332,17,FALSE)</f>
        <v>2121682.97086098</v>
      </c>
      <c r="P229" s="721">
        <f ca="1">VLOOKUP($A229,'2017_ModelLink'!$A$3:$S$332,17,FALSE)</f>
        <v>209409.92369477506</v>
      </c>
      <c r="Q229" s="721">
        <f ca="1">VLOOKUP($A229,'2018_ModelLink'!$A$3:$S$332,17,FALSE)</f>
        <v>1679031.8749347455</v>
      </c>
      <c r="R229" s="721">
        <f ca="1">VLOOKUP($A229,'2019_ModelLink'!$A$3:$S$332,17,FALSE)</f>
        <v>3619901.8057929631</v>
      </c>
      <c r="S229" s="721">
        <f ca="1">VLOOKUP($A229,'2020_ModelLink'!$A$3:$S$332,17,FALSE)</f>
        <v>7125084.8235437535</v>
      </c>
      <c r="T229" s="307">
        <f>VLOOKUP(A229,Targets!$A$1:$J$301,5,FALSE)</f>
        <v>3443987.4168884717</v>
      </c>
      <c r="U229" s="307">
        <f>VLOOKUP(A229,Targets!$A$1:$J$301,5,FALSE)</f>
        <v>3443987.4168884717</v>
      </c>
      <c r="V229" s="307">
        <f>VLOOKUP(A229,Targets!$A$1:$J$301,5,FALSE)</f>
        <v>3443987.4168884717</v>
      </c>
      <c r="W229" s="307">
        <f>VLOOKUP(A229,Targets!$A$1:$J$301,5,FALSE)*3</f>
        <v>10331962.250665415</v>
      </c>
      <c r="X229" s="307">
        <f>VLOOKUP(A229,Targets!$A$1:$J$301,6,FALSE)*2</f>
        <v>6887974.8337769434</v>
      </c>
      <c r="Y229" s="429"/>
      <c r="Z229" s="429"/>
      <c r="AA229" s="542"/>
      <c r="AB229" s="21"/>
    </row>
    <row r="230" spans="1:28" ht="210">
      <c r="A230" s="31">
        <v>227</v>
      </c>
      <c r="B230" s="22" t="s">
        <v>39</v>
      </c>
      <c r="C230" s="22" t="s">
        <v>462</v>
      </c>
      <c r="D230" s="22" t="s">
        <v>463</v>
      </c>
      <c r="E230" s="23" t="s">
        <v>51</v>
      </c>
      <c r="F230" s="22" t="s">
        <v>58</v>
      </c>
      <c r="G230" s="22" t="s">
        <v>53</v>
      </c>
      <c r="H230" s="22" t="s">
        <v>30</v>
      </c>
      <c r="I230" s="22" t="s">
        <v>464</v>
      </c>
      <c r="J230" s="22" t="s">
        <v>58</v>
      </c>
      <c r="K230" s="22" t="s">
        <v>465</v>
      </c>
      <c r="L230" s="22">
        <v>2016</v>
      </c>
      <c r="M230" s="335" t="str">
        <f ca="1">VLOOKUP(A230,'2020_ModelLink'!$A$3:$S$332,18,FALSE)</f>
        <v>N/A</v>
      </c>
      <c r="N230" s="335" t="str">
        <f ca="1">VLOOKUP(A230,'2020_ModelLink'!$A$3:$S$332,19,FALSE)</f>
        <v>N/A</v>
      </c>
      <c r="O230" s="721">
        <f ca="1">VLOOKUP($A230,'2016_ModelLink'!$A$3:$S$332,17,FALSE)</f>
        <v>48436.624184992601</v>
      </c>
      <c r="P230" s="721">
        <f ca="1">VLOOKUP($A230,'2017_ModelLink'!$A$3:$S$332,17,FALSE)</f>
        <v>-1941.6546065559999</v>
      </c>
      <c r="Q230" s="721">
        <f ca="1">VLOOKUP($A230,'2018_ModelLink'!$A$3:$S$332,17,FALSE)</f>
        <v>-4152.9136129688195</v>
      </c>
      <c r="R230" s="721">
        <f ca="1">VLOOKUP($A230,'2019_ModelLink'!$A$3:$S$332,17,FALSE)</f>
        <v>20164.972400358296</v>
      </c>
      <c r="S230" s="721">
        <f ca="1">VLOOKUP($A230,'2020_ModelLink'!$A$3:$S$332,17,FALSE)</f>
        <v>292276.78967055894</v>
      </c>
      <c r="T230" s="307">
        <f>VLOOKUP(A230,Targets!$A$1:$J$301,5,FALSE)</f>
        <v>2067666.9880479064</v>
      </c>
      <c r="U230" s="307">
        <f>VLOOKUP(A230,Targets!$A$1:$J$301,5,FALSE)</f>
        <v>2067666.9880479064</v>
      </c>
      <c r="V230" s="307">
        <f>VLOOKUP(A230,Targets!$A$1:$J$301,5,FALSE)</f>
        <v>2067666.9880479064</v>
      </c>
      <c r="W230" s="307">
        <f>VLOOKUP(A230,Targets!$A$1:$J$301,5,FALSE)*3</f>
        <v>6203000.9641437195</v>
      </c>
      <c r="X230" s="307">
        <f>VLOOKUP(A230,Targets!$A$1:$J$301,6,FALSE)*2</f>
        <v>4135333.9760958129</v>
      </c>
      <c r="Y230" s="429" t="s">
        <v>294</v>
      </c>
      <c r="Z230" s="429" t="s">
        <v>49</v>
      </c>
      <c r="AA230" s="542"/>
      <c r="AB230" s="21"/>
    </row>
    <row r="231" spans="1:28" ht="210">
      <c r="A231" s="31">
        <v>228</v>
      </c>
      <c r="B231" s="22" t="s">
        <v>39</v>
      </c>
      <c r="C231" s="22" t="s">
        <v>462</v>
      </c>
      <c r="D231" s="22" t="s">
        <v>463</v>
      </c>
      <c r="E231" s="23" t="s">
        <v>51</v>
      </c>
      <c r="F231" s="22" t="s">
        <v>60</v>
      </c>
      <c r="G231" s="22" t="s">
        <v>53</v>
      </c>
      <c r="H231" s="22" t="s">
        <v>30</v>
      </c>
      <c r="I231" s="22" t="s">
        <v>464</v>
      </c>
      <c r="J231" s="22" t="s">
        <v>60</v>
      </c>
      <c r="K231" s="22" t="s">
        <v>465</v>
      </c>
      <c r="L231" s="22">
        <v>2016</v>
      </c>
      <c r="M231" s="335" t="str">
        <f ca="1">VLOOKUP(A231,'2020_ModelLink'!$A$3:$S$332,18,FALSE)</f>
        <v>N/A</v>
      </c>
      <c r="N231" s="335" t="str">
        <f ca="1">VLOOKUP(A231,'2020_ModelLink'!$A$3:$S$332,19,FALSE)</f>
        <v>N/A</v>
      </c>
      <c r="O231" s="721">
        <f ca="1">VLOOKUP($A231,'2016_ModelLink'!$A$3:$S$332,17,FALSE)</f>
        <v>31483.806911152398</v>
      </c>
      <c r="P231" s="721">
        <f ca="1">VLOOKUP($A231,'2017_ModelLink'!$A$3:$S$332,17,FALSE)</f>
        <v>-1456.1893425801695</v>
      </c>
      <c r="Q231" s="721">
        <f ca="1">VLOOKUP($A231,'2018_ModelLink'!$A$3:$S$332,17,FALSE)</f>
        <v>-3327.7555219824312</v>
      </c>
      <c r="R231" s="721">
        <f ca="1">VLOOKUP($A231,'2019_ModelLink'!$A$3:$S$332,17,FALSE)</f>
        <v>24234.285731187785</v>
      </c>
      <c r="S231" s="721">
        <f ca="1">VLOOKUP($A231,'2020_ModelLink'!$A$3:$S$332,17,FALSE)</f>
        <v>210107.61719250251</v>
      </c>
      <c r="T231" s="307">
        <f>VLOOKUP(A231,Targets!$A$1:$J$301,5,FALSE)</f>
        <v>52361.373370805348</v>
      </c>
      <c r="U231" s="307">
        <f>VLOOKUP(A231,Targets!$A$1:$J$301,5,FALSE)</f>
        <v>52361.373370805348</v>
      </c>
      <c r="V231" s="307">
        <f>VLOOKUP(A231,Targets!$A$1:$J$301,5,FALSE)</f>
        <v>52361.373370805348</v>
      </c>
      <c r="W231" s="307">
        <f>VLOOKUP(A231,Targets!$A$1:$J$301,5,FALSE)*3</f>
        <v>157084.12011241604</v>
      </c>
      <c r="X231" s="307">
        <f>VLOOKUP(A231,Targets!$A$1:$J$301,6,FALSE)*2</f>
        <v>104722.7467416107</v>
      </c>
      <c r="Y231" s="429" t="s">
        <v>294</v>
      </c>
      <c r="Z231" s="429" t="s">
        <v>49</v>
      </c>
      <c r="AA231" s="542"/>
      <c r="AB231" s="21"/>
    </row>
    <row r="232" spans="1:28" ht="210">
      <c r="A232" s="31">
        <v>229</v>
      </c>
      <c r="B232" s="22" t="s">
        <v>39</v>
      </c>
      <c r="C232" s="22" t="s">
        <v>462</v>
      </c>
      <c r="D232" s="22" t="s">
        <v>463</v>
      </c>
      <c r="E232" s="23" t="s">
        <v>51</v>
      </c>
      <c r="F232" s="22" t="s">
        <v>61</v>
      </c>
      <c r="G232" s="22" t="s">
        <v>53</v>
      </c>
      <c r="H232" s="22" t="s">
        <v>30</v>
      </c>
      <c r="I232" s="22" t="s">
        <v>464</v>
      </c>
      <c r="J232" s="22" t="s">
        <v>61</v>
      </c>
      <c r="K232" s="22" t="s">
        <v>465</v>
      </c>
      <c r="L232" s="22">
        <v>2016</v>
      </c>
      <c r="M232" s="335" t="str">
        <f ca="1">VLOOKUP(A232,'2020_ModelLink'!$A$3:$S$332,18,FALSE)</f>
        <v>N/A</v>
      </c>
      <c r="N232" s="335" t="str">
        <f ca="1">VLOOKUP(A232,'2020_ModelLink'!$A$3:$S$332,19,FALSE)</f>
        <v>N/A</v>
      </c>
      <c r="O232" s="721">
        <f ca="1">VLOOKUP($A232,'2016_ModelLink'!$A$3:$S$332,17,FALSE)</f>
        <v>7727.1798534766604</v>
      </c>
      <c r="P232" s="721">
        <f ca="1">VLOOKUP($A232,'2017_ModelLink'!$A$3:$S$332,17,FALSE)</f>
        <v>489.68608959999995</v>
      </c>
      <c r="Q232" s="721">
        <f ca="1">VLOOKUP($A232,'2018_ModelLink'!$A$3:$S$332,17,FALSE)</f>
        <v>1878.559677919385</v>
      </c>
      <c r="R232" s="721">
        <f ca="1">VLOOKUP($A232,'2019_ModelLink'!$A$3:$S$332,17,FALSE)</f>
        <v>1677.5531917804171</v>
      </c>
      <c r="S232" s="721">
        <f ca="1">VLOOKUP($A232,'2020_ModelLink'!$A$3:$S$332,17,FALSE)</f>
        <v>8754.3145610059328</v>
      </c>
      <c r="T232" s="307">
        <f>VLOOKUP(A232,Targets!$A$1:$J$301,5,FALSE)</f>
        <v>30819.674920961261</v>
      </c>
      <c r="U232" s="307">
        <f>VLOOKUP(A232,Targets!$A$1:$J$301,5,FALSE)</f>
        <v>30819.674920961261</v>
      </c>
      <c r="V232" s="307">
        <f>VLOOKUP(A232,Targets!$A$1:$J$301,5,FALSE)</f>
        <v>30819.674920961261</v>
      </c>
      <c r="W232" s="307">
        <f>VLOOKUP(A232,Targets!$A$1:$J$301,5,FALSE)*3</f>
        <v>92459.024762883782</v>
      </c>
      <c r="X232" s="307">
        <f>VLOOKUP(A232,Targets!$A$1:$J$301,6,FALSE)*2</f>
        <v>61639.349841922522</v>
      </c>
      <c r="Y232" s="429"/>
      <c r="Z232" s="429"/>
      <c r="AA232" s="542"/>
      <c r="AB232" s="21"/>
    </row>
    <row r="233" spans="1:28" ht="210">
      <c r="A233" s="31">
        <v>230</v>
      </c>
      <c r="B233" s="22" t="s">
        <v>39</v>
      </c>
      <c r="C233" s="22" t="s">
        <v>462</v>
      </c>
      <c r="D233" s="22" t="s">
        <v>463</v>
      </c>
      <c r="E233" s="23" t="s">
        <v>51</v>
      </c>
      <c r="F233" s="22" t="s">
        <v>62</v>
      </c>
      <c r="G233" s="22" t="s">
        <v>53</v>
      </c>
      <c r="H233" s="22" t="s">
        <v>30</v>
      </c>
      <c r="I233" s="22" t="s">
        <v>464</v>
      </c>
      <c r="J233" s="22" t="s">
        <v>62</v>
      </c>
      <c r="K233" s="22" t="s">
        <v>465</v>
      </c>
      <c r="L233" s="22">
        <v>2016</v>
      </c>
      <c r="M233" s="335" t="str">
        <f ca="1">VLOOKUP(A233,'2020_ModelLink'!$A$3:$S$332,18,FALSE)</f>
        <v>N/A</v>
      </c>
      <c r="N233" s="335" t="str">
        <f ca="1">VLOOKUP(A233,'2020_ModelLink'!$A$3:$S$332,19,FALSE)</f>
        <v>N/A</v>
      </c>
      <c r="O233" s="721">
        <f ca="1">VLOOKUP($A233,'2016_ModelLink'!$A$3:$S$332,17,FALSE)</f>
        <v>5022.6670947473503</v>
      </c>
      <c r="P233" s="721">
        <f ca="1">VLOOKUP($A233,'2017_ModelLink'!$A$3:$S$332,17,FALSE)</f>
        <v>367.17370279982521</v>
      </c>
      <c r="Q233" s="721">
        <f ca="1">VLOOKUP($A233,'2018_ModelLink'!$A$3:$S$332,17,FALSE)</f>
        <v>1341.5709739246363</v>
      </c>
      <c r="R233" s="721">
        <f ca="1">VLOOKUP($A233,'2019_ModelLink'!$A$3:$S$332,17,FALSE)</f>
        <v>1216.4466901061928</v>
      </c>
      <c r="S233" s="721">
        <f ca="1">VLOOKUP($A233,'2020_ModelLink'!$A$3:$S$332,17,FALSE)</f>
        <v>5805.9411367620278</v>
      </c>
      <c r="T233" s="307">
        <f>VLOOKUP(A233,Targets!$A$1:$J$301,5,FALSE)</f>
        <v>8081.5310417933315</v>
      </c>
      <c r="U233" s="307">
        <f>VLOOKUP(A233,Targets!$A$1:$J$301,5,FALSE)</f>
        <v>8081.5310417933315</v>
      </c>
      <c r="V233" s="307">
        <f>VLOOKUP(A233,Targets!$A$1:$J$301,5,FALSE)</f>
        <v>8081.5310417933315</v>
      </c>
      <c r="W233" s="307">
        <f>VLOOKUP(A233,Targets!$A$1:$J$301,5,FALSE)*3</f>
        <v>24244.593125379994</v>
      </c>
      <c r="X233" s="307">
        <f>VLOOKUP(A233,Targets!$A$1:$J$301,6,FALSE)*2</f>
        <v>16163.062083586663</v>
      </c>
      <c r="Y233" s="429"/>
      <c r="Z233" s="429"/>
      <c r="AA233" s="542"/>
      <c r="AB233" s="21"/>
    </row>
    <row r="234" spans="1:28" ht="210">
      <c r="A234" s="31">
        <v>231</v>
      </c>
      <c r="B234" s="22" t="s">
        <v>39</v>
      </c>
      <c r="C234" s="22" t="s">
        <v>462</v>
      </c>
      <c r="D234" s="22" t="s">
        <v>463</v>
      </c>
      <c r="E234" s="23" t="s">
        <v>51</v>
      </c>
      <c r="F234" s="22" t="s">
        <v>63</v>
      </c>
      <c r="G234" s="22" t="s">
        <v>53</v>
      </c>
      <c r="H234" s="22" t="s">
        <v>30</v>
      </c>
      <c r="I234" s="22" t="s">
        <v>464</v>
      </c>
      <c r="J234" s="22" t="s">
        <v>63</v>
      </c>
      <c r="K234" s="22" t="s">
        <v>465</v>
      </c>
      <c r="L234" s="22">
        <v>2016</v>
      </c>
      <c r="M234" s="335" t="str">
        <f ca="1">VLOOKUP(A234,'2020_ModelLink'!$A$3:$S$332,18,FALSE)</f>
        <v>N/A</v>
      </c>
      <c r="N234" s="335" t="str">
        <f ca="1">VLOOKUP(A234,'2020_ModelLink'!$A$3:$S$332,19,FALSE)</f>
        <v>N/A</v>
      </c>
      <c r="O234" s="721">
        <f ca="1">VLOOKUP($A234,'2016_ModelLink'!$A$3:$S$332,17,FALSE)</f>
        <v>39626177.006536797</v>
      </c>
      <c r="P234" s="721">
        <f ca="1">VLOOKUP($A234,'2017_ModelLink'!$A$3:$S$332,17,FALSE)</f>
        <v>3179336.26369166</v>
      </c>
      <c r="Q234" s="721">
        <f ca="1">VLOOKUP($A234,'2018_ModelLink'!$A$3:$S$332,17,FALSE)</f>
        <v>19950472.589892048</v>
      </c>
      <c r="R234" s="721">
        <f ca="1">VLOOKUP($A234,'2019_ModelLink'!$A$3:$S$332,17,FALSE)</f>
        <v>10966376.625013541</v>
      </c>
      <c r="S234" s="721">
        <f ca="1">VLOOKUP($A234,'2020_ModelLink'!$A$3:$S$332,17,FALSE)</f>
        <v>65312681.870597742</v>
      </c>
      <c r="T234" s="307">
        <f>VLOOKUP(A234,Targets!$A$1:$J$301,5,FALSE)</f>
        <v>4860.3896676326531</v>
      </c>
      <c r="U234" s="307">
        <f>VLOOKUP(A234,Targets!$A$1:$J$301,5,FALSE)</f>
        <v>4860.3896676326531</v>
      </c>
      <c r="V234" s="307">
        <f>VLOOKUP(A234,Targets!$A$1:$J$301,5,FALSE)</f>
        <v>4860.3896676326531</v>
      </c>
      <c r="W234" s="307">
        <f>VLOOKUP(A234,Targets!$A$1:$J$301,5,FALSE)*3</f>
        <v>14581.169002897959</v>
      </c>
      <c r="X234" s="307">
        <f>VLOOKUP(A234,Targets!$A$1:$J$301,6,FALSE)*2</f>
        <v>9720.7793352653061</v>
      </c>
      <c r="Y234" s="429"/>
      <c r="Z234" s="429"/>
      <c r="AA234" s="542"/>
      <c r="AB234" s="21"/>
    </row>
    <row r="235" spans="1:28" ht="210">
      <c r="A235" s="31">
        <v>232</v>
      </c>
      <c r="B235" s="22" t="s">
        <v>39</v>
      </c>
      <c r="C235" s="22" t="s">
        <v>462</v>
      </c>
      <c r="D235" s="22" t="s">
        <v>463</v>
      </c>
      <c r="E235" s="23" t="s">
        <v>51</v>
      </c>
      <c r="F235" s="22" t="s">
        <v>64</v>
      </c>
      <c r="G235" s="22" t="s">
        <v>53</v>
      </c>
      <c r="H235" s="22" t="s">
        <v>30</v>
      </c>
      <c r="I235" s="22" t="s">
        <v>464</v>
      </c>
      <c r="J235" s="22" t="s">
        <v>64</v>
      </c>
      <c r="K235" s="22" t="s">
        <v>465</v>
      </c>
      <c r="L235" s="22">
        <v>2016</v>
      </c>
      <c r="M235" s="335" t="str">
        <f ca="1">VLOOKUP(A235,'2020_ModelLink'!$A$3:$S$332,18,FALSE)</f>
        <v>N/A</v>
      </c>
      <c r="N235" s="335" t="str">
        <f ca="1">VLOOKUP(A235,'2020_ModelLink'!$A$3:$S$332,19,FALSE)</f>
        <v>N/A</v>
      </c>
      <c r="O235" s="721">
        <f ca="1">VLOOKUP($A235,'2016_ModelLink'!$A$3:$S$332,17,FALSE)</f>
        <v>25757016.028534401</v>
      </c>
      <c r="P235" s="721">
        <f ca="1">VLOOKUP($A235,'2017_ModelLink'!$A$3:$S$332,17,FALSE)</f>
        <v>2271941.1560426923</v>
      </c>
      <c r="Q235" s="721">
        <f ca="1">VLOOKUP($A235,'2018_ModelLink'!$A$3:$S$332,17,FALSE)</f>
        <v>13511816.746513564</v>
      </c>
      <c r="R235" s="721">
        <f ca="1">VLOOKUP($A235,'2019_ModelLink'!$A$3:$S$332,17,FALSE)</f>
        <v>8743089.0239656307</v>
      </c>
      <c r="S235" s="721">
        <f ca="1">VLOOKUP($A235,'2020_ModelLink'!$A$3:$S$332,17,FALSE)</f>
        <v>43343327.729591675</v>
      </c>
      <c r="T235" s="307">
        <f>VLOOKUP(A235,Targets!$A$1:$J$301,5,FALSE)</f>
        <v>41799714.521067731</v>
      </c>
      <c r="U235" s="307">
        <f>VLOOKUP(A235,Targets!$A$1:$J$301,5,FALSE)</f>
        <v>41799714.521067731</v>
      </c>
      <c r="V235" s="307">
        <f>VLOOKUP(A235,Targets!$A$1:$J$301,5,FALSE)</f>
        <v>41799714.521067731</v>
      </c>
      <c r="W235" s="307">
        <f>VLOOKUP(A235,Targets!$A$1:$J$301,5,FALSE)*3</f>
        <v>125399143.56320319</v>
      </c>
      <c r="X235" s="307">
        <f>VLOOKUP(A235,Targets!$A$1:$J$301,6,FALSE)*2</f>
        <v>83599429.042135462</v>
      </c>
      <c r="Y235" s="429"/>
      <c r="Z235" s="429"/>
      <c r="AA235" s="542"/>
      <c r="AB235" s="21"/>
    </row>
    <row r="236" spans="1:28" ht="210">
      <c r="A236" s="31">
        <v>233</v>
      </c>
      <c r="B236" s="22" t="s">
        <v>39</v>
      </c>
      <c r="C236" s="22" t="s">
        <v>462</v>
      </c>
      <c r="D236" s="22" t="s">
        <v>463</v>
      </c>
      <c r="E236" s="23" t="s">
        <v>51</v>
      </c>
      <c r="F236" s="22" t="s">
        <v>65</v>
      </c>
      <c r="G236" s="22" t="s">
        <v>53</v>
      </c>
      <c r="H236" s="22" t="s">
        <v>30</v>
      </c>
      <c r="I236" s="22" t="s">
        <v>464</v>
      </c>
      <c r="J236" s="22" t="s">
        <v>65</v>
      </c>
      <c r="K236" s="22" t="s">
        <v>465</v>
      </c>
      <c r="L236" s="22">
        <v>2016</v>
      </c>
      <c r="M236" s="335" t="str">
        <f ca="1">VLOOKUP(A236,'2020_ModelLink'!$A$3:$S$332,18,FALSE)</f>
        <v>N/A</v>
      </c>
      <c r="N236" s="335" t="str">
        <f ca="1">VLOOKUP(A236,'2020_ModelLink'!$A$3:$S$332,19,FALSE)</f>
        <v>N/A</v>
      </c>
      <c r="O236" s="721">
        <f ca="1">VLOOKUP($A236,'2016_ModelLink'!$A$3:$S$332,17,FALSE)</f>
        <v>479625.92932918598</v>
      </c>
      <c r="P236" s="721">
        <f ca="1">VLOOKUP($A236,'2017_ModelLink'!$A$3:$S$332,17,FALSE)</f>
        <v>-20172.72153278</v>
      </c>
      <c r="Q236" s="721">
        <f ca="1">VLOOKUP($A236,'2018_ModelLink'!$A$3:$S$332,17,FALSE)</f>
        <v>-20162.196607501144</v>
      </c>
      <c r="R236" s="721">
        <f ca="1">VLOOKUP($A236,'2019_ModelLink'!$A$3:$S$332,17,FALSE)</f>
        <v>-24820.18808390445</v>
      </c>
      <c r="S236" s="721">
        <f ca="1">VLOOKUP($A236,'2020_ModelLink'!$A$3:$S$332,17,FALSE)</f>
        <v>1856513.035534106</v>
      </c>
      <c r="T236" s="307">
        <f>VLOOKUP(A236,Targets!$A$1:$J$301,5,FALSE)</f>
        <v>25095297.793835469</v>
      </c>
      <c r="U236" s="307">
        <f>VLOOKUP(A236,Targets!$A$1:$J$301,5,FALSE)</f>
        <v>25095297.793835469</v>
      </c>
      <c r="V236" s="307">
        <f>VLOOKUP(A236,Targets!$A$1:$J$301,5,FALSE)</f>
        <v>25095297.793835469</v>
      </c>
      <c r="W236" s="307">
        <f>VLOOKUP(A236,Targets!$A$1:$J$301,5,FALSE)*3</f>
        <v>75285893.381506413</v>
      </c>
      <c r="X236" s="307">
        <f>VLOOKUP(A236,Targets!$A$1:$J$301,6,FALSE)*2</f>
        <v>50190595.587670937</v>
      </c>
      <c r="Y236" s="429" t="s">
        <v>294</v>
      </c>
      <c r="Z236" s="429" t="s">
        <v>49</v>
      </c>
      <c r="AA236" s="542"/>
      <c r="AB236" s="21"/>
    </row>
    <row r="237" spans="1:28" ht="210">
      <c r="A237" s="31">
        <v>234</v>
      </c>
      <c r="B237" s="22" t="s">
        <v>39</v>
      </c>
      <c r="C237" s="22" t="s">
        <v>462</v>
      </c>
      <c r="D237" s="22" t="s">
        <v>463</v>
      </c>
      <c r="E237" s="23" t="s">
        <v>51</v>
      </c>
      <c r="F237" s="22" t="s">
        <v>66</v>
      </c>
      <c r="G237" s="22" t="s">
        <v>53</v>
      </c>
      <c r="H237" s="22" t="s">
        <v>30</v>
      </c>
      <c r="I237" s="22" t="s">
        <v>464</v>
      </c>
      <c r="J237" s="22" t="s">
        <v>66</v>
      </c>
      <c r="K237" s="22" t="s">
        <v>465</v>
      </c>
      <c r="L237" s="22">
        <v>2016</v>
      </c>
      <c r="M237" s="335" t="str">
        <f ca="1">VLOOKUP(A237,'2020_ModelLink'!$A$3:$S$332,18,FALSE)</f>
        <v>N/A</v>
      </c>
      <c r="N237" s="335" t="str">
        <f ca="1">VLOOKUP(A237,'2020_ModelLink'!$A$3:$S$332,19,FALSE)</f>
        <v>N/A</v>
      </c>
      <c r="O237" s="721">
        <f ca="1">VLOOKUP($A237,'2016_ModelLink'!$A$3:$S$332,17,FALSE)</f>
        <v>311756.86585649301</v>
      </c>
      <c r="P237" s="721">
        <f ca="1">VLOOKUP($A237,'2017_ModelLink'!$A$3:$S$332,17,FALSE)</f>
        <v>-15129.282970951517</v>
      </c>
      <c r="Q237" s="721">
        <f ca="1">VLOOKUP($A237,'2018_ModelLink'!$A$3:$S$332,17,FALSE)</f>
        <v>-17678.491556422654</v>
      </c>
      <c r="R237" s="721">
        <f ca="1">VLOOKUP($A237,'2019_ModelLink'!$A$3:$S$332,17,FALSE)</f>
        <v>-8735.7087914481344</v>
      </c>
      <c r="S237" s="721">
        <f ca="1">VLOOKUP($A237,'2020_ModelLink'!$A$3:$S$332,17,FALSE)</f>
        <v>1225721.3908956638</v>
      </c>
      <c r="T237" s="307">
        <f>VLOOKUP(A237,Targets!$A$1:$J$301,5,FALSE)</f>
        <v>518483.77764732618</v>
      </c>
      <c r="U237" s="307">
        <f>VLOOKUP(A237,Targets!$A$1:$J$301,5,FALSE)</f>
        <v>518483.77764732618</v>
      </c>
      <c r="V237" s="307">
        <f>VLOOKUP(A237,Targets!$A$1:$J$301,5,FALSE)</f>
        <v>518483.77764732618</v>
      </c>
      <c r="W237" s="307">
        <f>VLOOKUP(A237,Targets!$A$1:$J$301,5,FALSE)*3</f>
        <v>1555451.3329419785</v>
      </c>
      <c r="X237" s="307">
        <f>VLOOKUP(A237,Targets!$A$1:$J$301,6,FALSE)*2</f>
        <v>1036967.5552946524</v>
      </c>
      <c r="Y237" s="429" t="s">
        <v>294</v>
      </c>
      <c r="Z237" s="429" t="s">
        <v>49</v>
      </c>
      <c r="AA237" s="542"/>
      <c r="AB237" s="21"/>
    </row>
    <row r="238" spans="1:28" ht="120">
      <c r="A238" s="31">
        <v>235</v>
      </c>
      <c r="B238" s="22" t="s">
        <v>39</v>
      </c>
      <c r="C238" s="22" t="s">
        <v>462</v>
      </c>
      <c r="D238" s="22" t="s">
        <v>466</v>
      </c>
      <c r="E238" s="23" t="s">
        <v>42</v>
      </c>
      <c r="F238" s="22" t="s">
        <v>43</v>
      </c>
      <c r="G238" s="22" t="s">
        <v>44</v>
      </c>
      <c r="H238" s="22" t="s">
        <v>30</v>
      </c>
      <c r="I238" s="22" t="s">
        <v>467</v>
      </c>
      <c r="J238" s="22" t="s">
        <v>46</v>
      </c>
      <c r="K238" s="22" t="s">
        <v>465</v>
      </c>
      <c r="L238" s="22">
        <v>2016</v>
      </c>
      <c r="M238" s="335" t="str">
        <f ca="1">VLOOKUP(A238,'2020_ModelLink'!$A$3:$S$332,18,FALSE)</f>
        <v>N/A</v>
      </c>
      <c r="N238" s="335" t="str">
        <f ca="1">VLOOKUP(A238,'2020_ModelLink'!$A$3:$S$332,19,FALSE)</f>
        <v>N/A</v>
      </c>
      <c r="O238" s="721">
        <f ca="1">VLOOKUP($A238,'2016_ModelLink'!$A$3:$S$332,17,FALSE)</f>
        <v>1666.8940370278206</v>
      </c>
      <c r="P238" s="721">
        <f ca="1">VLOOKUP($A238,'2017_ModelLink'!$A$3:$S$332,17,FALSE)</f>
        <v>140.33501253653108</v>
      </c>
      <c r="Q238" s="721">
        <f ca="1">VLOOKUP($A238,'2018_ModelLink'!$A$3:$S$332,17,FALSE)</f>
        <v>1169.438431312358</v>
      </c>
      <c r="R238" s="721">
        <f ca="1">VLOOKUP($A238,'2019_ModelLink'!$A$3:$S$332,17,FALSE)</f>
        <v>2687.7122910709199</v>
      </c>
      <c r="S238" s="721">
        <f ca="1">VLOOKUP($A238,'2020_ModelLink'!$A$3:$S$332,17,FALSE)</f>
        <v>6151.0053413656969</v>
      </c>
      <c r="T238" s="307">
        <f>VLOOKUP(A238,Targets!$A$1:$J$301,5,FALSE)</f>
        <v>305177.27955149597</v>
      </c>
      <c r="U238" s="307">
        <f>VLOOKUP(A238,Targets!$A$1:$J$301,5,FALSE)</f>
        <v>305177.27955149597</v>
      </c>
      <c r="V238" s="307">
        <f>VLOOKUP(A238,Targets!$A$1:$J$301,5,FALSE)</f>
        <v>305177.27955149597</v>
      </c>
      <c r="W238" s="307">
        <f>VLOOKUP(A238,Targets!$A$1:$J$301,5,FALSE)*3</f>
        <v>915531.83865448786</v>
      </c>
      <c r="X238" s="307">
        <f>VLOOKUP(A238,Targets!$A$1:$J$301,6,FALSE)*2</f>
        <v>610354.55910299195</v>
      </c>
      <c r="Y238" s="429" t="s">
        <v>48</v>
      </c>
      <c r="Z238" s="429"/>
      <c r="AA238" s="542"/>
      <c r="AB238" s="21"/>
    </row>
    <row r="239" spans="1:28" ht="409.5">
      <c r="A239" s="31">
        <v>236</v>
      </c>
      <c r="B239" s="22" t="s">
        <v>39</v>
      </c>
      <c r="C239" s="22" t="s">
        <v>462</v>
      </c>
      <c r="D239" s="22" t="s">
        <v>468</v>
      </c>
      <c r="E239" s="23" t="s">
        <v>325</v>
      </c>
      <c r="F239" s="22" t="s">
        <v>142</v>
      </c>
      <c r="G239" s="22" t="s">
        <v>143</v>
      </c>
      <c r="H239" s="22" t="s">
        <v>30</v>
      </c>
      <c r="I239" s="22" t="s">
        <v>469</v>
      </c>
      <c r="J239" s="22" t="s">
        <v>333</v>
      </c>
      <c r="K239" s="22" t="s">
        <v>465</v>
      </c>
      <c r="L239" s="22">
        <v>2016</v>
      </c>
      <c r="M239" s="335">
        <f ca="1">VLOOKUP(A239,'2020_ModelLink'!$A$3:$S$332,18,FALSE)</f>
        <v>0</v>
      </c>
      <c r="N239" s="335">
        <f>VLOOKUP(A239,'2020_ModelLink'!$A$3:$S$332,19,FALSE)</f>
        <v>629</v>
      </c>
      <c r="O239" s="722">
        <f ca="1">VLOOKUP($A239,'2016_ModelLink'!$A$3:$S$332,17,FALSE)</f>
        <v>7.1428571428571425E-2</v>
      </c>
      <c r="P239" s="722">
        <f ca="1">VLOOKUP($A239,'2017_ModelLink'!$A$3:$S$332,17,FALSE)</f>
        <v>1.8761726078799251E-2</v>
      </c>
      <c r="Q239" s="722">
        <f ca="1">VLOOKUP($A239,'2018_ModelLink'!$A$3:$S$332,17,FALSE)</f>
        <v>3.2015065913370999E-2</v>
      </c>
      <c r="R239" s="722">
        <f ca="1">VLOOKUP($A239,'2019_ModelLink'!$A$3:$S$332,17,FALSE)</f>
        <v>0.06</v>
      </c>
      <c r="S239" s="722">
        <f ca="1">VLOOKUP($A239,'2020_ModelLink'!$A$3:$S$332,17,FALSE)</f>
        <v>8.1081081081081086E-2</v>
      </c>
      <c r="T239" s="715">
        <f>VLOOKUP(A239,Targets!$A$1:$J$301,5,FALSE)</f>
        <v>6151.0053413656969</v>
      </c>
      <c r="U239" s="715">
        <f>VLOOKUP(A239,Targets!$A$1:$J$301,5,FALSE)</f>
        <v>6151.0053413656969</v>
      </c>
      <c r="V239" s="715">
        <f>VLOOKUP(A239,Targets!$A$1:$J$301,5,FALSE)</f>
        <v>6151.0053413656969</v>
      </c>
      <c r="W239" s="715">
        <f>VLOOKUP(A239,Targets!$A$1:$J$301,5,FALSE)*3</f>
        <v>18453.016024097091</v>
      </c>
      <c r="X239" s="715">
        <f>VLOOKUP(A239,Targets!$A$1:$J$301,6,FALSE)*2</f>
        <v>2092.4710093100011</v>
      </c>
      <c r="Y239" s="429" t="s">
        <v>425</v>
      </c>
      <c r="Z239" s="429" t="s">
        <v>246</v>
      </c>
      <c r="AA239" s="542"/>
      <c r="AB239" s="21"/>
    </row>
    <row r="240" spans="1:28" ht="409.5">
      <c r="A240" s="31">
        <v>237</v>
      </c>
      <c r="B240" s="22" t="s">
        <v>39</v>
      </c>
      <c r="C240" s="22" t="s">
        <v>462</v>
      </c>
      <c r="D240" s="22" t="s">
        <v>468</v>
      </c>
      <c r="E240" s="23" t="s">
        <v>329</v>
      </c>
      <c r="F240" s="22" t="s">
        <v>142</v>
      </c>
      <c r="G240" s="22" t="s">
        <v>143</v>
      </c>
      <c r="H240" s="22" t="s">
        <v>30</v>
      </c>
      <c r="I240" s="22" t="s">
        <v>470</v>
      </c>
      <c r="J240" s="22" t="s">
        <v>330</v>
      </c>
      <c r="K240" s="22" t="s">
        <v>465</v>
      </c>
      <c r="L240" s="22">
        <v>2016</v>
      </c>
      <c r="M240" s="335" t="str">
        <f>VLOOKUP(A240,'2020_ModelLink'!$A$3:$S$332,18,FALSE)</f>
        <v>N/A</v>
      </c>
      <c r="N240" s="335" t="str">
        <f>VLOOKUP(A240,'2020_ModelLink'!$A$3:$S$332,19,FALSE)</f>
        <v>N/A</v>
      </c>
      <c r="O240" s="722">
        <f ca="1">VLOOKUP($A240,'2016_ModelLink'!$A$3:$S$332,17,FALSE)</f>
        <v>0</v>
      </c>
      <c r="P240" s="722">
        <f ca="1">VLOOKUP($A240,'2017_ModelLink'!$A$3:$S$332,17,FALSE)</f>
        <v>0</v>
      </c>
      <c r="Q240" s="722">
        <f ca="1">VLOOKUP($A240,'2018_ModelLink'!$A$3:$S$332,17,FALSE)</f>
        <v>0</v>
      </c>
      <c r="R240" s="722">
        <f ca="1">VLOOKUP($A240,'2019_ModelLink'!$A$3:$S$332,17,FALSE)</f>
        <v>0</v>
      </c>
      <c r="S240" s="722" t="str">
        <f>VLOOKUP($A240,'2020_ModelLink'!$A$3:$S$332,17,FALSE)</f>
        <v>N/A</v>
      </c>
      <c r="T240" s="715" t="str">
        <f>VLOOKUP(A240,Targets!$A$1:$J$301,5,FALSE)</f>
        <v xml:space="preserve"> N/A - Indicator</v>
      </c>
      <c r="U240" s="715" t="str">
        <f>VLOOKUP(A240,Targets!$A$1:$J$301,5,FALSE)</f>
        <v xml:space="preserve"> N/A - Indicator</v>
      </c>
      <c r="V240" s="715" t="str">
        <f>VLOOKUP(A240,Targets!$A$1:$J$301,5,FALSE)</f>
        <v xml:space="preserve"> N/A - Indicator</v>
      </c>
      <c r="W240" s="715" t="e">
        <f>VLOOKUP(A240,Targets!$A$1:$J$301,5,FALSE)*3</f>
        <v>#VALUE!</v>
      </c>
      <c r="X240" s="715" t="e">
        <f>VLOOKUP(A240,Targets!$A$1:$J$301,6,FALSE)*2</f>
        <v>#VALUE!</v>
      </c>
      <c r="Y240" s="429" t="s">
        <v>425</v>
      </c>
      <c r="Z240" s="429" t="s">
        <v>246</v>
      </c>
      <c r="AA240" s="542"/>
      <c r="AB240" s="21"/>
    </row>
    <row r="241" spans="1:28" ht="409.5">
      <c r="A241" s="31">
        <v>238</v>
      </c>
      <c r="B241" s="22" t="s">
        <v>39</v>
      </c>
      <c r="C241" s="22" t="s">
        <v>462</v>
      </c>
      <c r="D241" s="22" t="s">
        <v>468</v>
      </c>
      <c r="E241" s="23" t="s">
        <v>331</v>
      </c>
      <c r="F241" s="22" t="s">
        <v>142</v>
      </c>
      <c r="G241" s="22" t="s">
        <v>143</v>
      </c>
      <c r="H241" s="22" t="s">
        <v>30</v>
      </c>
      <c r="I241" s="22" t="s">
        <v>471</v>
      </c>
      <c r="J241" s="22" t="s">
        <v>327</v>
      </c>
      <c r="K241" s="22" t="s">
        <v>465</v>
      </c>
      <c r="L241" s="22">
        <v>2016</v>
      </c>
      <c r="M241" s="335" t="str">
        <f>VLOOKUP(A241,'2020_ModelLink'!$A$3:$S$332,18,FALSE)</f>
        <v>N/A</v>
      </c>
      <c r="N241" s="335" t="str">
        <f>VLOOKUP(A241,'2020_ModelLink'!$A$3:$S$332,19,FALSE)</f>
        <v>N/A</v>
      </c>
      <c r="O241" s="722">
        <f ca="1">VLOOKUP($A241,'2016_ModelLink'!$A$3:$S$332,17,FALSE)</f>
        <v>0</v>
      </c>
      <c r="P241" s="722">
        <f ca="1">VLOOKUP($A241,'2017_ModelLink'!$A$3:$S$332,17,FALSE)</f>
        <v>0</v>
      </c>
      <c r="Q241" s="722">
        <f ca="1">VLOOKUP($A241,'2018_ModelLink'!$A$3:$S$332,17,FALSE)</f>
        <v>0</v>
      </c>
      <c r="R241" s="722">
        <f ca="1">VLOOKUP($A241,'2019_ModelLink'!$A$3:$S$332,17,FALSE)</f>
        <v>0</v>
      </c>
      <c r="S241" s="722" t="str">
        <f>VLOOKUP($A241,'2020_ModelLink'!$A$3:$S$332,17,FALSE)</f>
        <v>N/A</v>
      </c>
      <c r="T241" s="715">
        <f>VLOOKUP(A241,Targets!$A$1:$J$301,5,FALSE)</f>
        <v>0</v>
      </c>
      <c r="U241" s="715">
        <f>VLOOKUP(A241,Targets!$A$1:$J$301,5,FALSE)</f>
        <v>0</v>
      </c>
      <c r="V241" s="715">
        <f>VLOOKUP(A241,Targets!$A$1:$J$301,5,FALSE)</f>
        <v>0</v>
      </c>
      <c r="W241" s="715">
        <f>VLOOKUP(A241,Targets!$A$1:$J$301,5,FALSE)*3</f>
        <v>0</v>
      </c>
      <c r="X241" s="715">
        <f>VLOOKUP(A241,Targets!$A$1:$J$301,6,FALSE)*2</f>
        <v>0</v>
      </c>
      <c r="Y241" s="429" t="s">
        <v>425</v>
      </c>
      <c r="Z241" s="429" t="s">
        <v>246</v>
      </c>
      <c r="AA241" s="542"/>
      <c r="AB241" s="21"/>
    </row>
    <row r="242" spans="1:28" ht="390">
      <c r="A242" s="31">
        <v>239</v>
      </c>
      <c r="B242" s="22" t="s">
        <v>39</v>
      </c>
      <c r="C242" s="22" t="s">
        <v>462</v>
      </c>
      <c r="D242" s="22" t="s">
        <v>472</v>
      </c>
      <c r="E242" s="23" t="s">
        <v>473</v>
      </c>
      <c r="F242" s="22" t="s">
        <v>142</v>
      </c>
      <c r="G242" s="22" t="s">
        <v>474</v>
      </c>
      <c r="H242" s="22" t="s">
        <v>164</v>
      </c>
      <c r="I242" s="22" t="s">
        <v>475</v>
      </c>
      <c r="J242" s="22" t="s">
        <v>476</v>
      </c>
      <c r="K242" s="22" t="s">
        <v>465</v>
      </c>
      <c r="L242" s="22" t="s">
        <v>167</v>
      </c>
      <c r="M242" s="335" t="str">
        <f>VLOOKUP(A242,'2020_ModelLink'!$A$3:$S$332,18,FALSE)</f>
        <v>N/A</v>
      </c>
      <c r="N242" s="335" t="str">
        <f>VLOOKUP(A242,'2020_ModelLink'!$A$3:$S$332,19,FALSE)</f>
        <v>N/A</v>
      </c>
      <c r="O242" s="722" t="str">
        <f>VLOOKUP($A242,'2016_ModelLink'!$A$3:$S$332,17,FALSE)</f>
        <v>N/A - Indicator</v>
      </c>
      <c r="P242" s="722" t="str">
        <f>VLOOKUP($A242,'2017_ModelLink'!$A$3:$S$332,17,FALSE)</f>
        <v>N/A - Indicator</v>
      </c>
      <c r="Q242" s="722">
        <f ca="1">VLOOKUP($A242,'2018_ModelLink'!$A$3:$S$332,17,FALSE)</f>
        <v>0</v>
      </c>
      <c r="R242" s="722">
        <f ca="1">VLOOKUP($A242,'2019_ModelLink'!$A$3:$S$332,17,FALSE)</f>
        <v>0</v>
      </c>
      <c r="S242" s="722" t="str">
        <f>VLOOKUP($A242,'2020_ModelLink'!$A$3:$S$332,17,FALSE)</f>
        <v>N/A</v>
      </c>
      <c r="T242" s="715">
        <f>VLOOKUP(A242,Targets!$A$1:$J$301,5,FALSE)</f>
        <v>0.49279394107471564</v>
      </c>
      <c r="U242" s="715">
        <f>VLOOKUP(A242,Targets!$A$1:$J$301,5,FALSE)</f>
        <v>0.49279394107471564</v>
      </c>
      <c r="V242" s="715">
        <f>VLOOKUP(A242,Targets!$A$1:$J$301,5,FALSE)</f>
        <v>0.49279394107471564</v>
      </c>
      <c r="W242" s="715">
        <f>VLOOKUP(A242,Targets!$A$1:$J$301,5,FALSE)*3</f>
        <v>1.4783818232241468</v>
      </c>
      <c r="X242" s="715">
        <f>VLOOKUP(A242,Targets!$A$1:$J$301,6,FALSE)*2</f>
        <v>0.98558788214943127</v>
      </c>
      <c r="Y242" s="429" t="s">
        <v>477</v>
      </c>
      <c r="Z242" s="429" t="s">
        <v>478</v>
      </c>
      <c r="AA242" s="542"/>
      <c r="AB242" s="21"/>
    </row>
    <row r="243" spans="1:28" ht="390">
      <c r="A243" s="31">
        <v>240</v>
      </c>
      <c r="B243" s="22" t="s">
        <v>39</v>
      </c>
      <c r="C243" s="22" t="s">
        <v>462</v>
      </c>
      <c r="D243" s="22" t="s">
        <v>472</v>
      </c>
      <c r="E243" s="23" t="s">
        <v>479</v>
      </c>
      <c r="F243" s="22" t="s">
        <v>142</v>
      </c>
      <c r="G243" s="22" t="s">
        <v>474</v>
      </c>
      <c r="H243" s="22" t="s">
        <v>164</v>
      </c>
      <c r="I243" s="22" t="s">
        <v>480</v>
      </c>
      <c r="J243" s="22" t="s">
        <v>481</v>
      </c>
      <c r="K243" s="22" t="s">
        <v>465</v>
      </c>
      <c r="L243" s="22" t="s">
        <v>167</v>
      </c>
      <c r="M243" s="335" t="str">
        <f>VLOOKUP(A243,'2020_ModelLink'!$A$3:$S$332,18,FALSE)</f>
        <v>N/A</v>
      </c>
      <c r="N243" s="335" t="str">
        <f>VLOOKUP(A243,'2020_ModelLink'!$A$3:$S$332,19,FALSE)</f>
        <v>N/A</v>
      </c>
      <c r="O243" s="722" t="str">
        <f>VLOOKUP($A243,'2016_ModelLink'!$A$3:$S$332,17,FALSE)</f>
        <v>N/A - Indicator</v>
      </c>
      <c r="P243" s="722" t="str">
        <f>VLOOKUP($A243,'2017_ModelLink'!$A$3:$S$332,17,FALSE)</f>
        <v>N/A - Indicator</v>
      </c>
      <c r="Q243" s="722">
        <f ca="1">VLOOKUP($A243,'2018_ModelLink'!$A$3:$S$332,17,FALSE)</f>
        <v>0</v>
      </c>
      <c r="R243" s="722">
        <f ca="1">VLOOKUP($A243,'2019_ModelLink'!$A$3:$S$332,17,FALSE)</f>
        <v>0</v>
      </c>
      <c r="S243" s="722" t="str">
        <f>VLOOKUP($A243,'2020_ModelLink'!$A$3:$S$332,17,FALSE)</f>
        <v>N/A</v>
      </c>
      <c r="T243" s="715" t="str">
        <f>VLOOKUP(A243,Targets!$A$1:$J$301,5,FALSE)</f>
        <v xml:space="preserve"> N/A</v>
      </c>
      <c r="U243" s="715" t="str">
        <f>VLOOKUP(A243,Targets!$A$1:$J$301,5,FALSE)</f>
        <v xml:space="preserve"> N/A</v>
      </c>
      <c r="V243" s="715" t="str">
        <f>VLOOKUP(A243,Targets!$A$1:$J$301,5,FALSE)</f>
        <v xml:space="preserve"> N/A</v>
      </c>
      <c r="W243" s="715" t="e">
        <f>VLOOKUP(A243,Targets!$A$1:$J$301,5,FALSE)*3</f>
        <v>#VALUE!</v>
      </c>
      <c r="X243" s="715" t="e">
        <f>VLOOKUP(A243,Targets!$A$1:$J$301,6,FALSE)*2</f>
        <v>#VALUE!</v>
      </c>
      <c r="Y243" s="429" t="s">
        <v>482</v>
      </c>
      <c r="Z243" s="429" t="s">
        <v>478</v>
      </c>
      <c r="AA243" s="542"/>
      <c r="AB243" s="21"/>
    </row>
    <row r="244" spans="1:28" ht="390">
      <c r="A244" s="31">
        <v>241</v>
      </c>
      <c r="B244" s="22" t="s">
        <v>39</v>
      </c>
      <c r="C244" s="22" t="s">
        <v>462</v>
      </c>
      <c r="D244" s="22" t="s">
        <v>472</v>
      </c>
      <c r="E244" s="23" t="s">
        <v>483</v>
      </c>
      <c r="F244" s="22" t="s">
        <v>142</v>
      </c>
      <c r="G244" s="22" t="s">
        <v>474</v>
      </c>
      <c r="H244" s="22" t="s">
        <v>164</v>
      </c>
      <c r="I244" s="22" t="s">
        <v>484</v>
      </c>
      <c r="J244" s="22" t="s">
        <v>485</v>
      </c>
      <c r="K244" s="22" t="s">
        <v>465</v>
      </c>
      <c r="L244" s="22" t="s">
        <v>167</v>
      </c>
      <c r="M244" s="335" t="str">
        <f>VLOOKUP(A244,'2020_ModelLink'!$A$3:$S$332,18,FALSE)</f>
        <v>N/A</v>
      </c>
      <c r="N244" s="335" t="str">
        <f>VLOOKUP(A244,'2020_ModelLink'!$A$3:$S$332,19,FALSE)</f>
        <v>N/A</v>
      </c>
      <c r="O244" s="722" t="str">
        <f>VLOOKUP($A244,'2016_ModelLink'!$A$3:$S$332,17,FALSE)</f>
        <v>N/A - Indicator</v>
      </c>
      <c r="P244" s="722" t="str">
        <f>VLOOKUP($A244,'2017_ModelLink'!$A$3:$S$332,17,FALSE)</f>
        <v>N/A - Indicator</v>
      </c>
      <c r="Q244" s="722">
        <f ca="1">VLOOKUP($A244,'2018_ModelLink'!$A$3:$S$332,17,FALSE)</f>
        <v>0</v>
      </c>
      <c r="R244" s="722">
        <f ca="1">VLOOKUP($A244,'2019_ModelLink'!$A$3:$S$332,17,FALSE)</f>
        <v>0</v>
      </c>
      <c r="S244" s="722" t="str">
        <f>VLOOKUP($A244,'2020_ModelLink'!$A$3:$S$332,17,FALSE)</f>
        <v>N/A</v>
      </c>
      <c r="T244" s="715" t="str">
        <f>VLOOKUP(A244,Targets!$A$1:$J$301,5,FALSE)</f>
        <v xml:space="preserve"> N/A</v>
      </c>
      <c r="U244" s="715" t="str">
        <f>VLOOKUP(A244,Targets!$A$1:$J$301,5,FALSE)</f>
        <v xml:space="preserve"> N/A</v>
      </c>
      <c r="V244" s="715" t="str">
        <f>VLOOKUP(A244,Targets!$A$1:$J$301,5,FALSE)</f>
        <v xml:space="preserve"> N/A</v>
      </c>
      <c r="W244" s="715" t="e">
        <f>VLOOKUP(A244,Targets!$A$1:$J$301,5,FALSE)*3</f>
        <v>#VALUE!</v>
      </c>
      <c r="X244" s="715" t="e">
        <f>VLOOKUP(A244,Targets!$A$1:$J$301,6,FALSE)*2</f>
        <v>#VALUE!</v>
      </c>
      <c r="Y244" s="429" t="s">
        <v>486</v>
      </c>
      <c r="Z244" s="429" t="s">
        <v>478</v>
      </c>
      <c r="AA244" s="542"/>
      <c r="AB244" s="21"/>
    </row>
    <row r="245" spans="1:28" ht="135">
      <c r="A245" s="31">
        <v>242</v>
      </c>
      <c r="B245" s="22" t="s">
        <v>39</v>
      </c>
      <c r="C245" s="22" t="s">
        <v>462</v>
      </c>
      <c r="D245" s="22" t="s">
        <v>487</v>
      </c>
      <c r="E245" s="23" t="s">
        <v>91</v>
      </c>
      <c r="F245" s="22" t="s">
        <v>92</v>
      </c>
      <c r="G245" s="22" t="s">
        <v>93</v>
      </c>
      <c r="H245" s="22" t="s">
        <v>30</v>
      </c>
      <c r="I245" s="22" t="s">
        <v>488</v>
      </c>
      <c r="J245" s="22" t="s">
        <v>92</v>
      </c>
      <c r="K245" s="22" t="s">
        <v>465</v>
      </c>
      <c r="L245" s="22">
        <v>2016</v>
      </c>
      <c r="M245" s="335">
        <f ca="1">VLOOKUP(A245,'2020_ModelLink'!$A$3:$S$332,18,FALSE)</f>
        <v>0</v>
      </c>
      <c r="N245" s="335">
        <f ca="1">VLOOKUP(A245,'2020_ModelLink'!$A$3:$S$332,19,FALSE)</f>
        <v>0</v>
      </c>
      <c r="O245" s="721">
        <f ca="1">VLOOKUP($A245,'2016_ModelLink'!$A$3:$S$332,17,FALSE)</f>
        <v>642.94933091567736</v>
      </c>
      <c r="P245" s="721">
        <f ca="1">VLOOKUP($A245,'2017_ModelLink'!$A$3:$S$332,17,FALSE)</f>
        <v>2279.073617715474</v>
      </c>
      <c r="Q245" s="721">
        <f ca="1">VLOOKUP($A245,'2018_ModelLink'!$A$3:$S$332,17,FALSE)</f>
        <v>219.63457345377984</v>
      </c>
      <c r="R245" s="721">
        <f ca="1">VLOOKUP($A245,'2019_ModelLink'!$A$3:$S$332,17,FALSE)</f>
        <v>1087.7047566259882</v>
      </c>
      <c r="S245" s="721">
        <f ca="1">VLOOKUP($A245,'2020_ModelLink'!$A$3:$S$332,17,FALSE)</f>
        <v>384.1424812936512</v>
      </c>
      <c r="T245" s="307" t="str">
        <f>VLOOKUP(A245,Targets!$A$1:$J$301,5,FALSE)</f>
        <v xml:space="preserve"> N/A</v>
      </c>
      <c r="U245" s="307" t="str">
        <f>VLOOKUP(A245,Targets!$A$1:$J$301,5,FALSE)</f>
        <v xml:space="preserve"> N/A</v>
      </c>
      <c r="V245" s="307" t="str">
        <f>VLOOKUP(A245,Targets!$A$1:$J$301,5,FALSE)</f>
        <v xml:space="preserve"> N/A</v>
      </c>
      <c r="W245" s="307" t="e">
        <f>VLOOKUP(A245,Targets!$A$1:$J$301,5,FALSE)*3</f>
        <v>#VALUE!</v>
      </c>
      <c r="X245" s="307" t="e">
        <f>VLOOKUP(A245,Targets!$A$1:$J$301,6,FALSE)*2</f>
        <v>#VALUE!</v>
      </c>
      <c r="Y245" s="429"/>
      <c r="Z245" s="429"/>
      <c r="AA245" s="542"/>
      <c r="AB245" s="21"/>
    </row>
    <row r="246" spans="1:28" ht="135">
      <c r="A246" s="31">
        <v>243</v>
      </c>
      <c r="B246" s="22" t="s">
        <v>39</v>
      </c>
      <c r="C246" s="22" t="s">
        <v>462</v>
      </c>
      <c r="D246" s="22" t="s">
        <v>487</v>
      </c>
      <c r="E246" s="23" t="s">
        <v>91</v>
      </c>
      <c r="F246" s="22" t="s">
        <v>95</v>
      </c>
      <c r="G246" s="22" t="s">
        <v>93</v>
      </c>
      <c r="H246" s="22" t="s">
        <v>30</v>
      </c>
      <c r="I246" s="22" t="s">
        <v>488</v>
      </c>
      <c r="J246" s="22" t="s">
        <v>95</v>
      </c>
      <c r="K246" s="22" t="s">
        <v>465</v>
      </c>
      <c r="L246" s="22">
        <v>2016</v>
      </c>
      <c r="M246" s="335">
        <f ca="1">VLOOKUP(A246,'2020_ModelLink'!$A$3:$S$332,18,FALSE)</f>
        <v>0</v>
      </c>
      <c r="N246" s="335">
        <f ca="1">VLOOKUP(A246,'2020_ModelLink'!$A$3:$S$332,19,FALSE)</f>
        <v>0</v>
      </c>
      <c r="O246" s="721">
        <f ca="1">VLOOKUP($A246,'2016_ModelLink'!$A$3:$S$332,17,FALSE)</f>
        <v>0.12537634190243419</v>
      </c>
      <c r="P246" s="721">
        <f ca="1">VLOOKUP($A246,'2017_ModelLink'!$A$3:$S$332,17,FALSE)</f>
        <v>0.36832639654609944</v>
      </c>
      <c r="Q246" s="721">
        <f ca="1">VLOOKUP($A246,'2018_ModelLink'!$A$3:$S$332,17,FALSE)</f>
        <v>3.6981760817995001E-2</v>
      </c>
      <c r="R246" s="721">
        <f ca="1">VLOOKUP($A246,'2019_ModelLink'!$A$3:$S$332,17,FALSE)</f>
        <v>0.15133493978885609</v>
      </c>
      <c r="S246" s="721">
        <f ca="1">VLOOKUP($A246,'2020_ModelLink'!$A$3:$S$332,17,FALSE)</f>
        <v>5.145679280638054E-2</v>
      </c>
      <c r="T246" s="307">
        <f>VLOOKUP(A246,Targets!$A$1:$J$301,5,FALSE)</f>
        <v>645.8541665847365</v>
      </c>
      <c r="U246" s="307">
        <f>VLOOKUP(A246,Targets!$A$1:$J$301,5,FALSE)</f>
        <v>645.8541665847365</v>
      </c>
      <c r="V246" s="307">
        <f>VLOOKUP(A246,Targets!$A$1:$J$301,5,FALSE)</f>
        <v>645.8541665847365</v>
      </c>
      <c r="W246" s="307">
        <f>VLOOKUP(A246,Targets!$A$1:$J$301,5,FALSE)*3</f>
        <v>1937.5624997542095</v>
      </c>
      <c r="X246" s="307">
        <f>VLOOKUP(A246,Targets!$A$1:$J$301,6,FALSE)*2</f>
        <v>1291.708333169473</v>
      </c>
      <c r="Y246" s="429"/>
      <c r="Z246" s="429"/>
      <c r="AA246" s="542"/>
      <c r="AB246" s="21"/>
    </row>
    <row r="247" spans="1:28" ht="135">
      <c r="A247" s="31">
        <v>244</v>
      </c>
      <c r="B247" s="22" t="s">
        <v>39</v>
      </c>
      <c r="C247" s="22" t="s">
        <v>462</v>
      </c>
      <c r="D247" s="22" t="s">
        <v>487</v>
      </c>
      <c r="E247" s="23" t="s">
        <v>91</v>
      </c>
      <c r="F247" s="22" t="s">
        <v>96</v>
      </c>
      <c r="G247" s="22" t="s">
        <v>93</v>
      </c>
      <c r="H247" s="22" t="s">
        <v>30</v>
      </c>
      <c r="I247" s="22" t="s">
        <v>488</v>
      </c>
      <c r="J247" s="22" t="s">
        <v>96</v>
      </c>
      <c r="K247" s="22" t="s">
        <v>465</v>
      </c>
      <c r="L247" s="22">
        <v>2016</v>
      </c>
      <c r="M247" s="335">
        <f ca="1">VLOOKUP(A247,'2020_ModelLink'!$A$3:$S$332,18,FALSE)</f>
        <v>0</v>
      </c>
      <c r="N247" s="335">
        <f ca="1">VLOOKUP(A247,'2020_ModelLink'!$A$3:$S$332,19,FALSE)</f>
        <v>0</v>
      </c>
      <c r="O247" s="721">
        <f ca="1">VLOOKUP($A247,'2016_ModelLink'!$A$3:$S$332,17,FALSE)</f>
        <v>0.93905945941463409</v>
      </c>
      <c r="P247" s="721">
        <f ca="1">VLOOKUP($A247,'2017_ModelLink'!$A$3:$S$332,17,FALSE)</f>
        <v>2.8731189213291426</v>
      </c>
      <c r="Q247" s="721">
        <f ca="1">VLOOKUP($A247,'2018_ModelLink'!$A$3:$S$332,17,FALSE)</f>
        <v>0.41831196269124932</v>
      </c>
      <c r="R247" s="721">
        <f ca="1">VLOOKUP($A247,'2019_ModelLink'!$A$3:$S$332,17,FALSE)</f>
        <v>0.31540465908446702</v>
      </c>
      <c r="S247" s="721">
        <f ca="1">VLOOKUP($A247,'2020_ModelLink'!$A$3:$S$332,17,FALSE)</f>
        <v>0.73082070892054685</v>
      </c>
      <c r="T247" s="307">
        <f>VLOOKUP(A247,Targets!$A$1:$J$301,5,FALSE)</f>
        <v>0.12339609867903148</v>
      </c>
      <c r="U247" s="307">
        <f>VLOOKUP(A247,Targets!$A$1:$J$301,5,FALSE)</f>
        <v>0.12339609867903148</v>
      </c>
      <c r="V247" s="307">
        <f>VLOOKUP(A247,Targets!$A$1:$J$301,5,FALSE)</f>
        <v>0.12339609867903148</v>
      </c>
      <c r="W247" s="307">
        <f>VLOOKUP(A247,Targets!$A$1:$J$301,5,FALSE)*3</f>
        <v>0.37018829603709447</v>
      </c>
      <c r="X247" s="307">
        <f>VLOOKUP(A247,Targets!$A$1:$J$301,6,FALSE)*2</f>
        <v>0.24679219735806296</v>
      </c>
      <c r="Y247" s="429" t="s">
        <v>48</v>
      </c>
      <c r="Z247" s="429" t="s">
        <v>49</v>
      </c>
      <c r="AA247" s="542"/>
      <c r="AB247" s="21"/>
    </row>
    <row r="248" spans="1:28" ht="135">
      <c r="A248" s="31">
        <v>245</v>
      </c>
      <c r="B248" s="22" t="s">
        <v>39</v>
      </c>
      <c r="C248" s="22" t="s">
        <v>462</v>
      </c>
      <c r="D248" s="22" t="s">
        <v>487</v>
      </c>
      <c r="E248" s="23" t="s">
        <v>91</v>
      </c>
      <c r="F248" s="22" t="s">
        <v>97</v>
      </c>
      <c r="G248" s="22" t="s">
        <v>93</v>
      </c>
      <c r="H248" s="22" t="s">
        <v>30</v>
      </c>
      <c r="I248" s="22" t="s">
        <v>488</v>
      </c>
      <c r="J248" s="22" t="s">
        <v>97</v>
      </c>
      <c r="K248" s="22" t="s">
        <v>465</v>
      </c>
      <c r="L248" s="22">
        <v>2016</v>
      </c>
      <c r="M248" s="335">
        <f ca="1">VLOOKUP(A248,'2020_ModelLink'!$A$3:$S$332,18,FALSE)</f>
        <v>0</v>
      </c>
      <c r="N248" s="335">
        <f ca="1">VLOOKUP(A248,'2020_ModelLink'!$A$3:$S$332,19,FALSE)</f>
        <v>0</v>
      </c>
      <c r="O248" s="721">
        <f ca="1">VLOOKUP($A248,'2016_ModelLink'!$A$3:$S$332,17,FALSE)</f>
        <v>762.10704985271639</v>
      </c>
      <c r="P248" s="721">
        <f ca="1">VLOOKUP($A248,'2017_ModelLink'!$A$3:$S$332,17,FALSE)</f>
        <v>2496.4886004839304</v>
      </c>
      <c r="Q248" s="721">
        <f ca="1">VLOOKUP($A248,'2018_ModelLink'!$A$3:$S$332,17,FALSE)</f>
        <v>587.01052905849212</v>
      </c>
      <c r="R248" s="721">
        <f ca="1">VLOOKUP($A248,'2019_ModelLink'!$A$3:$S$332,17,FALSE)</f>
        <v>1168.1836618815444</v>
      </c>
      <c r="S248" s="721">
        <f ca="1">VLOOKUP($A248,'2020_ModelLink'!$A$3:$S$332,17,FALSE)</f>
        <v>634.57457503020896</v>
      </c>
      <c r="T248" s="307">
        <f>VLOOKUP(A248,Targets!$A$1:$J$301,5,FALSE)</f>
        <v>0.9242388365030243</v>
      </c>
      <c r="U248" s="307">
        <f>VLOOKUP(A248,Targets!$A$1:$J$301,5,FALSE)</f>
        <v>0.9242388365030243</v>
      </c>
      <c r="V248" s="307">
        <f>VLOOKUP(A248,Targets!$A$1:$J$301,5,FALSE)</f>
        <v>0.9242388365030243</v>
      </c>
      <c r="W248" s="307">
        <f>VLOOKUP(A248,Targets!$A$1:$J$301,5,FALSE)*3</f>
        <v>2.7727165095090731</v>
      </c>
      <c r="X248" s="307">
        <f>VLOOKUP(A248,Targets!$A$1:$J$301,6,FALSE)*2</f>
        <v>1.8484776730060486</v>
      </c>
      <c r="Y248" s="429"/>
      <c r="Z248" s="429"/>
      <c r="AA248" s="542"/>
      <c r="AB248" s="21"/>
    </row>
    <row r="249" spans="1:28" ht="135">
      <c r="A249" s="31">
        <v>246</v>
      </c>
      <c r="B249" s="22" t="s">
        <v>39</v>
      </c>
      <c r="C249" s="22" t="s">
        <v>462</v>
      </c>
      <c r="D249" s="22" t="s">
        <v>487</v>
      </c>
      <c r="E249" s="23" t="s">
        <v>91</v>
      </c>
      <c r="F249" s="22" t="s">
        <v>98</v>
      </c>
      <c r="G249" s="22" t="s">
        <v>93</v>
      </c>
      <c r="H249" s="22" t="s">
        <v>30</v>
      </c>
      <c r="I249" s="22" t="s">
        <v>488</v>
      </c>
      <c r="J249" s="22" t="s">
        <v>98</v>
      </c>
      <c r="K249" s="22" t="s">
        <v>465</v>
      </c>
      <c r="L249" s="22">
        <v>2016</v>
      </c>
      <c r="M249" s="335">
        <f ca="1">VLOOKUP(A249,'2020_ModelLink'!$A$3:$S$332,18,FALSE)</f>
        <v>0</v>
      </c>
      <c r="N249" s="335">
        <f ca="1">VLOOKUP(A249,'2020_ModelLink'!$A$3:$S$332,19,FALSE)</f>
        <v>0</v>
      </c>
      <c r="O249" s="721">
        <f ca="1">VLOOKUP($A249,'2016_ModelLink'!$A$3:$S$332,17,FALSE)</f>
        <v>0.14861232363755425</v>
      </c>
      <c r="P249" s="721">
        <f ca="1">VLOOKUP($A249,'2017_ModelLink'!$A$3:$S$332,17,FALSE)</f>
        <v>0.40346333838763115</v>
      </c>
      <c r="Q249" s="721">
        <f ca="1">VLOOKUP($A249,'2018_ModelLink'!$A$3:$S$332,17,FALSE)</f>
        <v>9.8840007936429303E-2</v>
      </c>
      <c r="R249" s="721">
        <f ca="1">VLOOKUP($A249,'2019_ModelLink'!$A$3:$S$332,17,FALSE)</f>
        <v>0.16253216054837744</v>
      </c>
      <c r="S249" s="721">
        <f ca="1">VLOOKUP($A249,'2020_ModelLink'!$A$3:$S$332,17,FALSE)</f>
        <v>8.5002763343336882E-2</v>
      </c>
      <c r="T249" s="307">
        <f>VLOOKUP(A249,Targets!$A$1:$J$301,5,FALSE)</f>
        <v>787.61683518185328</v>
      </c>
      <c r="U249" s="307">
        <f>VLOOKUP(A249,Targets!$A$1:$J$301,5,FALSE)</f>
        <v>787.61683518185328</v>
      </c>
      <c r="V249" s="307">
        <f>VLOOKUP(A249,Targets!$A$1:$J$301,5,FALSE)</f>
        <v>787.61683518185328</v>
      </c>
      <c r="W249" s="307">
        <f>VLOOKUP(A249,Targets!$A$1:$J$301,5,FALSE)*3</f>
        <v>2362.8505055455598</v>
      </c>
      <c r="X249" s="307">
        <f>VLOOKUP(A249,Targets!$A$1:$J$301,6,FALSE)*2</f>
        <v>1575.2336703637066</v>
      </c>
      <c r="Y249" s="429"/>
      <c r="Z249" s="429"/>
      <c r="AA249" s="542"/>
      <c r="AB249" s="21"/>
    </row>
    <row r="250" spans="1:28" ht="135">
      <c r="A250" s="31">
        <v>247</v>
      </c>
      <c r="B250" s="22" t="s">
        <v>39</v>
      </c>
      <c r="C250" s="22" t="s">
        <v>462</v>
      </c>
      <c r="D250" s="22" t="s">
        <v>487</v>
      </c>
      <c r="E250" s="23" t="s">
        <v>91</v>
      </c>
      <c r="F250" s="22" t="s">
        <v>99</v>
      </c>
      <c r="G250" s="22" t="s">
        <v>93</v>
      </c>
      <c r="H250" s="22" t="s">
        <v>30</v>
      </c>
      <c r="I250" s="22" t="s">
        <v>488</v>
      </c>
      <c r="J250" s="22" t="s">
        <v>99</v>
      </c>
      <c r="K250" s="22" t="s">
        <v>465</v>
      </c>
      <c r="L250" s="22">
        <v>2016</v>
      </c>
      <c r="M250" s="335">
        <f ca="1">VLOOKUP(A250,'2020_ModelLink'!$A$3:$S$332,18,FALSE)</f>
        <v>0</v>
      </c>
      <c r="N250" s="335">
        <f ca="1">VLOOKUP(A250,'2020_ModelLink'!$A$3:$S$332,19,FALSE)</f>
        <v>0</v>
      </c>
      <c r="O250" s="721">
        <f ca="1">VLOOKUP($A250,'2016_ModelLink'!$A$3:$S$332,17,FALSE)</f>
        <v>1.1130952313637799</v>
      </c>
      <c r="P250" s="721">
        <f ca="1">VLOOKUP($A250,'2017_ModelLink'!$A$3:$S$332,17,FALSE)</f>
        <v>3.1472035739340263</v>
      </c>
      <c r="Q250" s="721">
        <f ca="1">VLOOKUP($A250,'2018_ModelLink'!$A$3:$S$332,17,FALSE)</f>
        <v>1.0248836267359509</v>
      </c>
      <c r="R250" s="721">
        <f ca="1">VLOOKUP($A250,'2019_ModelLink'!$A$3:$S$332,17,FALSE)</f>
        <v>0.3387413426109398</v>
      </c>
      <c r="S250" s="721">
        <f ca="1">VLOOKUP($A250,'2020_ModelLink'!$A$3:$S$332,17,FALSE)</f>
        <v>1.2072610121764127</v>
      </c>
      <c r="T250" s="307">
        <f>VLOOKUP(A250,Targets!$A$1:$J$301,5,FALSE)</f>
        <v>0.15048109889775743</v>
      </c>
      <c r="U250" s="307">
        <f>VLOOKUP(A250,Targets!$A$1:$J$301,5,FALSE)</f>
        <v>0.15048109889775743</v>
      </c>
      <c r="V250" s="307">
        <f>VLOOKUP(A250,Targets!$A$1:$J$301,5,FALSE)</f>
        <v>0.15048109889775743</v>
      </c>
      <c r="W250" s="307">
        <f>VLOOKUP(A250,Targets!$A$1:$J$301,5,FALSE)*3</f>
        <v>0.45144329669327232</v>
      </c>
      <c r="X250" s="307">
        <f>VLOOKUP(A250,Targets!$A$1:$J$301,6,FALSE)*2</f>
        <v>0.30096219779551486</v>
      </c>
      <c r="Y250" s="429" t="s">
        <v>48</v>
      </c>
      <c r="Z250" s="429" t="s">
        <v>49</v>
      </c>
      <c r="AA250" s="542"/>
      <c r="AB250" s="21"/>
    </row>
    <row r="251" spans="1:28" ht="90">
      <c r="A251" s="31">
        <v>248</v>
      </c>
      <c r="B251" s="22" t="s">
        <v>39</v>
      </c>
      <c r="C251" s="22" t="s">
        <v>462</v>
      </c>
      <c r="D251" s="22" t="s">
        <v>489</v>
      </c>
      <c r="E251" s="23" t="s">
        <v>296</v>
      </c>
      <c r="F251" s="22" t="s">
        <v>297</v>
      </c>
      <c r="G251" s="22" t="s">
        <v>298</v>
      </c>
      <c r="H251" s="22" t="s">
        <v>30</v>
      </c>
      <c r="I251" s="22" t="s">
        <v>490</v>
      </c>
      <c r="J251" s="22" t="s">
        <v>297</v>
      </c>
      <c r="K251" s="22" t="s">
        <v>465</v>
      </c>
      <c r="L251" s="22">
        <v>2016</v>
      </c>
      <c r="M251" s="335">
        <f ca="1">VLOOKUP(A251,'2020_ModelLink'!$A$3:$S$332,18,FALSE)</f>
        <v>0</v>
      </c>
      <c r="N251" s="335">
        <f ca="1">VLOOKUP(A251,'2020_ModelLink'!$A$3:$S$332,19,FALSE)</f>
        <v>0</v>
      </c>
      <c r="O251" s="722">
        <f ca="1">VLOOKUP($A251,'2016_ModelLink'!$A$3:$S$332,17,FALSE)</f>
        <v>9.6619766678112263E-4</v>
      </c>
      <c r="P251" s="722">
        <f ca="1">VLOOKUP($A251,'2017_ModelLink'!$A$3:$S$332,17,FALSE)</f>
        <v>7.3983662364915303E-5</v>
      </c>
      <c r="Q251" s="722">
        <f ca="1">VLOOKUP($A251,'2018_ModelLink'!$A$3:$S$332,17,FALSE)</f>
        <v>5.10399338113581E-4</v>
      </c>
      <c r="R251" s="722">
        <f ca="1">VLOOKUP($A251,'2019_ModelLink'!$A$3:$S$332,17,FALSE)</f>
        <v>3.805093740521333E-4</v>
      </c>
      <c r="S251" s="722">
        <f ca="1">VLOOKUP($A251,'2020_ModelLink'!$A$3:$S$332,17,FALSE)</f>
        <v>2.8264866281909121E-3</v>
      </c>
      <c r="T251" s="715">
        <f>VLOOKUP(A251,Targets!$A$1:$J$301,5,FALSE)</f>
        <v>1.1271059397325469</v>
      </c>
      <c r="U251" s="715">
        <f>VLOOKUP(A251,Targets!$A$1:$J$301,5,FALSE)</f>
        <v>1.1271059397325469</v>
      </c>
      <c r="V251" s="715">
        <f>VLOOKUP(A251,Targets!$A$1:$J$301,5,FALSE)</f>
        <v>1.1271059397325469</v>
      </c>
      <c r="W251" s="715">
        <f>VLOOKUP(A251,Targets!$A$1:$J$301,5,FALSE)*3</f>
        <v>3.3813178191976405</v>
      </c>
      <c r="X251" s="715">
        <f>VLOOKUP(A251,Targets!$A$1:$J$301,6,FALSE)*2</f>
        <v>2.2542118794650938</v>
      </c>
      <c r="Y251" s="429"/>
      <c r="Z251" s="429"/>
      <c r="AA251" s="542"/>
      <c r="AB251" s="21"/>
    </row>
    <row r="252" spans="1:28" ht="90">
      <c r="A252" s="31">
        <v>249</v>
      </c>
      <c r="B252" s="22" t="s">
        <v>39</v>
      </c>
      <c r="C252" s="22" t="s">
        <v>462</v>
      </c>
      <c r="D252" s="22" t="s">
        <v>489</v>
      </c>
      <c r="E252" s="23" t="s">
        <v>296</v>
      </c>
      <c r="F252" s="22" t="s">
        <v>300</v>
      </c>
      <c r="G252" s="22" t="s">
        <v>298</v>
      </c>
      <c r="H252" s="22" t="s">
        <v>30</v>
      </c>
      <c r="I252" s="22" t="s">
        <v>490</v>
      </c>
      <c r="J252" s="22" t="s">
        <v>300</v>
      </c>
      <c r="K252" s="22" t="s">
        <v>465</v>
      </c>
      <c r="L252" s="22">
        <v>2016</v>
      </c>
      <c r="M252" s="335">
        <f ca="1">VLOOKUP(A252,'2020_ModelLink'!$A$3:$S$332,18,FALSE)</f>
        <v>0</v>
      </c>
      <c r="N252" s="335">
        <f ca="1">VLOOKUP(A252,'2020_ModelLink'!$A$3:$S$332,19,FALSE)</f>
        <v>0</v>
      </c>
      <c r="O252" s="722">
        <f ca="1">VLOOKUP($A252,'2016_ModelLink'!$A$3:$S$332,17,FALSE)</f>
        <v>6.2802850716355116E-4</v>
      </c>
      <c r="P252" s="722">
        <f ca="1">VLOOKUP($A252,'2017_ModelLink'!$A$3:$S$332,17,FALSE)</f>
        <v>5.5459444444939428E-5</v>
      </c>
      <c r="Q252" s="722">
        <f ca="1">VLOOKUP($A252,'2018_ModelLink'!$A$3:$S$332,17,FALSE)</f>
        <v>3.5903408442972476E-4</v>
      </c>
      <c r="R252" s="722">
        <f ca="1">VLOOKUP($A252,'2019_ModelLink'!$A$3:$S$332,17,FALSE)</f>
        <v>2.6989243085730668E-4</v>
      </c>
      <c r="S252" s="722">
        <f ca="1">VLOOKUP($A252,'2020_ModelLink'!$A$3:$S$332,17,FALSE)</f>
        <v>2.0344746112401454E-3</v>
      </c>
      <c r="T252" s="715">
        <f>VLOOKUP(A252,Targets!$A$1:$J$301,5,FALSE)</f>
        <v>9.9858476131225223E-4</v>
      </c>
      <c r="U252" s="715">
        <f>VLOOKUP(A252,Targets!$A$1:$J$301,5,FALSE)</f>
        <v>9.9858476131225223E-4</v>
      </c>
      <c r="V252" s="715">
        <f>VLOOKUP(A252,Targets!$A$1:$J$301,5,FALSE)</f>
        <v>9.9858476131225223E-4</v>
      </c>
      <c r="W252" s="715">
        <f>VLOOKUP(A252,Targets!$A$1:$J$301,5,FALSE)*3</f>
        <v>2.9957542839367567E-3</v>
      </c>
      <c r="X252" s="715">
        <f>VLOOKUP(A252,Targets!$A$1:$J$301,6,FALSE)*2</f>
        <v>1.9971695226245045E-3</v>
      </c>
      <c r="Y252" s="429"/>
      <c r="Z252" s="429"/>
      <c r="AA252" s="542"/>
      <c r="AB252" s="21"/>
    </row>
    <row r="253" spans="1:28" ht="90">
      <c r="A253" s="31">
        <v>250</v>
      </c>
      <c r="B253" s="22" t="s">
        <v>39</v>
      </c>
      <c r="C253" s="22" t="s">
        <v>462</v>
      </c>
      <c r="D253" s="22" t="s">
        <v>489</v>
      </c>
      <c r="E253" s="23" t="s">
        <v>296</v>
      </c>
      <c r="F253" s="22" t="s">
        <v>301</v>
      </c>
      <c r="G253" s="22" t="s">
        <v>298</v>
      </c>
      <c r="H253" s="22" t="s">
        <v>30</v>
      </c>
      <c r="I253" s="22" t="s">
        <v>490</v>
      </c>
      <c r="J253" s="22" t="s">
        <v>301</v>
      </c>
      <c r="K253" s="22" t="s">
        <v>465</v>
      </c>
      <c r="L253" s="22">
        <v>2016</v>
      </c>
      <c r="M253" s="335">
        <f ca="1">VLOOKUP(A253,'2020_ModelLink'!$A$3:$S$332,18,FALSE)</f>
        <v>0</v>
      </c>
      <c r="N253" s="335">
        <f ca="1">VLOOKUP(A253,'2020_ModelLink'!$A$3:$S$332,19,FALSE)</f>
        <v>0</v>
      </c>
      <c r="O253" s="722">
        <f ca="1">VLOOKUP($A253,'2016_ModelLink'!$A$3:$S$332,17,FALSE)</f>
        <v>7.2796534293688669E-4</v>
      </c>
      <c r="P253" s="722">
        <f ca="1">VLOOKUP($A253,'2017_ModelLink'!$A$3:$S$332,17,FALSE)</f>
        <v>9.7088945714961247E-5</v>
      </c>
      <c r="Q253" s="722">
        <f ca="1">VLOOKUP($A253,'2018_ModelLink'!$A$3:$S$332,17,FALSE)</f>
        <v>8.1704607597687267E-4</v>
      </c>
      <c r="R253" s="722">
        <f ca="1">VLOOKUP($A253,'2019_ModelLink'!$A$3:$S$332,17,FALSE)</f>
        <v>1.3776113514909569E-3</v>
      </c>
      <c r="S253" s="722">
        <f ca="1">VLOOKUP($A253,'2020_ModelLink'!$A$3:$S$332,17,FALSE)</f>
        <v>3.9128989842017684E-3</v>
      </c>
      <c r="T253" s="715">
        <f>VLOOKUP(A253,Targets!$A$1:$J$301,5,FALSE)</f>
        <v>5.9915088059546754E-4</v>
      </c>
      <c r="U253" s="715">
        <f>VLOOKUP(A253,Targets!$A$1:$J$301,5,FALSE)</f>
        <v>5.9915088059546754E-4</v>
      </c>
      <c r="V253" s="715">
        <f>VLOOKUP(A253,Targets!$A$1:$J$301,5,FALSE)</f>
        <v>5.9915088059546754E-4</v>
      </c>
      <c r="W253" s="715">
        <f>VLOOKUP(A253,Targets!$A$1:$J$301,5,FALSE)*3</f>
        <v>1.7974526417864026E-3</v>
      </c>
      <c r="X253" s="715">
        <f>VLOOKUP(A253,Targets!$A$1:$J$301,6,FALSE)*2</f>
        <v>1.1983017611909351E-3</v>
      </c>
      <c r="Y253" s="429"/>
      <c r="Z253" s="429"/>
      <c r="AA253" s="542"/>
      <c r="AB253" s="21"/>
    </row>
    <row r="254" spans="1:28" ht="90">
      <c r="A254" s="31">
        <v>251</v>
      </c>
      <c r="B254" s="22" t="s">
        <v>39</v>
      </c>
      <c r="C254" s="22" t="s">
        <v>462</v>
      </c>
      <c r="D254" s="22" t="s">
        <v>489</v>
      </c>
      <c r="E254" s="23" t="s">
        <v>296</v>
      </c>
      <c r="F254" s="22" t="s">
        <v>302</v>
      </c>
      <c r="G254" s="22" t="s">
        <v>298</v>
      </c>
      <c r="H254" s="22" t="s">
        <v>30</v>
      </c>
      <c r="I254" s="22" t="s">
        <v>490</v>
      </c>
      <c r="J254" s="22" t="s">
        <v>302</v>
      </c>
      <c r="K254" s="22" t="s">
        <v>465</v>
      </c>
      <c r="L254" s="22">
        <v>2016</v>
      </c>
      <c r="M254" s="335">
        <f ca="1">VLOOKUP(A254,'2020_ModelLink'!$A$3:$S$332,18,FALSE)</f>
        <v>0</v>
      </c>
      <c r="N254" s="335">
        <f ca="1">VLOOKUP(A254,'2020_ModelLink'!$A$3:$S$332,19,FALSE)</f>
        <v>0</v>
      </c>
      <c r="O254" s="722">
        <f ca="1">VLOOKUP($A254,'2016_ModelLink'!$A$3:$S$332,17,FALSE)</f>
        <v>4.7317749080739801E-4</v>
      </c>
      <c r="P254" s="722">
        <f ca="1">VLOOKUP($A254,'2017_ModelLink'!$A$3:$S$332,17,FALSE)</f>
        <v>6.9685030868200473E-5</v>
      </c>
      <c r="Q254" s="722">
        <f ca="1">VLOOKUP($A254,'2018_ModelLink'!$A$3:$S$332,17,FALSE)</f>
        <v>5.5436118994737105E-4</v>
      </c>
      <c r="R254" s="722">
        <f ca="1">VLOOKUP($A254,'2019_ModelLink'!$A$3:$S$332,17,FALSE)</f>
        <v>1.3077833140471415E-3</v>
      </c>
      <c r="S254" s="722">
        <f ca="1">VLOOKUP($A254,'2020_ModelLink'!$A$3:$S$332,17,FALSE)</f>
        <v>2.8398046022403826E-3</v>
      </c>
      <c r="T254" s="715">
        <f>VLOOKUP(A254,Targets!$A$1:$J$301,5,FALSE)</f>
        <v>7.765318394133612E-4</v>
      </c>
      <c r="U254" s="715">
        <f>VLOOKUP(A254,Targets!$A$1:$J$301,5,FALSE)</f>
        <v>7.765318394133612E-4</v>
      </c>
      <c r="V254" s="715">
        <f>VLOOKUP(A254,Targets!$A$1:$J$301,5,FALSE)</f>
        <v>7.765318394133612E-4</v>
      </c>
      <c r="W254" s="715">
        <f>VLOOKUP(A254,Targets!$A$1:$J$301,5,FALSE)*3</f>
        <v>2.3295955182400835E-3</v>
      </c>
      <c r="X254" s="715">
        <f>VLOOKUP(A254,Targets!$A$1:$J$301,6,FALSE)*2</f>
        <v>1.5530636788267224E-3</v>
      </c>
      <c r="Y254" s="429"/>
      <c r="Z254" s="429"/>
      <c r="AA254" s="542"/>
      <c r="AB254" s="21"/>
    </row>
    <row r="255" spans="1:28" ht="150">
      <c r="A255" s="31">
        <v>252</v>
      </c>
      <c r="B255" s="22" t="s">
        <v>39</v>
      </c>
      <c r="C255" s="22" t="s">
        <v>462</v>
      </c>
      <c r="D255" s="22" t="s">
        <v>489</v>
      </c>
      <c r="E255" s="23" t="s">
        <v>296</v>
      </c>
      <c r="F255" s="22" t="s">
        <v>303</v>
      </c>
      <c r="G255" s="22" t="s">
        <v>298</v>
      </c>
      <c r="H255" s="22" t="s">
        <v>30</v>
      </c>
      <c r="I255" s="22" t="s">
        <v>490</v>
      </c>
      <c r="J255" s="22" t="s">
        <v>303</v>
      </c>
      <c r="K255" s="22" t="s">
        <v>465</v>
      </c>
      <c r="L255" s="22">
        <v>2016</v>
      </c>
      <c r="M255" s="335">
        <f ca="1">VLOOKUP(A255,'2020_ModelLink'!$A$3:$S$332,18,FALSE)</f>
        <v>0</v>
      </c>
      <c r="N255" s="335">
        <f ca="1">VLOOKUP(A255,'2020_ModelLink'!$A$3:$S$332,19,FALSE)</f>
        <v>0</v>
      </c>
      <c r="O255" s="722">
        <f ca="1">VLOOKUP($A255,'2016_ModelLink'!$A$3:$S$332,17,FALSE)</f>
        <v>1.7724245040813888E-4</v>
      </c>
      <c r="P255" s="722">
        <f ca="1">VLOOKUP($A255,'2017_ModelLink'!$A$3:$S$332,17,FALSE)</f>
        <v>-6.2256861275032305E-6</v>
      </c>
      <c r="Q255" s="722">
        <f ca="1">VLOOKUP($A255,'2018_ModelLink'!$A$3:$S$332,17,FALSE)</f>
        <v>-1.7515103085964824E-5</v>
      </c>
      <c r="R255" s="722">
        <f ca="1">VLOOKUP($A255,'2019_ModelLink'!$A$3:$S$332,17,FALSE)</f>
        <v>1.1987473801171199E-4</v>
      </c>
      <c r="S255" s="722">
        <f ca="1">VLOOKUP($A255,'2020_ModelLink'!$A$3:$S$332,17,FALSE)</f>
        <v>8.3530389254277246E-4</v>
      </c>
      <c r="T255" s="715">
        <f>VLOOKUP(A255,Targets!$A$1:$J$301,5,FALSE)</f>
        <v>4.6591912216197826E-4</v>
      </c>
      <c r="U255" s="715">
        <f>VLOOKUP(A255,Targets!$A$1:$J$301,5,FALSE)</f>
        <v>4.6591912216197826E-4</v>
      </c>
      <c r="V255" s="715">
        <f>VLOOKUP(A255,Targets!$A$1:$J$301,5,FALSE)</f>
        <v>4.6591912216197826E-4</v>
      </c>
      <c r="W255" s="715">
        <f>VLOOKUP(A255,Targets!$A$1:$J$301,5,FALSE)*3</f>
        <v>1.3977573664859348E-3</v>
      </c>
      <c r="X255" s="715">
        <f>VLOOKUP(A255,Targets!$A$1:$J$301,6,FALSE)*2</f>
        <v>9.3183824432395651E-4</v>
      </c>
      <c r="Y255" s="429" t="s">
        <v>304</v>
      </c>
      <c r="Z255" s="429" t="s">
        <v>491</v>
      </c>
      <c r="AA255" s="542"/>
      <c r="AB255" s="21"/>
    </row>
    <row r="256" spans="1:28" ht="150">
      <c r="A256" s="31">
        <v>253</v>
      </c>
      <c r="B256" s="22" t="s">
        <v>39</v>
      </c>
      <c r="C256" s="22" t="s">
        <v>462</v>
      </c>
      <c r="D256" s="22" t="s">
        <v>489</v>
      </c>
      <c r="E256" s="23" t="s">
        <v>296</v>
      </c>
      <c r="F256" s="22" t="s">
        <v>305</v>
      </c>
      <c r="G256" s="22" t="s">
        <v>298</v>
      </c>
      <c r="H256" s="22" t="s">
        <v>30</v>
      </c>
      <c r="I256" s="22" t="s">
        <v>490</v>
      </c>
      <c r="J256" s="22" t="s">
        <v>305</v>
      </c>
      <c r="K256" s="22" t="s">
        <v>465</v>
      </c>
      <c r="L256" s="22">
        <v>2016</v>
      </c>
      <c r="M256" s="335">
        <f ca="1">VLOOKUP(A256,'2020_ModelLink'!$A$3:$S$332,18,FALSE)</f>
        <v>0</v>
      </c>
      <c r="N256" s="335">
        <f ca="1">VLOOKUP(A256,'2020_ModelLink'!$A$3:$S$332,19,FALSE)</f>
        <v>0</v>
      </c>
      <c r="O256" s="722">
        <f ca="1">VLOOKUP($A256,'2016_ModelLink'!$A$3:$S$332,17,FALSE)</f>
        <v>1.1520759712313551E-4</v>
      </c>
      <c r="P256" s="722">
        <f ca="1">VLOOKUP($A256,'2017_ModelLink'!$A$3:$S$332,17,FALSE)</f>
        <v>-4.6690991067663614E-6</v>
      </c>
      <c r="Q256" s="722">
        <f ca="1">VLOOKUP($A256,'2018_ModelLink'!$A$3:$S$332,17,FALSE)</f>
        <v>-1.4034961100658147E-5</v>
      </c>
      <c r="R256" s="722">
        <f ca="1">VLOOKUP($A256,'2019_ModelLink'!$A$3:$S$332,17,FALSE)</f>
        <v>1.4406559033403328E-4</v>
      </c>
      <c r="S256" s="722">
        <f ca="1">VLOOKUP($A256,'2020_ModelLink'!$A$3:$S$332,17,FALSE)</f>
        <v>6.0047091215010217E-4</v>
      </c>
      <c r="T256" s="715">
        <f>VLOOKUP(A256,Targets!$A$1:$J$301,5,FALSE)</f>
        <v>1.8314022057511656E-4</v>
      </c>
      <c r="U256" s="715">
        <f>VLOOKUP(A256,Targets!$A$1:$J$301,5,FALSE)</f>
        <v>1.8314022057511656E-4</v>
      </c>
      <c r="V256" s="715">
        <f>VLOOKUP(A256,Targets!$A$1:$J$301,5,FALSE)</f>
        <v>1.8314022057511656E-4</v>
      </c>
      <c r="W256" s="715">
        <f>VLOOKUP(A256,Targets!$A$1:$J$301,5,FALSE)*3</f>
        <v>5.4942066172534965E-4</v>
      </c>
      <c r="X256" s="715">
        <f>VLOOKUP(A256,Targets!$A$1:$J$301,6,FALSE)*2</f>
        <v>3.6628044115023312E-4</v>
      </c>
      <c r="Y256" s="429" t="s">
        <v>304</v>
      </c>
      <c r="Z256" s="429" t="s">
        <v>491</v>
      </c>
      <c r="AA256" s="542"/>
      <c r="AB256" s="21"/>
    </row>
    <row r="257" spans="1:28" ht="90">
      <c r="A257" s="31">
        <v>254</v>
      </c>
      <c r="B257" s="22" t="s">
        <v>39</v>
      </c>
      <c r="C257" s="22" t="s">
        <v>462</v>
      </c>
      <c r="D257" s="22" t="s">
        <v>489</v>
      </c>
      <c r="E257" s="23" t="s">
        <v>296</v>
      </c>
      <c r="F257" s="22" t="s">
        <v>306</v>
      </c>
      <c r="G257" s="22" t="s">
        <v>298</v>
      </c>
      <c r="H257" s="22" t="s">
        <v>30</v>
      </c>
      <c r="I257" s="22" t="s">
        <v>490</v>
      </c>
      <c r="J257" s="22" t="s">
        <v>306</v>
      </c>
      <c r="K257" s="22" t="s">
        <v>465</v>
      </c>
      <c r="L257" s="22">
        <v>2016</v>
      </c>
      <c r="M257" s="335">
        <f ca="1">VLOOKUP(A257,'2020_ModelLink'!$A$3:$S$332,18,FALSE)</f>
        <v>0</v>
      </c>
      <c r="N257" s="335">
        <f ca="1">VLOOKUP(A257,'2020_ModelLink'!$A$3:$S$332,19,FALSE)</f>
        <v>0</v>
      </c>
      <c r="O257" s="722">
        <f ca="1">VLOOKUP($A257,'2016_ModelLink'!$A$3:$S$332,17,FALSE)</f>
        <v>1.1550403315204979E-2</v>
      </c>
      <c r="P257" s="722">
        <f ca="1">VLOOKUP($A257,'2017_ModelLink'!$A$3:$S$332,17,FALSE)</f>
        <v>7.6265768169656435E-4</v>
      </c>
      <c r="Q257" s="722">
        <f ca="1">VLOOKUP($A257,'2018_ModelLink'!$A$3:$S$332,17,FALSE)</f>
        <v>3.1718293652414878E-3</v>
      </c>
      <c r="R257" s="722">
        <f ca="1">VLOOKUP($A257,'2019_ModelLink'!$A$3:$S$332,17,FALSE)</f>
        <v>2.5729118499737305E-3</v>
      </c>
      <c r="S257" s="722">
        <f ca="1">VLOOKUP($A257,'2020_ModelLink'!$A$3:$S$332,17,FALSE)</f>
        <v>1.8032583879206077E-2</v>
      </c>
      <c r="T257" s="715">
        <f>VLOOKUP(A257,Targets!$A$1:$J$301,5,FALSE)</f>
        <v>1.0988413671147334E-4</v>
      </c>
      <c r="U257" s="715">
        <f>VLOOKUP(A257,Targets!$A$1:$J$301,5,FALSE)</f>
        <v>1.0988413671147334E-4</v>
      </c>
      <c r="V257" s="715">
        <f>VLOOKUP(A257,Targets!$A$1:$J$301,5,FALSE)</f>
        <v>1.0988413671147334E-4</v>
      </c>
      <c r="W257" s="715">
        <f>VLOOKUP(A257,Targets!$A$1:$J$301,5,FALSE)*3</f>
        <v>3.2965241013442002E-4</v>
      </c>
      <c r="X257" s="715">
        <f>VLOOKUP(A257,Targets!$A$1:$J$301,6,FALSE)*2</f>
        <v>2.1976827342294668E-4</v>
      </c>
      <c r="Y257" s="429"/>
      <c r="Z257" s="429"/>
      <c r="AA257" s="542"/>
      <c r="AB257" s="21"/>
    </row>
    <row r="258" spans="1:28" ht="90">
      <c r="A258" s="31">
        <v>255</v>
      </c>
      <c r="B258" s="22" t="s">
        <v>39</v>
      </c>
      <c r="C258" s="22" t="s">
        <v>462</v>
      </c>
      <c r="D258" s="22" t="s">
        <v>489</v>
      </c>
      <c r="E258" s="23" t="s">
        <v>296</v>
      </c>
      <c r="F258" s="22" t="s">
        <v>307</v>
      </c>
      <c r="G258" s="22" t="s">
        <v>298</v>
      </c>
      <c r="H258" s="22" t="s">
        <v>30</v>
      </c>
      <c r="I258" s="22" t="s">
        <v>490</v>
      </c>
      <c r="J258" s="22" t="s">
        <v>307</v>
      </c>
      <c r="K258" s="22" t="s">
        <v>465</v>
      </c>
      <c r="L258" s="22">
        <v>2016</v>
      </c>
      <c r="M258" s="335">
        <f ca="1">VLOOKUP(A258,'2020_ModelLink'!$A$3:$S$332,18,FALSE)</f>
        <v>0</v>
      </c>
      <c r="N258" s="335">
        <f ca="1">VLOOKUP(A258,'2020_ModelLink'!$A$3:$S$332,19,FALSE)</f>
        <v>0</v>
      </c>
      <c r="O258" s="722">
        <f ca="1">VLOOKUP($A258,'2016_ModelLink'!$A$3:$S$332,17,FALSE)</f>
        <v>7.507762438872031E-3</v>
      </c>
      <c r="P258" s="722">
        <f ca="1">VLOOKUP($A258,'2017_ModelLink'!$A$3:$S$332,17,FALSE)</f>
        <v>5.7185174523948336E-4</v>
      </c>
      <c r="Q258" s="722">
        <f ca="1">VLOOKUP($A258,'2018_ModelLink'!$A$3:$S$332,17,FALSE)</f>
        <v>2.2651578550662342E-3</v>
      </c>
      <c r="R258" s="722">
        <f ca="1">VLOOKUP($A258,'2019_ModelLink'!$A$3:$S$332,17,FALSE)</f>
        <v>1.8656994718085945E-3</v>
      </c>
      <c r="S258" s="722">
        <f ca="1">VLOOKUP($A258,'2020_ModelLink'!$A$3:$S$332,17,FALSE)</f>
        <v>1.1959373839813683E-2</v>
      </c>
      <c r="T258" s="715">
        <f>VLOOKUP(A258,Targets!$A$1:$J$301,5,FALSE)</f>
        <v>1.1937583092195435E-2</v>
      </c>
      <c r="U258" s="715">
        <f>VLOOKUP(A258,Targets!$A$1:$J$301,5,FALSE)</f>
        <v>1.1937583092195435E-2</v>
      </c>
      <c r="V258" s="715">
        <f>VLOOKUP(A258,Targets!$A$1:$J$301,5,FALSE)</f>
        <v>1.1937583092195435E-2</v>
      </c>
      <c r="W258" s="715">
        <f>VLOOKUP(A258,Targets!$A$1:$J$301,5,FALSE)*3</f>
        <v>3.5812749276586307E-2</v>
      </c>
      <c r="X258" s="715">
        <f>VLOOKUP(A258,Targets!$A$1:$J$301,6,FALSE)*2</f>
        <v>2.387516618439087E-2</v>
      </c>
      <c r="Y258" s="429"/>
      <c r="Z258" s="429"/>
      <c r="AA258" s="542"/>
      <c r="AB258" s="21"/>
    </row>
    <row r="259" spans="1:28" ht="90">
      <c r="A259" s="31">
        <v>256</v>
      </c>
      <c r="B259" s="22" t="s">
        <v>39</v>
      </c>
      <c r="C259" s="22" t="s">
        <v>462</v>
      </c>
      <c r="D259" s="22" t="s">
        <v>489</v>
      </c>
      <c r="E259" s="23" t="s">
        <v>296</v>
      </c>
      <c r="F259" s="22" t="s">
        <v>308</v>
      </c>
      <c r="G259" s="22" t="s">
        <v>298</v>
      </c>
      <c r="H259" s="22" t="s">
        <v>30</v>
      </c>
      <c r="I259" s="22" t="s">
        <v>490</v>
      </c>
      <c r="J259" s="22" t="s">
        <v>308</v>
      </c>
      <c r="K259" s="22" t="s">
        <v>465</v>
      </c>
      <c r="L259" s="22">
        <v>2016</v>
      </c>
      <c r="M259" s="335">
        <f ca="1">VLOOKUP(A259,'2020_ModelLink'!$A$3:$S$332,18,FALSE)</f>
        <v>0</v>
      </c>
      <c r="N259" s="335">
        <f ca="1">VLOOKUP(A259,'2020_ModelLink'!$A$3:$S$332,19,FALSE)</f>
        <v>0</v>
      </c>
      <c r="O259" s="722">
        <f ca="1">VLOOKUP($A259,'2016_ModelLink'!$A$3:$S$332,17,FALSE)</f>
        <v>8.8374254135781868E-3</v>
      </c>
      <c r="P259" s="722">
        <f ca="1">VLOOKUP($A259,'2017_ModelLink'!$A$3:$S$332,17,FALSE)</f>
        <v>1.0579830304444659E-3</v>
      </c>
      <c r="Q259" s="722">
        <f ca="1">VLOOKUP($A259,'2018_ModelLink'!$A$3:$S$332,17,FALSE)</f>
        <v>6.5869909261697729E-3</v>
      </c>
      <c r="R259" s="722">
        <f ca="1">VLOOKUP($A259,'2019_ModelLink'!$A$3:$S$332,17,FALSE)</f>
        <v>3.9618876796045262E-3</v>
      </c>
      <c r="S259" s="722">
        <f ca="1">VLOOKUP($A259,'2020_ModelLink'!$A$3:$S$332,17,FALSE)</f>
        <v>2.6031304770984739E-2</v>
      </c>
      <c r="T259" s="715">
        <f>VLOOKUP(A259,Targets!$A$1:$J$301,5,FALSE)</f>
        <v>7.1625501399314312E-3</v>
      </c>
      <c r="U259" s="715">
        <f>VLOOKUP(A259,Targets!$A$1:$J$301,5,FALSE)</f>
        <v>7.1625501399314312E-3</v>
      </c>
      <c r="V259" s="715">
        <f>VLOOKUP(A259,Targets!$A$1:$J$301,5,FALSE)</f>
        <v>7.1625501399314312E-3</v>
      </c>
      <c r="W259" s="715">
        <f>VLOOKUP(A259,Targets!$A$1:$J$301,5,FALSE)*3</f>
        <v>2.1487650419794294E-2</v>
      </c>
      <c r="X259" s="715">
        <f>VLOOKUP(A259,Targets!$A$1:$J$301,6,FALSE)*2</f>
        <v>1.4325100279862862E-2</v>
      </c>
      <c r="Y259" s="429"/>
      <c r="Z259" s="429"/>
      <c r="AA259" s="542"/>
      <c r="AB259" s="21"/>
    </row>
    <row r="260" spans="1:28" ht="90">
      <c r="A260" s="31">
        <v>257</v>
      </c>
      <c r="B260" s="22" t="s">
        <v>39</v>
      </c>
      <c r="C260" s="22" t="s">
        <v>462</v>
      </c>
      <c r="D260" s="22" t="s">
        <v>489</v>
      </c>
      <c r="E260" s="23" t="s">
        <v>296</v>
      </c>
      <c r="F260" s="22" t="s">
        <v>309</v>
      </c>
      <c r="G260" s="22" t="s">
        <v>298</v>
      </c>
      <c r="H260" s="22" t="s">
        <v>30</v>
      </c>
      <c r="I260" s="22" t="s">
        <v>490</v>
      </c>
      <c r="J260" s="22" t="s">
        <v>309</v>
      </c>
      <c r="K260" s="22" t="s">
        <v>465</v>
      </c>
      <c r="L260" s="22">
        <v>2016</v>
      </c>
      <c r="M260" s="335">
        <f ca="1">VLOOKUP(A260,'2020_ModelLink'!$A$3:$S$332,18,FALSE)</f>
        <v>0</v>
      </c>
      <c r="N260" s="335">
        <f ca="1">VLOOKUP(A260,'2020_ModelLink'!$A$3:$S$332,19,FALSE)</f>
        <v>0</v>
      </c>
      <c r="O260" s="722">
        <f ca="1">VLOOKUP($A260,'2016_ModelLink'!$A$3:$S$332,17,FALSE)</f>
        <v>5.7443267361108573E-3</v>
      </c>
      <c r="P260" s="722">
        <f ca="1">VLOOKUP($A260,'2017_ModelLink'!$A$3:$S$332,17,FALSE)</f>
        <v>7.5603050130675499E-4</v>
      </c>
      <c r="Q260" s="722">
        <f ca="1">VLOOKUP($A260,'2018_ModelLink'!$A$3:$S$332,17,FALSE)</f>
        <v>4.4611581958437906E-3</v>
      </c>
      <c r="R260" s="722">
        <f ca="1">VLOOKUP($A260,'2019_ModelLink'!$A$3:$S$332,17,FALSE)</f>
        <v>3.1586674313852704E-3</v>
      </c>
      <c r="S260" s="722">
        <f ca="1">VLOOKUP($A260,'2020_ModelLink'!$A$3:$S$332,17,FALSE)</f>
        <v>1.7275104031910869E-2</v>
      </c>
      <c r="T260" s="715">
        <f>VLOOKUP(A260,Targets!$A$1:$J$301,5,FALSE)</f>
        <v>9.4247757831018922E-3</v>
      </c>
      <c r="U260" s="715">
        <f>VLOOKUP(A260,Targets!$A$1:$J$301,5,FALSE)</f>
        <v>9.4247757831018922E-3</v>
      </c>
      <c r="V260" s="715">
        <f>VLOOKUP(A260,Targets!$A$1:$J$301,5,FALSE)</f>
        <v>9.4247757831018922E-3</v>
      </c>
      <c r="W260" s="715">
        <f>VLOOKUP(A260,Targets!$A$1:$J$301,5,FALSE)*3</f>
        <v>2.8274327349305677E-2</v>
      </c>
      <c r="X260" s="715">
        <f>VLOOKUP(A260,Targets!$A$1:$J$301,6,FALSE)*2</f>
        <v>1.8849551566203784E-2</v>
      </c>
      <c r="Y260" s="429"/>
      <c r="Z260" s="429"/>
      <c r="AA260" s="542"/>
      <c r="AB260" s="21"/>
    </row>
    <row r="261" spans="1:28" ht="150">
      <c r="A261" s="31">
        <v>258</v>
      </c>
      <c r="B261" s="22" t="s">
        <v>39</v>
      </c>
      <c r="C261" s="22" t="s">
        <v>462</v>
      </c>
      <c r="D261" s="22" t="s">
        <v>489</v>
      </c>
      <c r="E261" s="23" t="s">
        <v>296</v>
      </c>
      <c r="F261" s="22" t="s">
        <v>310</v>
      </c>
      <c r="G261" s="22" t="s">
        <v>298</v>
      </c>
      <c r="H261" s="22" t="s">
        <v>30</v>
      </c>
      <c r="I261" s="22" t="s">
        <v>490</v>
      </c>
      <c r="J261" s="22" t="s">
        <v>310</v>
      </c>
      <c r="K261" s="22" t="s">
        <v>465</v>
      </c>
      <c r="L261" s="22">
        <v>2016</v>
      </c>
      <c r="M261" s="335">
        <f ca="1">VLOOKUP(A261,'2020_ModelLink'!$A$3:$S$332,18,FALSE)</f>
        <v>0</v>
      </c>
      <c r="N261" s="335">
        <f ca="1">VLOOKUP(A261,'2020_ModelLink'!$A$3:$S$332,19,FALSE)</f>
        <v>0</v>
      </c>
      <c r="O261" s="722">
        <f ca="1">VLOOKUP($A261,'2016_ModelLink'!$A$3:$S$332,17,FALSE)</f>
        <v>1.7550784437187291E-3</v>
      </c>
      <c r="P261" s="722">
        <f ca="1">VLOOKUP($A261,'2017_ModelLink'!$A$3:$S$332,17,FALSE)</f>
        <v>-6.4681448583369343E-5</v>
      </c>
      <c r="Q261" s="722">
        <f ca="1">VLOOKUP($A261,'2018_ModelLink'!$A$3:$S$332,17,FALSE)</f>
        <v>-8.5034986260506396E-5</v>
      </c>
      <c r="R261" s="722">
        <f ca="1">VLOOKUP($A261,'2019_ModelLink'!$A$3:$S$332,17,FALSE)</f>
        <v>-1.4754860482261783E-4</v>
      </c>
      <c r="S261" s="722">
        <f ca="1">VLOOKUP($A261,'2020_ModelLink'!$A$3:$S$332,17,FALSE)</f>
        <v>5.3057670671898876E-3</v>
      </c>
      <c r="T261" s="715">
        <f>VLOOKUP(A261,Targets!$A$1:$J$301,5,FALSE)</f>
        <v>5.6548656945652927E-3</v>
      </c>
      <c r="U261" s="715">
        <f>VLOOKUP(A261,Targets!$A$1:$J$301,5,FALSE)</f>
        <v>5.6548656945652927E-3</v>
      </c>
      <c r="V261" s="715">
        <f>VLOOKUP(A261,Targets!$A$1:$J$301,5,FALSE)</f>
        <v>5.6548656945652927E-3</v>
      </c>
      <c r="W261" s="715">
        <f>VLOOKUP(A261,Targets!$A$1:$J$301,5,FALSE)*3</f>
        <v>1.6964597083695878E-2</v>
      </c>
      <c r="X261" s="715">
        <f>VLOOKUP(A261,Targets!$A$1:$J$301,6,FALSE)*2</f>
        <v>1.1309731389130585E-2</v>
      </c>
      <c r="Y261" s="429" t="s">
        <v>304</v>
      </c>
      <c r="Z261" s="429" t="s">
        <v>491</v>
      </c>
      <c r="AA261" s="542"/>
      <c r="AB261" s="21"/>
    </row>
    <row r="262" spans="1:28" ht="150">
      <c r="A262" s="100">
        <v>259</v>
      </c>
      <c r="B262" s="22" t="s">
        <v>39</v>
      </c>
      <c r="C262" s="22" t="s">
        <v>462</v>
      </c>
      <c r="D262" s="22" t="s">
        <v>489</v>
      </c>
      <c r="E262" s="23" t="s">
        <v>296</v>
      </c>
      <c r="F262" s="101" t="s">
        <v>311</v>
      </c>
      <c r="G262" s="101" t="s">
        <v>298</v>
      </c>
      <c r="H262" s="101" t="s">
        <v>30</v>
      </c>
      <c r="I262" s="101" t="s">
        <v>490</v>
      </c>
      <c r="J262" s="101" t="s">
        <v>311</v>
      </c>
      <c r="K262" s="101" t="s">
        <v>465</v>
      </c>
      <c r="L262" s="101">
        <v>2016</v>
      </c>
      <c r="M262" s="335">
        <f ca="1">VLOOKUP(A262,'2020_ModelLink'!$A$3:$S$332,18,FALSE)</f>
        <v>0</v>
      </c>
      <c r="N262" s="335">
        <f ca="1">VLOOKUP(A262,'2020_ModelLink'!$A$3:$S$332,19,FALSE)</f>
        <v>0</v>
      </c>
      <c r="O262" s="722">
        <f ca="1">VLOOKUP($A262,'2016_ModelLink'!$A$3:$S$332,17,FALSE)</f>
        <v>1.1408010315691391E-3</v>
      </c>
      <c r="P262" s="722">
        <f ca="1">VLOOKUP($A262,'2017_ModelLink'!$A$3:$S$332,17,FALSE)</f>
        <v>-4.851025861823749E-5</v>
      </c>
      <c r="Q262" s="722">
        <f ca="1">VLOOKUP($A262,'2018_ModelLink'!$A$3:$S$332,17,FALSE)</f>
        <v>-7.4559846621453352E-5</v>
      </c>
      <c r="R262" s="722">
        <f ca="1">VLOOKUP($A262,'2019_ModelLink'!$A$3:$S$332,17,FALSE)</f>
        <v>-5.1931179568728174E-5</v>
      </c>
      <c r="S262" s="722">
        <f ca="1">VLOOKUP($A262,'2020_ModelLink'!$A$3:$S$332,17,FALSE)</f>
        <v>3.5030145573383569E-3</v>
      </c>
      <c r="T262" s="715">
        <f>VLOOKUP(A262,Targets!$A$1:$J$301,5,FALSE)</f>
        <v>1.8134595655180871E-3</v>
      </c>
      <c r="U262" s="715">
        <f>VLOOKUP(A262,Targets!$A$1:$J$301,5,FALSE)</f>
        <v>1.8134595655180871E-3</v>
      </c>
      <c r="V262" s="715">
        <f>VLOOKUP(A262,Targets!$A$1:$J$301,5,FALSE)</f>
        <v>1.8134595655180871E-3</v>
      </c>
      <c r="W262" s="715">
        <f>VLOOKUP(A262,Targets!$A$1:$J$301,5,FALSE)*3</f>
        <v>5.4403786965542614E-3</v>
      </c>
      <c r="X262" s="715">
        <f>VLOOKUP(A262,Targets!$A$1:$J$301,6,FALSE)*2</f>
        <v>3.6269191310361742E-3</v>
      </c>
      <c r="Y262" s="522" t="s">
        <v>304</v>
      </c>
      <c r="Z262" s="522" t="s">
        <v>491</v>
      </c>
      <c r="AA262" s="542"/>
      <c r="AB262" s="21"/>
    </row>
    <row r="263" spans="1:28" ht="195">
      <c r="A263" s="31">
        <v>260</v>
      </c>
      <c r="B263" s="22" t="s">
        <v>39</v>
      </c>
      <c r="C263" s="22" t="s">
        <v>492</v>
      </c>
      <c r="D263" s="22" t="s">
        <v>493</v>
      </c>
      <c r="E263" s="23" t="s">
        <v>51</v>
      </c>
      <c r="F263" s="22" t="s">
        <v>52</v>
      </c>
      <c r="G263" s="22" t="s">
        <v>53</v>
      </c>
      <c r="H263" s="22" t="s">
        <v>30</v>
      </c>
      <c r="I263" s="22" t="s">
        <v>494</v>
      </c>
      <c r="J263" s="22" t="s">
        <v>52</v>
      </c>
      <c r="K263" s="22" t="s">
        <v>495</v>
      </c>
      <c r="L263" s="22">
        <v>2016</v>
      </c>
      <c r="M263" s="335" t="str">
        <f ca="1">VLOOKUP(A263,'2020_ModelLink'!$A$3:$S$332,18,FALSE)</f>
        <v>N/A</v>
      </c>
      <c r="N263" s="335" t="str">
        <f ca="1">VLOOKUP(A263,'2020_ModelLink'!$A$3:$S$332,19,FALSE)</f>
        <v>N/A</v>
      </c>
      <c r="O263" s="721">
        <f ca="1">VLOOKUP($A263,'2016_ModelLink'!$A$3:$S$332,17,FALSE)</f>
        <v>64.026501473039502</v>
      </c>
      <c r="P263" s="721">
        <f ca="1">VLOOKUP($A263,'2017_ModelLink'!$A$3:$S$332,17,FALSE)</f>
        <v>1.3709999620914499</v>
      </c>
      <c r="Q263" s="721">
        <f ca="1">VLOOKUP($A263,'2018_ModelLink'!$A$3:$S$332,17,FALSE)</f>
        <v>7.3199999999999807</v>
      </c>
      <c r="R263" s="721">
        <f ca="1">VLOOKUP($A263,'2019_ModelLink'!$A$3:$S$332,17,FALSE)</f>
        <v>1.0720000000000001</v>
      </c>
      <c r="S263" s="721">
        <f ca="1">VLOOKUP($A263,'2020_ModelLink'!$A$3:$S$332,17,FALSE)</f>
        <v>0.9</v>
      </c>
      <c r="T263" s="307">
        <f>VLOOKUP(A263,Targets!$A$1:$J$301,5,FALSE)</f>
        <v>1.0880757825470985E-3</v>
      </c>
      <c r="U263" s="307">
        <f>VLOOKUP(A263,Targets!$A$1:$J$301,5,FALSE)</f>
        <v>1.0880757825470985E-3</v>
      </c>
      <c r="V263" s="307">
        <f>VLOOKUP(A263,Targets!$A$1:$J$301,5,FALSE)</f>
        <v>1.0880757825470985E-3</v>
      </c>
      <c r="W263" s="307">
        <f>VLOOKUP(A263,Targets!$A$1:$J$301,5,FALSE)*3</f>
        <v>3.2642273476412957E-3</v>
      </c>
      <c r="X263" s="307">
        <f>VLOOKUP(A263,Targets!$A$1:$J$301,6,FALSE)*2</f>
        <v>2.176151565094197E-3</v>
      </c>
      <c r="Y263" s="429"/>
      <c r="Z263" s="429"/>
      <c r="AA263" s="542"/>
      <c r="AB263" s="21"/>
    </row>
    <row r="264" spans="1:28" ht="195">
      <c r="A264" s="31">
        <v>261</v>
      </c>
      <c r="B264" s="22" t="s">
        <v>39</v>
      </c>
      <c r="C264" s="22" t="s">
        <v>492</v>
      </c>
      <c r="D264" s="22" t="s">
        <v>493</v>
      </c>
      <c r="E264" s="23" t="s">
        <v>51</v>
      </c>
      <c r="F264" s="22" t="s">
        <v>55</v>
      </c>
      <c r="G264" s="22" t="s">
        <v>53</v>
      </c>
      <c r="H264" s="22" t="s">
        <v>30</v>
      </c>
      <c r="I264" s="22" t="s">
        <v>494</v>
      </c>
      <c r="J264" s="22" t="s">
        <v>55</v>
      </c>
      <c r="K264" s="22" t="s">
        <v>495</v>
      </c>
      <c r="L264" s="22">
        <v>2016</v>
      </c>
      <c r="M264" s="335" t="str">
        <f ca="1">VLOOKUP(A264,'2020_ModelLink'!$A$3:$S$332,18,FALSE)</f>
        <v>N/A</v>
      </c>
      <c r="N264" s="335" t="str">
        <f ca="1">VLOOKUP(A264,'2020_ModelLink'!$A$3:$S$332,19,FALSE)</f>
        <v>N/A</v>
      </c>
      <c r="O264" s="721">
        <f ca="1">VLOOKUP($A264,'2016_ModelLink'!$A$3:$S$332,17,FALSE)</f>
        <v>41.617227531689799</v>
      </c>
      <c r="P264" s="721">
        <f ca="1">VLOOKUP($A264,'2017_ModelLink'!$A$3:$S$332,17,FALSE)</f>
        <v>1.3161600005851699</v>
      </c>
      <c r="Q264" s="721">
        <f ca="1">VLOOKUP($A264,'2018_ModelLink'!$A$3:$S$332,17,FALSE)</f>
        <v>5.489999912738786</v>
      </c>
      <c r="R264" s="721">
        <f ca="1">VLOOKUP($A264,'2019_ModelLink'!$A$3:$S$332,17,FALSE)</f>
        <v>1.02912002811432</v>
      </c>
      <c r="S264" s="721">
        <f ca="1">VLOOKUP($A264,'2020_ModelLink'!$A$3:$S$332,17,FALSE)</f>
        <v>0.58500002145767205</v>
      </c>
      <c r="T264" s="307">
        <f>VLOOKUP(A264,Targets!$A$1:$J$301,5,FALSE)</f>
        <v>68.078653473838287</v>
      </c>
      <c r="U264" s="307">
        <f>VLOOKUP(A264,Targets!$A$1:$J$301,5,FALSE)</f>
        <v>68.078653473838287</v>
      </c>
      <c r="V264" s="307">
        <f>VLOOKUP(A264,Targets!$A$1:$J$301,5,FALSE)</f>
        <v>68.078653473838287</v>
      </c>
      <c r="W264" s="307">
        <f>VLOOKUP(A264,Targets!$A$1:$J$301,5,FALSE)*3</f>
        <v>204.23596042151485</v>
      </c>
      <c r="X264" s="307">
        <f>VLOOKUP(A264,Targets!$A$1:$J$301,6,FALSE)*2</f>
        <v>136.15730694767657</v>
      </c>
      <c r="Y264" s="429"/>
      <c r="Z264" s="429"/>
      <c r="AA264" s="542"/>
      <c r="AB264" s="21"/>
    </row>
    <row r="265" spans="1:28" ht="195">
      <c r="A265" s="31">
        <v>262</v>
      </c>
      <c r="B265" s="22" t="s">
        <v>39</v>
      </c>
      <c r="C265" s="22" t="s">
        <v>492</v>
      </c>
      <c r="D265" s="22" t="s">
        <v>493</v>
      </c>
      <c r="E265" s="23" t="s">
        <v>51</v>
      </c>
      <c r="F265" s="22" t="s">
        <v>56</v>
      </c>
      <c r="G265" s="22" t="s">
        <v>53</v>
      </c>
      <c r="H265" s="22" t="s">
        <v>30</v>
      </c>
      <c r="I265" s="22" t="s">
        <v>494</v>
      </c>
      <c r="J265" s="22" t="s">
        <v>56</v>
      </c>
      <c r="K265" s="22" t="s">
        <v>495</v>
      </c>
      <c r="L265" s="22">
        <v>2016</v>
      </c>
      <c r="M265" s="335" t="str">
        <f ca="1">VLOOKUP(A265,'2020_ModelLink'!$A$3:$S$332,18,FALSE)</f>
        <v>N/A</v>
      </c>
      <c r="N265" s="335" t="str">
        <f ca="1">VLOOKUP(A265,'2020_ModelLink'!$A$3:$S$332,19,FALSE)</f>
        <v>N/A</v>
      </c>
      <c r="O265" s="721">
        <f ca="1">VLOOKUP($A265,'2016_ModelLink'!$A$3:$S$332,17,FALSE)</f>
        <v>312333.68990855297</v>
      </c>
      <c r="P265" s="721">
        <f ca="1">VLOOKUP($A265,'2017_ModelLink'!$A$3:$S$332,17,FALSE)</f>
        <v>33246.484862297773</v>
      </c>
      <c r="Q265" s="721">
        <f ca="1">VLOOKUP($A265,'2018_ModelLink'!$A$3:$S$332,17,FALSE)</f>
        <v>13598.999999999964</v>
      </c>
      <c r="R265" s="721">
        <f ca="1">VLOOKUP($A265,'2019_ModelLink'!$A$3:$S$332,17,FALSE)</f>
        <v>159660.47617571798</v>
      </c>
      <c r="S265" s="721">
        <f ca="1">VLOOKUP($A265,'2020_ModelLink'!$A$3:$S$332,17,FALSE)</f>
        <v>9260.58</v>
      </c>
      <c r="T265" s="307">
        <f>VLOOKUP(A265,Targets!$A$1:$J$301,5,FALSE)</f>
        <v>40.943823913984609</v>
      </c>
      <c r="U265" s="307">
        <f>VLOOKUP(A265,Targets!$A$1:$J$301,5,FALSE)</f>
        <v>40.943823913984609</v>
      </c>
      <c r="V265" s="307">
        <f>VLOOKUP(A265,Targets!$A$1:$J$301,5,FALSE)</f>
        <v>40.943823913984609</v>
      </c>
      <c r="W265" s="307">
        <f>VLOOKUP(A265,Targets!$A$1:$J$301,5,FALSE)*3</f>
        <v>122.83147174195383</v>
      </c>
      <c r="X265" s="307">
        <f>VLOOKUP(A265,Targets!$A$1:$J$301,6,FALSE)*2</f>
        <v>81.887647827969218</v>
      </c>
      <c r="Y265" s="429"/>
      <c r="Z265" s="429"/>
      <c r="AA265" s="542"/>
      <c r="AB265" s="21"/>
    </row>
    <row r="266" spans="1:28" ht="195">
      <c r="A266" s="31">
        <v>263</v>
      </c>
      <c r="B266" s="22" t="s">
        <v>39</v>
      </c>
      <c r="C266" s="22" t="s">
        <v>492</v>
      </c>
      <c r="D266" s="22" t="s">
        <v>493</v>
      </c>
      <c r="E266" s="23" t="s">
        <v>51</v>
      </c>
      <c r="F266" s="22" t="s">
        <v>57</v>
      </c>
      <c r="G266" s="22" t="s">
        <v>53</v>
      </c>
      <c r="H266" s="22" t="s">
        <v>30</v>
      </c>
      <c r="I266" s="22" t="s">
        <v>494</v>
      </c>
      <c r="J266" s="22" t="s">
        <v>57</v>
      </c>
      <c r="K266" s="22" t="s">
        <v>495</v>
      </c>
      <c r="L266" s="22">
        <v>2016</v>
      </c>
      <c r="M266" s="335" t="str">
        <f ca="1">VLOOKUP(A266,'2020_ModelLink'!$A$3:$S$332,18,FALSE)</f>
        <v>N/A</v>
      </c>
      <c r="N266" s="335" t="str">
        <f ca="1">VLOOKUP(A266,'2020_ModelLink'!$A$3:$S$332,19,FALSE)</f>
        <v>N/A</v>
      </c>
      <c r="O266" s="721">
        <f ca="1">VLOOKUP($A266,'2016_ModelLink'!$A$3:$S$332,17,FALSE)</f>
        <v>204017.36924985301</v>
      </c>
      <c r="P266" s="721">
        <f ca="1">VLOOKUP($A266,'2017_ModelLink'!$A$3:$S$332,17,FALSE)</f>
        <v>24144.809678673868</v>
      </c>
      <c r="Q266" s="721">
        <f ca="1">VLOOKUP($A266,'2018_ModelLink'!$A$3:$S$332,17,FALSE)</f>
        <v>10199.249837887273</v>
      </c>
      <c r="R266" s="721">
        <f ca="1">VLOOKUP($A266,'2019_ModelLink'!$A$3:$S$332,17,FALSE)</f>
        <v>105501.6334229674</v>
      </c>
      <c r="S266" s="721">
        <f ca="1">VLOOKUP($A266,'2020_ModelLink'!$A$3:$S$332,17,FALSE)</f>
        <v>6239.1444112029094</v>
      </c>
      <c r="T266" s="307">
        <f>VLOOKUP(A266,Targets!$A$1:$J$301,5,FALSE)</f>
        <v>332009.16967821243</v>
      </c>
      <c r="U266" s="307">
        <f>VLOOKUP(A266,Targets!$A$1:$J$301,5,FALSE)</f>
        <v>332009.16967821243</v>
      </c>
      <c r="V266" s="307">
        <f>VLOOKUP(A266,Targets!$A$1:$J$301,5,FALSE)</f>
        <v>332009.16967821243</v>
      </c>
      <c r="W266" s="307">
        <f>VLOOKUP(A266,Targets!$A$1:$J$301,5,FALSE)*3</f>
        <v>996027.50903463736</v>
      </c>
      <c r="X266" s="307">
        <f>VLOOKUP(A266,Targets!$A$1:$J$301,6,FALSE)*2</f>
        <v>664018.33935642487</v>
      </c>
      <c r="Y266" s="429"/>
      <c r="Z266" s="429"/>
      <c r="AA266" s="542"/>
      <c r="AB266" s="21"/>
    </row>
    <row r="267" spans="1:28" ht="195">
      <c r="A267" s="31">
        <v>264</v>
      </c>
      <c r="B267" s="22" t="s">
        <v>39</v>
      </c>
      <c r="C267" s="22" t="s">
        <v>492</v>
      </c>
      <c r="D267" s="22" t="s">
        <v>493</v>
      </c>
      <c r="E267" s="23" t="s">
        <v>51</v>
      </c>
      <c r="F267" s="22" t="s">
        <v>58</v>
      </c>
      <c r="G267" s="22" t="s">
        <v>53</v>
      </c>
      <c r="H267" s="22" t="s">
        <v>30</v>
      </c>
      <c r="I267" s="22" t="s">
        <v>494</v>
      </c>
      <c r="J267" s="22" t="s">
        <v>58</v>
      </c>
      <c r="K267" s="22" t="s">
        <v>495</v>
      </c>
      <c r="L267" s="22">
        <v>2016</v>
      </c>
      <c r="M267" s="335" t="str">
        <f ca="1">VLOOKUP(A267,'2020_ModelLink'!$A$3:$S$332,18,FALSE)</f>
        <v>N/A</v>
      </c>
      <c r="N267" s="335" t="str">
        <f ca="1">VLOOKUP(A267,'2020_ModelLink'!$A$3:$S$332,19,FALSE)</f>
        <v>N/A</v>
      </c>
      <c r="O267" s="721">
        <f ca="1">VLOOKUP($A267,'2016_ModelLink'!$A$3:$S$332,17,FALSE)</f>
        <v>118404.87186440801</v>
      </c>
      <c r="P267" s="721">
        <f ca="1">VLOOKUP($A267,'2017_ModelLink'!$A$3:$S$332,17,FALSE)</f>
        <v>66514.941511273457</v>
      </c>
      <c r="Q267" s="721">
        <f ca="1">VLOOKUP($A267,'2018_ModelLink'!$A$3:$S$332,17,FALSE)</f>
        <v>0</v>
      </c>
      <c r="R267" s="721">
        <f ca="1">VLOOKUP($A267,'2019_ModelLink'!$A$3:$S$332,17,FALSE)</f>
        <v>35025.523743103979</v>
      </c>
      <c r="S267" s="721">
        <f ca="1">VLOOKUP($A267,'2020_ModelLink'!$A$3:$S$332,17,FALSE)</f>
        <v>17210.7</v>
      </c>
      <c r="T267" s="307">
        <f>VLOOKUP(A267,Targets!$A$1:$J$301,5,FALSE)</f>
        <v>200452.24778073607</v>
      </c>
      <c r="U267" s="307">
        <f>VLOOKUP(A267,Targets!$A$1:$J$301,5,FALSE)</f>
        <v>200452.24778073607</v>
      </c>
      <c r="V267" s="307">
        <f>VLOOKUP(A267,Targets!$A$1:$J$301,5,FALSE)</f>
        <v>200452.24778073607</v>
      </c>
      <c r="W267" s="307">
        <f>VLOOKUP(A267,Targets!$A$1:$J$301,5,FALSE)*3</f>
        <v>601356.74334220821</v>
      </c>
      <c r="X267" s="307">
        <f>VLOOKUP(A267,Targets!$A$1:$J$301,6,FALSE)*2</f>
        <v>400904.49556147214</v>
      </c>
      <c r="Y267" s="429" t="s">
        <v>294</v>
      </c>
      <c r="Z267" s="429" t="s">
        <v>49</v>
      </c>
      <c r="AA267" s="542"/>
      <c r="AB267" s="21"/>
    </row>
    <row r="268" spans="1:28" ht="195">
      <c r="A268" s="31">
        <v>265</v>
      </c>
      <c r="B268" s="22" t="s">
        <v>39</v>
      </c>
      <c r="C268" s="22" t="s">
        <v>492</v>
      </c>
      <c r="D268" s="22" t="s">
        <v>493</v>
      </c>
      <c r="E268" s="23" t="s">
        <v>51</v>
      </c>
      <c r="F268" s="22" t="s">
        <v>60</v>
      </c>
      <c r="G268" s="22" t="s">
        <v>53</v>
      </c>
      <c r="H268" s="22" t="s">
        <v>30</v>
      </c>
      <c r="I268" s="22" t="s">
        <v>494</v>
      </c>
      <c r="J268" s="22" t="s">
        <v>60</v>
      </c>
      <c r="K268" s="22" t="s">
        <v>495</v>
      </c>
      <c r="L268" s="22">
        <v>2016</v>
      </c>
      <c r="M268" s="335" t="str">
        <f ca="1">VLOOKUP(A268,'2020_ModelLink'!$A$3:$S$332,18,FALSE)</f>
        <v>N/A</v>
      </c>
      <c r="N268" s="335" t="str">
        <f ca="1">VLOOKUP(A268,'2020_ModelLink'!$A$3:$S$332,19,FALSE)</f>
        <v>N/A</v>
      </c>
      <c r="O268" s="721">
        <f ca="1">VLOOKUP($A268,'2016_ModelLink'!$A$3:$S$332,17,FALSE)</f>
        <v>77582.157315912904</v>
      </c>
      <c r="P268" s="721">
        <f ca="1">VLOOKUP($A268,'2017_ModelLink'!$A$3:$S$332,17,FALSE)</f>
        <v>45224.473159542111</v>
      </c>
      <c r="Q268" s="721">
        <f ca="1">VLOOKUP($A268,'2018_ModelLink'!$A$3:$S$332,17,FALSE)</f>
        <v>0</v>
      </c>
      <c r="R268" s="721">
        <f ca="1">VLOOKUP($A268,'2019_ModelLink'!$A$3:$S$332,17,FALSE)</f>
        <v>23522.461983011202</v>
      </c>
      <c r="S268" s="721">
        <f ca="1">VLOOKUP($A268,'2020_ModelLink'!$A$3:$S$332,17,FALSE)</f>
        <v>11703.275917933001</v>
      </c>
      <c r="T268" s="307">
        <f>VLOOKUP(A268,Targets!$A$1:$J$301,5,FALSE)</f>
        <v>128951.32745688046</v>
      </c>
      <c r="U268" s="307">
        <f>VLOOKUP(A268,Targets!$A$1:$J$301,5,FALSE)</f>
        <v>128951.32745688046</v>
      </c>
      <c r="V268" s="307">
        <f>VLOOKUP(A268,Targets!$A$1:$J$301,5,FALSE)</f>
        <v>128951.32745688046</v>
      </c>
      <c r="W268" s="307">
        <f>VLOOKUP(A268,Targets!$A$1:$J$301,5,FALSE)*3</f>
        <v>386853.98237064137</v>
      </c>
      <c r="X268" s="307">
        <f>VLOOKUP(A268,Targets!$A$1:$J$301,6,FALSE)*2</f>
        <v>257902.65491376093</v>
      </c>
      <c r="Y268" s="429" t="s">
        <v>294</v>
      </c>
      <c r="Z268" s="429" t="s">
        <v>49</v>
      </c>
      <c r="AA268" s="542"/>
      <c r="AB268" s="21"/>
    </row>
    <row r="269" spans="1:28" ht="195">
      <c r="A269" s="31">
        <v>266</v>
      </c>
      <c r="B269" s="22" t="s">
        <v>39</v>
      </c>
      <c r="C269" s="22" t="s">
        <v>492</v>
      </c>
      <c r="D269" s="22" t="s">
        <v>493</v>
      </c>
      <c r="E269" s="23" t="s">
        <v>51</v>
      </c>
      <c r="F269" s="22" t="s">
        <v>61</v>
      </c>
      <c r="G269" s="22" t="s">
        <v>53</v>
      </c>
      <c r="H269" s="22" t="s">
        <v>30</v>
      </c>
      <c r="I269" s="22" t="s">
        <v>494</v>
      </c>
      <c r="J269" s="22" t="s">
        <v>61</v>
      </c>
      <c r="K269" s="22" t="s">
        <v>495</v>
      </c>
      <c r="L269" s="22">
        <v>2016</v>
      </c>
      <c r="M269" s="335" t="str">
        <f ca="1">VLOOKUP(A269,'2020_ModelLink'!$A$3:$S$332,18,FALSE)</f>
        <v>N/A</v>
      </c>
      <c r="N269" s="335" t="str">
        <f ca="1">VLOOKUP(A269,'2020_ModelLink'!$A$3:$S$332,19,FALSE)</f>
        <v>N/A</v>
      </c>
      <c r="O269" s="721">
        <f ca="1">VLOOKUP($A269,'2016_ModelLink'!$A$3:$S$332,17,FALSE)</f>
        <v>707.90726606825797</v>
      </c>
      <c r="P269" s="721">
        <f ca="1">VLOOKUP($A269,'2017_ModelLink'!$A$3:$S$332,17,FALSE)</f>
        <v>12.8873991206646</v>
      </c>
      <c r="Q269" s="721">
        <f ca="1">VLOOKUP($A269,'2018_ModelLink'!$A$3:$S$332,17,FALSE)</f>
        <v>73.199999999999804</v>
      </c>
      <c r="R269" s="721">
        <f ca="1">VLOOKUP($A269,'2019_ModelLink'!$A$3:$S$332,17,FALSE)</f>
        <v>12.864000000000001</v>
      </c>
      <c r="S269" s="721">
        <f ca="1">VLOOKUP($A269,'2020_ModelLink'!$A$3:$S$332,17,FALSE)</f>
        <v>9</v>
      </c>
      <c r="T269" s="307">
        <f>VLOOKUP(A269,Targets!$A$1:$J$301,5,FALSE)</f>
        <v>76793.762680266504</v>
      </c>
      <c r="U269" s="307">
        <f>VLOOKUP(A269,Targets!$A$1:$J$301,5,FALSE)</f>
        <v>76793.762680266504</v>
      </c>
      <c r="V269" s="307">
        <f>VLOOKUP(A269,Targets!$A$1:$J$301,5,FALSE)</f>
        <v>76793.762680266504</v>
      </c>
      <c r="W269" s="307">
        <f>VLOOKUP(A269,Targets!$A$1:$J$301,5,FALSE)*3</f>
        <v>230381.2880407995</v>
      </c>
      <c r="X269" s="307">
        <f>VLOOKUP(A269,Targets!$A$1:$J$301,6,FALSE)*2</f>
        <v>153587.52536053301</v>
      </c>
      <c r="Y269" s="429"/>
      <c r="Z269" s="429"/>
      <c r="AA269" s="542"/>
      <c r="AB269" s="21"/>
    </row>
    <row r="270" spans="1:28" ht="195">
      <c r="A270" s="31">
        <v>267</v>
      </c>
      <c r="B270" s="22" t="s">
        <v>39</v>
      </c>
      <c r="C270" s="22" t="s">
        <v>492</v>
      </c>
      <c r="D270" s="22" t="s">
        <v>493</v>
      </c>
      <c r="E270" s="23" t="s">
        <v>51</v>
      </c>
      <c r="F270" s="22" t="s">
        <v>62</v>
      </c>
      <c r="G270" s="22" t="s">
        <v>53</v>
      </c>
      <c r="H270" s="22" t="s">
        <v>30</v>
      </c>
      <c r="I270" s="22" t="s">
        <v>494</v>
      </c>
      <c r="J270" s="22" t="s">
        <v>62</v>
      </c>
      <c r="K270" s="22" t="s">
        <v>495</v>
      </c>
      <c r="L270" s="22">
        <v>2016</v>
      </c>
      <c r="M270" s="335" t="str">
        <f ca="1">VLOOKUP(A270,'2020_ModelLink'!$A$3:$S$332,18,FALSE)</f>
        <v>N/A</v>
      </c>
      <c r="N270" s="335" t="str">
        <f ca="1">VLOOKUP(A270,'2020_ModelLink'!$A$3:$S$332,19,FALSE)</f>
        <v>N/A</v>
      </c>
      <c r="O270" s="721">
        <f ca="1">VLOOKUP($A270,'2016_ModelLink'!$A$3:$S$332,17,FALSE)</f>
        <v>460.13974034962399</v>
      </c>
      <c r="P270" s="721">
        <f ca="1">VLOOKUP($A270,'2017_ModelLink'!$A$3:$S$332,17,FALSE)</f>
        <v>12.371903503425401</v>
      </c>
      <c r="Q270" s="721">
        <f ca="1">VLOOKUP($A270,'2018_ModelLink'!$A$3:$S$332,17,FALSE)</f>
        <v>54.899999127387851</v>
      </c>
      <c r="R270" s="721">
        <f ca="1">VLOOKUP($A270,'2019_ModelLink'!$A$3:$S$332,17,FALSE)</f>
        <v>12.349440337371799</v>
      </c>
      <c r="S270" s="721">
        <f ca="1">VLOOKUP($A270,'2020_ModelLink'!$A$3:$S$332,17,FALSE)</f>
        <v>5.8500002145767196</v>
      </c>
      <c r="T270" s="307">
        <f>VLOOKUP(A270,Targets!$A$1:$J$301,5,FALSE)</f>
        <v>753.56745623509482</v>
      </c>
      <c r="U270" s="307">
        <f>VLOOKUP(A270,Targets!$A$1:$J$301,5,FALSE)</f>
        <v>753.56745623509482</v>
      </c>
      <c r="V270" s="307">
        <f>VLOOKUP(A270,Targets!$A$1:$J$301,5,FALSE)</f>
        <v>753.56745623509482</v>
      </c>
      <c r="W270" s="307">
        <f>VLOOKUP(A270,Targets!$A$1:$J$301,5,FALSE)*3</f>
        <v>2260.7023687052842</v>
      </c>
      <c r="X270" s="307">
        <f>VLOOKUP(A270,Targets!$A$1:$J$301,6,FALSE)*2</f>
        <v>1507.1349124701896</v>
      </c>
      <c r="Y270" s="429"/>
      <c r="Z270" s="429"/>
      <c r="AA270" s="542"/>
      <c r="AB270" s="21"/>
    </row>
    <row r="271" spans="1:28" ht="195">
      <c r="A271" s="31">
        <v>268</v>
      </c>
      <c r="B271" s="22" t="s">
        <v>39</v>
      </c>
      <c r="C271" s="22" t="s">
        <v>492</v>
      </c>
      <c r="D271" s="22" t="s">
        <v>493</v>
      </c>
      <c r="E271" s="23" t="s">
        <v>51</v>
      </c>
      <c r="F271" s="22" t="s">
        <v>63</v>
      </c>
      <c r="G271" s="22" t="s">
        <v>53</v>
      </c>
      <c r="H271" s="22" t="s">
        <v>30</v>
      </c>
      <c r="I271" s="22" t="s">
        <v>494</v>
      </c>
      <c r="J271" s="22" t="s">
        <v>63</v>
      </c>
      <c r="K271" s="22" t="s">
        <v>495</v>
      </c>
      <c r="L271" s="22">
        <v>2016</v>
      </c>
      <c r="M271" s="335" t="str">
        <f ca="1">VLOOKUP(A271,'2020_ModelLink'!$A$3:$S$332,18,FALSE)</f>
        <v>N/A</v>
      </c>
      <c r="N271" s="335" t="str">
        <f ca="1">VLOOKUP(A271,'2020_ModelLink'!$A$3:$S$332,19,FALSE)</f>
        <v>N/A</v>
      </c>
      <c r="O271" s="721">
        <f ca="1">VLOOKUP($A271,'2016_ModelLink'!$A$3:$S$332,17,FALSE)</f>
        <v>3201579.9480787599</v>
      </c>
      <c r="P271" s="721">
        <f ca="1">VLOOKUP($A271,'2017_ModelLink'!$A$3:$S$332,17,FALSE)</f>
        <v>98792.021732779656</v>
      </c>
      <c r="Q271" s="721">
        <f ca="1">VLOOKUP($A271,'2018_ModelLink'!$A$3:$S$332,17,FALSE)</f>
        <v>135989.99999999965</v>
      </c>
      <c r="R271" s="721">
        <f ca="1">VLOOKUP($A271,'2019_ModelLink'!$A$3:$S$332,17,FALSE)</f>
        <v>2314097.0415604399</v>
      </c>
      <c r="S271" s="721">
        <f ca="1">VLOOKUP($A271,'2020_ModelLink'!$A$3:$S$332,17,FALSE)</f>
        <v>55977.9</v>
      </c>
      <c r="T271" s="307">
        <f>VLOOKUP(A271,Targets!$A$1:$J$301,5,FALSE)</f>
        <v>453.21009833509379</v>
      </c>
      <c r="U271" s="307">
        <f>VLOOKUP(A271,Targets!$A$1:$J$301,5,FALSE)</f>
        <v>453.21009833509379</v>
      </c>
      <c r="V271" s="307">
        <f>VLOOKUP(A271,Targets!$A$1:$J$301,5,FALSE)</f>
        <v>453.21009833509379</v>
      </c>
      <c r="W271" s="307">
        <f>VLOOKUP(A271,Targets!$A$1:$J$301,5,FALSE)*3</f>
        <v>1359.6302950052814</v>
      </c>
      <c r="X271" s="307">
        <f>VLOOKUP(A271,Targets!$A$1:$J$301,6,FALSE)*2</f>
        <v>906.42019667018758</v>
      </c>
      <c r="Y271" s="429"/>
      <c r="Z271" s="429"/>
      <c r="AA271" s="542"/>
      <c r="AB271" s="21"/>
    </row>
    <row r="272" spans="1:28" ht="195">
      <c r="A272" s="31">
        <v>269</v>
      </c>
      <c r="B272" s="22" t="s">
        <v>39</v>
      </c>
      <c r="C272" s="22" t="s">
        <v>492</v>
      </c>
      <c r="D272" s="22" t="s">
        <v>493</v>
      </c>
      <c r="E272" s="23" t="s">
        <v>51</v>
      </c>
      <c r="F272" s="22" t="s">
        <v>64</v>
      </c>
      <c r="G272" s="22" t="s">
        <v>53</v>
      </c>
      <c r="H272" s="22" t="s">
        <v>30</v>
      </c>
      <c r="I272" s="22" t="s">
        <v>494</v>
      </c>
      <c r="J272" s="22" t="s">
        <v>64</v>
      </c>
      <c r="K272" s="22" t="s">
        <v>495</v>
      </c>
      <c r="L272" s="22">
        <v>2016</v>
      </c>
      <c r="M272" s="335" t="str">
        <f ca="1">VLOOKUP(A272,'2020_ModelLink'!$A$3:$S$332,18,FALSE)</f>
        <v>N/A</v>
      </c>
      <c r="N272" s="335" t="str">
        <f ca="1">VLOOKUP(A272,'2020_ModelLink'!$A$3:$S$332,19,FALSE)</f>
        <v>N/A</v>
      </c>
      <c r="O272" s="721">
        <f ca="1">VLOOKUP($A272,'2016_ModelLink'!$A$3:$S$332,17,FALSE)</f>
        <v>2086029.36061803</v>
      </c>
      <c r="P272" s="721">
        <f ca="1">VLOOKUP($A272,'2017_ModelLink'!$A$3:$S$332,17,FALSE)</f>
        <v>81628.25479150434</v>
      </c>
      <c r="Q272" s="721">
        <f ca="1">VLOOKUP($A272,'2018_ModelLink'!$A$3:$S$332,17,FALSE)</f>
        <v>101992.49837887273</v>
      </c>
      <c r="R272" s="721">
        <f ca="1">VLOOKUP($A272,'2019_ModelLink'!$A$3:$S$332,17,FALSE)</f>
        <v>1522565.7727726984</v>
      </c>
      <c r="S272" s="721">
        <f ca="1">VLOOKUP($A272,'2020_ModelLink'!$A$3:$S$332,17,FALSE)</f>
        <v>37484.472286684599</v>
      </c>
      <c r="T272" s="307">
        <f>VLOOKUP(A272,Targets!$A$1:$J$301,5,FALSE)</f>
        <v>3416127.574048162</v>
      </c>
      <c r="U272" s="307">
        <f>VLOOKUP(A272,Targets!$A$1:$J$301,5,FALSE)</f>
        <v>3416127.574048162</v>
      </c>
      <c r="V272" s="307">
        <f>VLOOKUP(A272,Targets!$A$1:$J$301,5,FALSE)</f>
        <v>3416127.574048162</v>
      </c>
      <c r="W272" s="307">
        <f>VLOOKUP(A272,Targets!$A$1:$J$301,5,FALSE)*3</f>
        <v>10248382.722144486</v>
      </c>
      <c r="X272" s="307">
        <f>VLOOKUP(A272,Targets!$A$1:$J$301,6,FALSE)*2</f>
        <v>6832255.1480963239</v>
      </c>
      <c r="Y272" s="429"/>
      <c r="Z272" s="429"/>
      <c r="AA272" s="542"/>
      <c r="AB272" s="21"/>
    </row>
    <row r="273" spans="1:28" ht="195">
      <c r="A273" s="31">
        <v>270</v>
      </c>
      <c r="B273" s="22" t="s">
        <v>39</v>
      </c>
      <c r="C273" s="22" t="s">
        <v>492</v>
      </c>
      <c r="D273" s="22" t="s">
        <v>493</v>
      </c>
      <c r="E273" s="23" t="s">
        <v>51</v>
      </c>
      <c r="F273" s="22" t="s">
        <v>65</v>
      </c>
      <c r="G273" s="22" t="s">
        <v>53</v>
      </c>
      <c r="H273" s="22" t="s">
        <v>30</v>
      </c>
      <c r="I273" s="22" t="s">
        <v>494</v>
      </c>
      <c r="J273" s="22" t="s">
        <v>65</v>
      </c>
      <c r="K273" s="22" t="s">
        <v>495</v>
      </c>
      <c r="L273" s="22">
        <v>2016</v>
      </c>
      <c r="M273" s="335" t="str">
        <f ca="1">VLOOKUP(A273,'2020_ModelLink'!$A$3:$S$332,18,FALSE)</f>
        <v>N/A</v>
      </c>
      <c r="N273" s="335" t="str">
        <f ca="1">VLOOKUP(A273,'2020_ModelLink'!$A$3:$S$332,19,FALSE)</f>
        <v>N/A</v>
      </c>
      <c r="O273" s="721">
        <f ca="1">VLOOKUP($A273,'2016_ModelLink'!$A$3:$S$332,17,FALSE)</f>
        <v>586854.62541833404</v>
      </c>
      <c r="P273" s="721">
        <f ca="1">VLOOKUP($A273,'2017_ModelLink'!$A$3:$S$332,17,FALSE)</f>
        <v>112919.01675275473</v>
      </c>
      <c r="Q273" s="721">
        <f ca="1">VLOOKUP($A273,'2018_ModelLink'!$A$3:$S$332,17,FALSE)</f>
        <v>0</v>
      </c>
      <c r="R273" s="721">
        <f ca="1">VLOOKUP($A273,'2019_ModelLink'!$A$3:$S$332,17,FALSE)</f>
        <v>223515.88543103979</v>
      </c>
      <c r="S273" s="721">
        <f ca="1">VLOOKUP($A273,'2020_ModelLink'!$A$3:$S$332,17,FALSE)</f>
        <v>86053.5</v>
      </c>
      <c r="T273" s="307">
        <f>VLOOKUP(A273,Targets!$A$1:$J$301,5,FALSE)</f>
        <v>2056560.1584205988</v>
      </c>
      <c r="U273" s="307">
        <f>VLOOKUP(A273,Targets!$A$1:$J$301,5,FALSE)</f>
        <v>2056560.1584205988</v>
      </c>
      <c r="V273" s="307">
        <f>VLOOKUP(A273,Targets!$A$1:$J$301,5,FALSE)</f>
        <v>2056560.1584205988</v>
      </c>
      <c r="W273" s="307">
        <f>VLOOKUP(A273,Targets!$A$1:$J$301,5,FALSE)*3</f>
        <v>6169680.4752617963</v>
      </c>
      <c r="X273" s="307">
        <f>VLOOKUP(A273,Targets!$A$1:$J$301,6,FALSE)*2</f>
        <v>4113120.3168411977</v>
      </c>
      <c r="Y273" s="429" t="s">
        <v>294</v>
      </c>
      <c r="Z273" s="429" t="s">
        <v>49</v>
      </c>
      <c r="AA273" s="542"/>
      <c r="AB273" s="21"/>
    </row>
    <row r="274" spans="1:28" ht="195">
      <c r="A274" s="31">
        <v>271</v>
      </c>
      <c r="B274" s="22" t="s">
        <v>39</v>
      </c>
      <c r="C274" s="22" t="s">
        <v>492</v>
      </c>
      <c r="D274" s="22" t="s">
        <v>493</v>
      </c>
      <c r="E274" s="23" t="s">
        <v>51</v>
      </c>
      <c r="F274" s="22" t="s">
        <v>66</v>
      </c>
      <c r="G274" s="22" t="s">
        <v>53</v>
      </c>
      <c r="H274" s="22" t="s">
        <v>30</v>
      </c>
      <c r="I274" s="22" t="s">
        <v>494</v>
      </c>
      <c r="J274" s="22" t="s">
        <v>66</v>
      </c>
      <c r="K274" s="22" t="s">
        <v>495</v>
      </c>
      <c r="L274" s="22">
        <v>2016</v>
      </c>
      <c r="M274" s="335" t="str">
        <f ca="1">VLOOKUP(A274,'2020_ModelLink'!$A$3:$S$332,18,FALSE)</f>
        <v>N/A</v>
      </c>
      <c r="N274" s="335" t="str">
        <f ca="1">VLOOKUP(A274,'2020_ModelLink'!$A$3:$S$332,19,FALSE)</f>
        <v>N/A</v>
      </c>
      <c r="O274" s="721">
        <f ca="1">VLOOKUP($A274,'2016_ModelLink'!$A$3:$S$332,17,FALSE)</f>
        <v>384550.45941504597</v>
      </c>
      <c r="P274" s="721">
        <f ca="1">VLOOKUP($A274,'2017_ModelLink'!$A$3:$S$332,17,FALSE)</f>
        <v>76731.475014908487</v>
      </c>
      <c r="Q274" s="721">
        <f ca="1">VLOOKUP($A274,'2018_ModelLink'!$A$3:$S$332,17,FALSE)</f>
        <v>0</v>
      </c>
      <c r="R274" s="721">
        <f ca="1">VLOOKUP($A274,'2019_ModelLink'!$A$3:$S$332,17,FALSE)</f>
        <v>149033.92251357349</v>
      </c>
      <c r="S274" s="721">
        <f ca="1">VLOOKUP($A274,'2020_ModelLink'!$A$3:$S$332,17,FALSE)</f>
        <v>58516.379589664903</v>
      </c>
      <c r="T274" s="307">
        <f>VLOOKUP(A274,Targets!$A$1:$J$301,5,FALSE)</f>
        <v>639024.85504376807</v>
      </c>
      <c r="U274" s="307">
        <f>VLOOKUP(A274,Targets!$A$1:$J$301,5,FALSE)</f>
        <v>639024.85504376807</v>
      </c>
      <c r="V274" s="307">
        <f>VLOOKUP(A274,Targets!$A$1:$J$301,5,FALSE)</f>
        <v>639024.85504376807</v>
      </c>
      <c r="W274" s="307">
        <f>VLOOKUP(A274,Targets!$A$1:$J$301,5,FALSE)*3</f>
        <v>1917074.5651313043</v>
      </c>
      <c r="X274" s="307">
        <f>VLOOKUP(A274,Targets!$A$1:$J$301,6,FALSE)*2</f>
        <v>1278049.7100875361</v>
      </c>
      <c r="Y274" s="429" t="s">
        <v>294</v>
      </c>
      <c r="Z274" s="429" t="s">
        <v>49</v>
      </c>
      <c r="AA274" s="542"/>
      <c r="AB274" s="21"/>
    </row>
    <row r="275" spans="1:28" ht="120">
      <c r="A275" s="31">
        <v>272</v>
      </c>
      <c r="B275" s="22" t="s">
        <v>39</v>
      </c>
      <c r="C275" s="22" t="s">
        <v>492</v>
      </c>
      <c r="D275" s="22" t="s">
        <v>496</v>
      </c>
      <c r="E275" s="23" t="s">
        <v>42</v>
      </c>
      <c r="F275" s="22" t="s">
        <v>43</v>
      </c>
      <c r="G275" s="22" t="s">
        <v>44</v>
      </c>
      <c r="H275" s="22" t="s">
        <v>30</v>
      </c>
      <c r="I275" s="22" t="s">
        <v>497</v>
      </c>
      <c r="J275" s="22" t="s">
        <v>46</v>
      </c>
      <c r="K275" s="22" t="s">
        <v>495</v>
      </c>
      <c r="L275" s="22">
        <v>2016</v>
      </c>
      <c r="M275" s="335" t="str">
        <f ca="1">VLOOKUP(A275,'2020_ModelLink'!$A$3:$S$332,18,FALSE)</f>
        <v>N/A</v>
      </c>
      <c r="N275" s="335" t="str">
        <f ca="1">VLOOKUP(A275,'2020_ModelLink'!$A$3:$S$332,19,FALSE)</f>
        <v>N/A</v>
      </c>
      <c r="O275" s="721">
        <f ca="1">VLOOKUP($A275,'2016_ModelLink'!$A$3:$S$332,17,FALSE)</f>
        <v>555.42571383398445</v>
      </c>
      <c r="P275" s="721">
        <f ca="1">VLOOKUP($A275,'2017_ModelLink'!$A$3:$S$332,17,FALSE)</f>
        <v>256.76008818839563</v>
      </c>
      <c r="Q275" s="721">
        <f ca="1">VLOOKUP($A275,'2018_ModelLink'!$A$3:$S$332,17,FALSE)</f>
        <v>7.2108696353863015</v>
      </c>
      <c r="R275" s="721">
        <f ca="1">VLOOKUP($A275,'2019_ModelLink'!$A$3:$S$332,17,FALSE)</f>
        <v>199.25870333999731</v>
      </c>
      <c r="S275" s="721">
        <f ca="1">VLOOKUP($A275,'2020_ModelLink'!$A$3:$S$332,17,FALSE)</f>
        <v>66.438437463765354</v>
      </c>
      <c r="T275" s="307">
        <f>VLOOKUP(A275,Targets!$A$1:$J$301,5,FALSE)</f>
        <v>380595.1114908976</v>
      </c>
      <c r="U275" s="307">
        <f>VLOOKUP(A275,Targets!$A$1:$J$301,5,FALSE)</f>
        <v>380595.1114908976</v>
      </c>
      <c r="V275" s="307">
        <f>VLOOKUP(A275,Targets!$A$1:$J$301,5,FALSE)</f>
        <v>380595.1114908976</v>
      </c>
      <c r="W275" s="307">
        <f>VLOOKUP(A275,Targets!$A$1:$J$301,5,FALSE)*3</f>
        <v>1141785.3344726928</v>
      </c>
      <c r="X275" s="307">
        <f>VLOOKUP(A275,Targets!$A$1:$J$301,6,FALSE)*2</f>
        <v>761190.2229817952</v>
      </c>
      <c r="Y275" s="429" t="s">
        <v>48</v>
      </c>
      <c r="Z275" s="429"/>
      <c r="AA275" s="542"/>
      <c r="AB275" s="21"/>
    </row>
    <row r="276" spans="1:28" ht="409.5">
      <c r="A276" s="31">
        <v>273</v>
      </c>
      <c r="B276" s="22" t="s">
        <v>39</v>
      </c>
      <c r="C276" s="22" t="s">
        <v>492</v>
      </c>
      <c r="D276" s="22" t="s">
        <v>498</v>
      </c>
      <c r="E276" s="23" t="s">
        <v>499</v>
      </c>
      <c r="F276" s="22" t="s">
        <v>142</v>
      </c>
      <c r="G276" s="22" t="s">
        <v>143</v>
      </c>
      <c r="H276" s="22" t="s">
        <v>30</v>
      </c>
      <c r="I276" s="22" t="s">
        <v>500</v>
      </c>
      <c r="J276" s="22" t="s">
        <v>501</v>
      </c>
      <c r="K276" s="22" t="s">
        <v>495</v>
      </c>
      <c r="L276" s="22">
        <v>2016</v>
      </c>
      <c r="M276" s="335">
        <f ca="1">VLOOKUP(A276,'2020_ModelLink'!$A$3:$S$332,18,FALSE)</f>
        <v>0</v>
      </c>
      <c r="N276" s="335">
        <f ca="1">VLOOKUP(A276,'2020_ModelLink'!$A$3:$S$332,19,FALSE)</f>
        <v>0</v>
      </c>
      <c r="O276" s="722">
        <f ca="1">VLOOKUP($A276,'2016_ModelLink'!$A$3:$S$332,17,FALSE)</f>
        <v>0.12121212121212122</v>
      </c>
      <c r="P276" s="722">
        <f ca="1">VLOOKUP($A276,'2017_ModelLink'!$A$3:$S$332,17,FALSE)</f>
        <v>3.0303030303030304E-2</v>
      </c>
      <c r="Q276" s="722">
        <f ca="1">VLOOKUP($A276,'2018_ModelLink'!$A$3:$S$332,17,FALSE)</f>
        <v>3.4482758620689655E-2</v>
      </c>
      <c r="R276" s="722">
        <f ca="1">VLOOKUP($A276,'2019_ModelLink'!$A$3:$S$332,17,FALSE)</f>
        <v>0</v>
      </c>
      <c r="S276" s="722">
        <f ca="1">VLOOKUP($A276,'2020_ModelLink'!$A$3:$S$332,17,FALSE)</f>
        <v>0</v>
      </c>
      <c r="T276" s="715">
        <f>VLOOKUP(A276,Targets!$A$1:$J$301,5,FALSE)</f>
        <v>101.67043606130515</v>
      </c>
      <c r="U276" s="715">
        <f>VLOOKUP(A276,Targets!$A$1:$J$301,5,FALSE)</f>
        <v>101.67043606130515</v>
      </c>
      <c r="V276" s="715">
        <f>VLOOKUP(A276,Targets!$A$1:$J$301,5,FALSE)</f>
        <v>101.67043606130515</v>
      </c>
      <c r="W276" s="715">
        <f>VLOOKUP(A276,Targets!$A$1:$J$301,5,FALSE)*3</f>
        <v>305.01130818391545</v>
      </c>
      <c r="X276" s="715">
        <f>VLOOKUP(A276,Targets!$A$1:$J$301,6,FALSE)*2</f>
        <v>203.34087212261031</v>
      </c>
      <c r="Y276" s="429" t="s">
        <v>502</v>
      </c>
      <c r="Z276" s="429" t="s">
        <v>246</v>
      </c>
      <c r="AA276" s="542"/>
      <c r="AB276" s="21"/>
    </row>
    <row r="277" spans="1:28" ht="409.5">
      <c r="A277" s="31">
        <v>274</v>
      </c>
      <c r="B277" s="22" t="s">
        <v>39</v>
      </c>
      <c r="C277" s="22" t="s">
        <v>492</v>
      </c>
      <c r="D277" s="22" t="s">
        <v>498</v>
      </c>
      <c r="E277" s="23" t="s">
        <v>499</v>
      </c>
      <c r="F277" s="22" t="s">
        <v>142</v>
      </c>
      <c r="G277" s="22" t="s">
        <v>143</v>
      </c>
      <c r="H277" s="22" t="s">
        <v>30</v>
      </c>
      <c r="I277" s="22" t="s">
        <v>503</v>
      </c>
      <c r="J277" s="22" t="s">
        <v>504</v>
      </c>
      <c r="K277" s="22" t="s">
        <v>495</v>
      </c>
      <c r="L277" s="22">
        <v>2016</v>
      </c>
      <c r="M277" s="335">
        <f ca="1">VLOOKUP(A277,'2020_ModelLink'!$A$3:$S$332,18,FALSE)</f>
        <v>0</v>
      </c>
      <c r="N277" s="335">
        <f ca="1">VLOOKUP(A277,'2020_ModelLink'!$A$3:$S$332,19,FALSE)</f>
        <v>0</v>
      </c>
      <c r="O277" s="722">
        <f ca="1">VLOOKUP($A277,'2016_ModelLink'!$A$3:$S$332,17,FALSE)</f>
        <v>2.7027027027027029E-2</v>
      </c>
      <c r="P277" s="722">
        <f ca="1">VLOOKUP($A277,'2017_ModelLink'!$A$3:$S$332,17,FALSE)</f>
        <v>4.4910179640718561E-3</v>
      </c>
      <c r="Q277" s="722">
        <f ca="1">VLOOKUP($A277,'2018_ModelLink'!$A$3:$S$332,17,FALSE)</f>
        <v>6.024096385542169E-3</v>
      </c>
      <c r="R277" s="722">
        <f ca="1">VLOOKUP($A277,'2019_ModelLink'!$A$3:$S$332,17,FALSE)</f>
        <v>4.9019607843137254E-3</v>
      </c>
      <c r="S277" s="722">
        <f ca="1">VLOOKUP($A277,'2020_ModelLink'!$A$3:$S$332,17,FALSE)</f>
        <v>7.0175438596491229E-3</v>
      </c>
      <c r="T277" s="715">
        <f>VLOOKUP(A277,Targets!$A$1:$J$301,5,FALSE)</f>
        <v>1.0432380567299792E-2</v>
      </c>
      <c r="U277" s="715">
        <f>VLOOKUP(A277,Targets!$A$1:$J$301,5,FALSE)</f>
        <v>1.0432380567299792E-2</v>
      </c>
      <c r="V277" s="715">
        <f>VLOOKUP(A277,Targets!$A$1:$J$301,5,FALSE)</f>
        <v>1.0432380567299792E-2</v>
      </c>
      <c r="W277" s="715">
        <f>VLOOKUP(A277,Targets!$A$1:$J$301,5,FALSE)*3</f>
        <v>3.1297141701899373E-2</v>
      </c>
      <c r="X277" s="715">
        <f>VLOOKUP(A277,Targets!$A$1:$J$301,6,FALSE)*2</f>
        <v>2.0864761134599584E-2</v>
      </c>
      <c r="Y277" s="429" t="s">
        <v>502</v>
      </c>
      <c r="Z277" s="429" t="s">
        <v>246</v>
      </c>
      <c r="AA277" s="542"/>
      <c r="AB277" s="21"/>
    </row>
    <row r="278" spans="1:28" ht="409.5">
      <c r="A278" s="31">
        <v>275</v>
      </c>
      <c r="B278" s="22" t="s">
        <v>39</v>
      </c>
      <c r="C278" s="22" t="s">
        <v>492</v>
      </c>
      <c r="D278" s="22" t="s">
        <v>498</v>
      </c>
      <c r="E278" s="23" t="s">
        <v>499</v>
      </c>
      <c r="F278" s="22" t="s">
        <v>142</v>
      </c>
      <c r="G278" s="22" t="s">
        <v>143</v>
      </c>
      <c r="H278" s="22" t="s">
        <v>30</v>
      </c>
      <c r="I278" s="22" t="s">
        <v>505</v>
      </c>
      <c r="J278" s="22" t="s">
        <v>506</v>
      </c>
      <c r="K278" s="22" t="s">
        <v>495</v>
      </c>
      <c r="L278" s="22">
        <v>2016</v>
      </c>
      <c r="M278" s="335">
        <f ca="1">VLOOKUP(A278,'2020_ModelLink'!$A$3:$S$332,18,FALSE)</f>
        <v>0</v>
      </c>
      <c r="N278" s="335">
        <f ca="1">VLOOKUP(A278,'2020_ModelLink'!$A$3:$S$332,19,FALSE)</f>
        <v>0</v>
      </c>
      <c r="O278" s="722">
        <f ca="1">VLOOKUP($A278,'2016_ModelLink'!$A$3:$S$332,17,FALSE)</f>
        <v>2.2650056625141564E-3</v>
      </c>
      <c r="P278" s="722">
        <f ca="1">VLOOKUP($A278,'2017_ModelLink'!$A$3:$S$332,17,FALSE)</f>
        <v>1.128668171557562E-3</v>
      </c>
      <c r="Q278" s="722">
        <f ca="1">VLOOKUP($A278,'2018_ModelLink'!$A$3:$S$332,17,FALSE)</f>
        <v>0</v>
      </c>
      <c r="R278" s="722">
        <f ca="1">VLOOKUP($A278,'2019_ModelLink'!$A$3:$S$332,17,FALSE)</f>
        <v>1.2432656444260257E-3</v>
      </c>
      <c r="S278" s="722">
        <f ca="1">VLOOKUP($A278,'2020_ModelLink'!$A$3:$S$332,17,FALSE)</f>
        <v>4.2789901583226359E-4</v>
      </c>
      <c r="T278" s="715">
        <f>VLOOKUP(A278,Targets!$A$1:$J$301,5,FALSE)</f>
        <v>1.0432380567299792E-2</v>
      </c>
      <c r="U278" s="715">
        <f>VLOOKUP(A278,Targets!$A$1:$J$301,5,FALSE)</f>
        <v>1.0432380567299792E-2</v>
      </c>
      <c r="V278" s="715">
        <f>VLOOKUP(A278,Targets!$A$1:$J$301,5,FALSE)</f>
        <v>1.0432380567299792E-2</v>
      </c>
      <c r="W278" s="715">
        <f>VLOOKUP(A278,Targets!$A$1:$J$301,5,FALSE)*3</f>
        <v>3.1297141701899373E-2</v>
      </c>
      <c r="X278" s="715">
        <f>VLOOKUP(A278,Targets!$A$1:$J$301,6,FALSE)*2</f>
        <v>2.0864761134599584E-2</v>
      </c>
      <c r="Y278" s="429" t="s">
        <v>502</v>
      </c>
      <c r="Z278" s="429" t="s">
        <v>246</v>
      </c>
      <c r="AA278" s="542"/>
      <c r="AB278" s="21"/>
    </row>
    <row r="279" spans="1:28" ht="135">
      <c r="A279" s="31">
        <v>276</v>
      </c>
      <c r="B279" s="22" t="s">
        <v>39</v>
      </c>
      <c r="C279" s="22" t="s">
        <v>492</v>
      </c>
      <c r="D279" s="22" t="s">
        <v>507</v>
      </c>
      <c r="E279" s="23" t="s">
        <v>91</v>
      </c>
      <c r="F279" s="22" t="s">
        <v>92</v>
      </c>
      <c r="G279" s="22" t="s">
        <v>93</v>
      </c>
      <c r="H279" s="22" t="s">
        <v>30</v>
      </c>
      <c r="I279" s="22" t="s">
        <v>508</v>
      </c>
      <c r="J279" s="22" t="s">
        <v>92</v>
      </c>
      <c r="K279" s="22" t="s">
        <v>495</v>
      </c>
      <c r="L279" s="22">
        <v>2016</v>
      </c>
      <c r="M279" s="335">
        <f ca="1">VLOOKUP(A279,'2020_ModelLink'!$A$3:$S$332,18,FALSE)</f>
        <v>0</v>
      </c>
      <c r="N279" s="335">
        <f ca="1">VLOOKUP(A279,'2020_ModelLink'!$A$3:$S$332,19,FALSE)</f>
        <v>0</v>
      </c>
      <c r="O279" s="721">
        <f ca="1">VLOOKUP($A279,'2016_ModelLink'!$A$3:$S$332,17,FALSE)</f>
        <v>557.7382705950638</v>
      </c>
      <c r="P279" s="721">
        <f ca="1">VLOOKUP($A279,'2017_ModelLink'!$A$3:$S$332,17,FALSE)</f>
        <v>2178.6779948029844</v>
      </c>
      <c r="Q279" s="721">
        <f ca="1">VLOOKUP($A279,'2018_ModelLink'!$A$3:$S$332,17,FALSE)</f>
        <v>3080.0977961489493</v>
      </c>
      <c r="R279" s="721">
        <f ca="1">VLOOKUP($A279,'2019_ModelLink'!$A$3:$S$332,17,FALSE)</f>
        <v>15387.456834716677</v>
      </c>
      <c r="S279" s="721">
        <f ca="1">VLOOKUP($A279,'2020_ModelLink'!$A$3:$S$332,17,FALSE)</f>
        <v>3281.7059405459745</v>
      </c>
      <c r="T279" s="307">
        <f>VLOOKUP(A279,Targets!$A$1:$J$301,5,FALSE)</f>
        <v>1.0432380567299792E-2</v>
      </c>
      <c r="U279" s="307">
        <f>VLOOKUP(A279,Targets!$A$1:$J$301,5,FALSE)</f>
        <v>1.0432380567299792E-2</v>
      </c>
      <c r="V279" s="307">
        <f>VLOOKUP(A279,Targets!$A$1:$J$301,5,FALSE)</f>
        <v>1.0432380567299792E-2</v>
      </c>
      <c r="W279" s="307">
        <f>VLOOKUP(A279,Targets!$A$1:$J$301,5,FALSE)*3</f>
        <v>3.1297141701899373E-2</v>
      </c>
      <c r="X279" s="307">
        <f>VLOOKUP(A279,Targets!$A$1:$J$301,6,FALSE)*2</f>
        <v>2.0864761134599584E-2</v>
      </c>
      <c r="Y279" s="429"/>
      <c r="Z279" s="429"/>
      <c r="AA279" s="542"/>
      <c r="AB279" s="21"/>
    </row>
    <row r="280" spans="1:28" ht="135">
      <c r="A280" s="31">
        <v>277</v>
      </c>
      <c r="B280" s="22" t="s">
        <v>39</v>
      </c>
      <c r="C280" s="22" t="s">
        <v>492</v>
      </c>
      <c r="D280" s="22" t="s">
        <v>507</v>
      </c>
      <c r="E280" s="23" t="s">
        <v>91</v>
      </c>
      <c r="F280" s="22" t="s">
        <v>95</v>
      </c>
      <c r="G280" s="22" t="s">
        <v>93</v>
      </c>
      <c r="H280" s="22" t="s">
        <v>30</v>
      </c>
      <c r="I280" s="22" t="s">
        <v>508</v>
      </c>
      <c r="J280" s="22" t="s">
        <v>95</v>
      </c>
      <c r="K280" s="22" t="s">
        <v>495</v>
      </c>
      <c r="L280" s="22">
        <v>2016</v>
      </c>
      <c r="M280" s="335">
        <f ca="1">VLOOKUP(A280,'2020_ModelLink'!$A$3:$S$332,18,FALSE)</f>
        <v>0</v>
      </c>
      <c r="N280" s="335">
        <f ca="1">VLOOKUP(A280,'2020_ModelLink'!$A$3:$S$332,19,FALSE)</f>
        <v>0</v>
      </c>
      <c r="O280" s="721">
        <f ca="1">VLOOKUP($A280,'2016_ModelLink'!$A$3:$S$332,17,FALSE)</f>
        <v>0.12302681249827986</v>
      </c>
      <c r="P280" s="721">
        <f ca="1">VLOOKUP($A280,'2017_ModelLink'!$A$3:$S$332,17,FALSE)</f>
        <v>0.33020911675235559</v>
      </c>
      <c r="Q280" s="721">
        <f ca="1">VLOOKUP($A280,'2018_ModelLink'!$A$3:$S$332,17,FALSE)</f>
        <v>1.6579392505191763</v>
      </c>
      <c r="R280" s="721">
        <f ca="1">VLOOKUP($A280,'2019_ModelLink'!$A$3:$S$332,17,FALSE)</f>
        <v>0.12480674629784042</v>
      </c>
      <c r="S280" s="721">
        <f ca="1">VLOOKUP($A280,'2020_ModelLink'!$A$3:$S$332,17,FALSE)</f>
        <v>0.52529079073738127</v>
      </c>
      <c r="T280" s="307">
        <f>VLOOKUP(A280,Targets!$A$1:$J$301,5,FALSE)</f>
        <v>560.7661096516083</v>
      </c>
      <c r="U280" s="307">
        <f>VLOOKUP(A280,Targets!$A$1:$J$301,5,FALSE)</f>
        <v>560.7661096516083</v>
      </c>
      <c r="V280" s="307">
        <f>VLOOKUP(A280,Targets!$A$1:$J$301,5,FALSE)</f>
        <v>560.7661096516083</v>
      </c>
      <c r="W280" s="307">
        <f>VLOOKUP(A280,Targets!$A$1:$J$301,5,FALSE)*3</f>
        <v>1682.2983289548249</v>
      </c>
      <c r="X280" s="307">
        <f>VLOOKUP(A280,Targets!$A$1:$J$301,6,FALSE)*2</f>
        <v>1121.5322193032166</v>
      </c>
      <c r="Y280" s="429"/>
      <c r="Z280" s="429"/>
      <c r="AA280" s="542"/>
      <c r="AB280" s="21"/>
    </row>
    <row r="281" spans="1:28" ht="135">
      <c r="A281" s="31">
        <v>278</v>
      </c>
      <c r="B281" s="22" t="s">
        <v>39</v>
      </c>
      <c r="C281" s="22" t="s">
        <v>492</v>
      </c>
      <c r="D281" s="22" t="s">
        <v>507</v>
      </c>
      <c r="E281" s="23" t="s">
        <v>91</v>
      </c>
      <c r="F281" s="22" t="s">
        <v>96</v>
      </c>
      <c r="G281" s="22" t="s">
        <v>93</v>
      </c>
      <c r="H281" s="22" t="s">
        <v>30</v>
      </c>
      <c r="I281" s="22" t="s">
        <v>508</v>
      </c>
      <c r="J281" s="22" t="s">
        <v>96</v>
      </c>
      <c r="K281" s="22" t="s">
        <v>495</v>
      </c>
      <c r="L281" s="22">
        <v>2016</v>
      </c>
      <c r="M281" s="335">
        <f ca="1">VLOOKUP(A281,'2020_ModelLink'!$A$3:$S$332,18,FALSE)</f>
        <v>0</v>
      </c>
      <c r="N281" s="335">
        <f ca="1">VLOOKUP(A281,'2020_ModelLink'!$A$3:$S$332,19,FALSE)</f>
        <v>0</v>
      </c>
      <c r="O281" s="721">
        <f ca="1">VLOOKUP($A281,'2016_ModelLink'!$A$3:$S$332,17,FALSE)</f>
        <v>0.95781217306466115</v>
      </c>
      <c r="P281" s="721">
        <f ca="1">VLOOKUP($A281,'2017_ModelLink'!$A$3:$S$332,17,FALSE)</f>
        <v>2.438699452172707</v>
      </c>
      <c r="Q281" s="721">
        <f ca="1">VLOOKUP($A281,'2018_ModelLink'!$A$3:$S$332,17,FALSE)</f>
        <v>0</v>
      </c>
      <c r="R281" s="721">
        <f ca="1">VLOOKUP($A281,'2019_ModelLink'!$A$3:$S$332,17,FALSE)</f>
        <v>1.7285575259055532</v>
      </c>
      <c r="S281" s="721">
        <f ca="1">VLOOKUP($A281,'2020_ModelLink'!$A$3:$S$332,17,FALSE)</f>
        <v>5.7328319341210303</v>
      </c>
      <c r="T281" s="307">
        <f>VLOOKUP(A281,Targets!$A$1:$J$301,5,FALSE)</f>
        <v>0.12193248907846088</v>
      </c>
      <c r="U281" s="307">
        <f>VLOOKUP(A281,Targets!$A$1:$J$301,5,FALSE)</f>
        <v>0.12193248907846088</v>
      </c>
      <c r="V281" s="307">
        <f>VLOOKUP(A281,Targets!$A$1:$J$301,5,FALSE)</f>
        <v>0.12193248907846088</v>
      </c>
      <c r="W281" s="307">
        <f>VLOOKUP(A281,Targets!$A$1:$J$301,5,FALSE)*3</f>
        <v>0.36579746723538265</v>
      </c>
      <c r="X281" s="307">
        <f>VLOOKUP(A281,Targets!$A$1:$J$301,6,FALSE)*2</f>
        <v>0.24386497815692176</v>
      </c>
      <c r="Y281" s="429" t="s">
        <v>48</v>
      </c>
      <c r="Z281" s="429" t="s">
        <v>49</v>
      </c>
      <c r="AA281" s="542"/>
      <c r="AB281" s="21"/>
    </row>
    <row r="282" spans="1:28" ht="135">
      <c r="A282" s="31">
        <v>279</v>
      </c>
      <c r="B282" s="22" t="s">
        <v>39</v>
      </c>
      <c r="C282" s="22" t="s">
        <v>492</v>
      </c>
      <c r="D282" s="22" t="s">
        <v>507</v>
      </c>
      <c r="E282" s="23" t="s">
        <v>91</v>
      </c>
      <c r="F282" s="22" t="s">
        <v>97</v>
      </c>
      <c r="G282" s="22" t="s">
        <v>93</v>
      </c>
      <c r="H282" s="22" t="s">
        <v>30</v>
      </c>
      <c r="I282" s="22" t="s">
        <v>508</v>
      </c>
      <c r="J282" s="22" t="s">
        <v>97</v>
      </c>
      <c r="K282" s="22" t="s">
        <v>495</v>
      </c>
      <c r="L282" s="22">
        <v>2016</v>
      </c>
      <c r="M282" s="335">
        <f ca="1">VLOOKUP(A282,'2020_ModelLink'!$A$3:$S$332,18,FALSE)</f>
        <v>0</v>
      </c>
      <c r="N282" s="335">
        <f ca="1">VLOOKUP(A282,'2020_ModelLink'!$A$3:$S$332,19,FALSE)</f>
        <v>0</v>
      </c>
      <c r="O282" s="721">
        <f ca="1">VLOOKUP($A282,'2016_ModelLink'!$A$3:$S$332,17,FALSE)</f>
        <v>446.3922208493741</v>
      </c>
      <c r="P282" s="721">
        <f ca="1">VLOOKUP($A282,'2017_ModelLink'!$A$3:$S$332,17,FALSE)</f>
        <v>2469.3221680112347</v>
      </c>
      <c r="Q282" s="721">
        <f ca="1">VLOOKUP($A282,'2018_ModelLink'!$A$3:$S$332,17,FALSE)</f>
        <v>3245.1410695622044</v>
      </c>
      <c r="R282" s="721">
        <f ca="1">VLOOKUP($A282,'2019_ModelLink'!$A$3:$S$332,17,FALSE)</f>
        <v>16855.870276583322</v>
      </c>
      <c r="S282" s="721">
        <f ca="1">VLOOKUP($A282,'2020_ModelLink'!$A$3:$S$332,17,FALSE)</f>
        <v>3300.2432569697903</v>
      </c>
      <c r="T282" s="307">
        <f>VLOOKUP(A282,Targets!$A$1:$J$301,5,FALSE)</f>
        <v>0.95029347729776137</v>
      </c>
      <c r="U282" s="307">
        <f>VLOOKUP(A282,Targets!$A$1:$J$301,5,FALSE)</f>
        <v>0.95029347729776137</v>
      </c>
      <c r="V282" s="307">
        <f>VLOOKUP(A282,Targets!$A$1:$J$301,5,FALSE)</f>
        <v>0.95029347729776137</v>
      </c>
      <c r="W282" s="307">
        <f>VLOOKUP(A282,Targets!$A$1:$J$301,5,FALSE)*3</f>
        <v>2.8508804318932839</v>
      </c>
      <c r="X282" s="307">
        <f>VLOOKUP(A282,Targets!$A$1:$J$301,6,FALSE)*2</f>
        <v>1.9005869545955227</v>
      </c>
      <c r="Y282" s="429"/>
      <c r="Z282" s="429"/>
      <c r="AA282" s="542"/>
      <c r="AB282" s="21"/>
    </row>
    <row r="283" spans="1:28" ht="135">
      <c r="A283" s="31">
        <v>280</v>
      </c>
      <c r="B283" s="22" t="s">
        <v>39</v>
      </c>
      <c r="C283" s="22" t="s">
        <v>492</v>
      </c>
      <c r="D283" s="22" t="s">
        <v>507</v>
      </c>
      <c r="E283" s="23" t="s">
        <v>91</v>
      </c>
      <c r="F283" s="22" t="s">
        <v>98</v>
      </c>
      <c r="G283" s="22" t="s">
        <v>93</v>
      </c>
      <c r="H283" s="22" t="s">
        <v>30</v>
      </c>
      <c r="I283" s="22" t="s">
        <v>508</v>
      </c>
      <c r="J283" s="22" t="s">
        <v>98</v>
      </c>
      <c r="K283" s="22" t="s">
        <v>495</v>
      </c>
      <c r="L283" s="22">
        <v>2016</v>
      </c>
      <c r="M283" s="335">
        <f ca="1">VLOOKUP(A283,'2020_ModelLink'!$A$3:$S$332,18,FALSE)</f>
        <v>0</v>
      </c>
      <c r="N283" s="335">
        <f ca="1">VLOOKUP(A283,'2020_ModelLink'!$A$3:$S$332,19,FALSE)</f>
        <v>0</v>
      </c>
      <c r="O283" s="721">
        <f ca="1">VLOOKUP($A283,'2016_ModelLink'!$A$3:$S$332,17,FALSE)</f>
        <v>9.8465920218336778E-2</v>
      </c>
      <c r="P283" s="721">
        <f ca="1">VLOOKUP($A283,'2017_ModelLink'!$A$3:$S$332,17,FALSE)</f>
        <v>0.37426030557110235</v>
      </c>
      <c r="Q283" s="721">
        <f ca="1">VLOOKUP($A283,'2018_ModelLink'!$A$3:$S$332,17,FALSE)</f>
        <v>1.7467778975803594</v>
      </c>
      <c r="R283" s="721">
        <f ca="1">VLOOKUP($A283,'2019_ModelLink'!$A$3:$S$332,17,FALSE)</f>
        <v>0.13671696030317923</v>
      </c>
      <c r="S283" s="721">
        <f ca="1">VLOOKUP($A283,'2020_ModelLink'!$A$3:$S$332,17,FALSE)</f>
        <v>0.52826431388909245</v>
      </c>
      <c r="T283" s="307">
        <f>VLOOKUP(A283,Targets!$A$1:$J$301,5,FALSE)</f>
        <v>455.63153795905856</v>
      </c>
      <c r="U283" s="307">
        <f>VLOOKUP(A283,Targets!$A$1:$J$301,5,FALSE)</f>
        <v>455.63153795905856</v>
      </c>
      <c r="V283" s="307">
        <f>VLOOKUP(A283,Targets!$A$1:$J$301,5,FALSE)</f>
        <v>455.63153795905856</v>
      </c>
      <c r="W283" s="307">
        <f>VLOOKUP(A283,Targets!$A$1:$J$301,5,FALSE)*3</f>
        <v>1366.8946138771757</v>
      </c>
      <c r="X283" s="307">
        <f>VLOOKUP(A283,Targets!$A$1:$J$301,6,FALSE)*2</f>
        <v>911.26307591811712</v>
      </c>
      <c r="Y283" s="429"/>
      <c r="Z283" s="429"/>
      <c r="AA283" s="542"/>
      <c r="AB283" s="21"/>
    </row>
    <row r="284" spans="1:28" ht="135">
      <c r="A284" s="31">
        <v>281</v>
      </c>
      <c r="B284" s="22" t="s">
        <v>39</v>
      </c>
      <c r="C284" s="22" t="s">
        <v>492</v>
      </c>
      <c r="D284" s="22" t="s">
        <v>507</v>
      </c>
      <c r="E284" s="23" t="s">
        <v>91</v>
      </c>
      <c r="F284" s="22" t="s">
        <v>99</v>
      </c>
      <c r="G284" s="22" t="s">
        <v>93</v>
      </c>
      <c r="H284" s="22" t="s">
        <v>30</v>
      </c>
      <c r="I284" s="22" t="s">
        <v>508</v>
      </c>
      <c r="J284" s="22" t="s">
        <v>99</v>
      </c>
      <c r="K284" s="22" t="s">
        <v>495</v>
      </c>
      <c r="L284" s="22">
        <v>2016</v>
      </c>
      <c r="M284" s="335">
        <f ca="1">VLOOKUP(A284,'2020_ModelLink'!$A$3:$S$332,18,FALSE)</f>
        <v>0</v>
      </c>
      <c r="N284" s="335">
        <f ca="1">VLOOKUP(A284,'2020_ModelLink'!$A$3:$S$332,19,FALSE)</f>
        <v>0</v>
      </c>
      <c r="O284" s="721">
        <f ca="1">VLOOKUP($A284,'2016_ModelLink'!$A$3:$S$332,17,FALSE)</f>
        <v>0.76659595662088242</v>
      </c>
      <c r="P284" s="721">
        <f ca="1">VLOOKUP($A284,'2017_ModelLink'!$A$3:$S$332,17,FALSE)</f>
        <v>2.7640315056798817</v>
      </c>
      <c r="Q284" s="721">
        <f ca="1">VLOOKUP($A284,'2018_ModelLink'!$A$3:$S$332,17,FALSE)</f>
        <v>0</v>
      </c>
      <c r="R284" s="721">
        <f ca="1">VLOOKUP($A284,'2019_ModelLink'!$A$3:$S$332,17,FALSE)</f>
        <v>1.8935124715696592</v>
      </c>
      <c r="S284" s="721">
        <f ca="1">VLOOKUP($A284,'2020_ModelLink'!$A$3:$S$332,17,FALSE)</f>
        <v>5.7652148841758653</v>
      </c>
      <c r="T284" s="307">
        <f>VLOOKUP(A284,Targets!$A$1:$J$301,5,FALSE)</f>
        <v>9.9072120389927174E-2</v>
      </c>
      <c r="U284" s="307">
        <f>VLOOKUP(A284,Targets!$A$1:$J$301,5,FALSE)</f>
        <v>9.9072120389927174E-2</v>
      </c>
      <c r="V284" s="307">
        <f>VLOOKUP(A284,Targets!$A$1:$J$301,5,FALSE)</f>
        <v>9.9072120389927174E-2</v>
      </c>
      <c r="W284" s="307">
        <f>VLOOKUP(A284,Targets!$A$1:$J$301,5,FALSE)*3</f>
        <v>0.29721636116978151</v>
      </c>
      <c r="X284" s="307">
        <f>VLOOKUP(A284,Targets!$A$1:$J$301,6,FALSE)*2</f>
        <v>0.19814424077985435</v>
      </c>
      <c r="Y284" s="429" t="s">
        <v>48</v>
      </c>
      <c r="Z284" s="429" t="s">
        <v>49</v>
      </c>
      <c r="AA284" s="542"/>
      <c r="AB284" s="21"/>
    </row>
    <row r="285" spans="1:28" s="13" customFormat="1" ht="345">
      <c r="A285" s="31">
        <v>282</v>
      </c>
      <c r="B285" s="22" t="s">
        <v>39</v>
      </c>
      <c r="C285" s="22" t="s">
        <v>509</v>
      </c>
      <c r="D285" s="22" t="s">
        <v>510</v>
      </c>
      <c r="E285" s="23" t="s">
        <v>51</v>
      </c>
      <c r="F285" s="22" t="s">
        <v>511</v>
      </c>
      <c r="G285" s="22" t="s">
        <v>53</v>
      </c>
      <c r="H285" s="22" t="s">
        <v>30</v>
      </c>
      <c r="I285" s="22" t="s">
        <v>512</v>
      </c>
      <c r="J285" s="22" t="s">
        <v>513</v>
      </c>
      <c r="K285" s="22" t="s">
        <v>514</v>
      </c>
      <c r="L285" s="22">
        <v>2016</v>
      </c>
      <c r="M285" s="335" t="str">
        <f ca="1">VLOOKUP(A285,'2020_ModelLink'!$A$3:$S$332,18,FALSE)</f>
        <v>N/A</v>
      </c>
      <c r="N285" s="335" t="str">
        <f ca="1">VLOOKUP(A285,'2020_ModelLink'!$A$3:$S$332,19,FALSE)</f>
        <v>N/A</v>
      </c>
      <c r="O285" s="721">
        <f ca="1">VLOOKUP($A285,'2016_ModelLink'!$A$3:$S$332,17,FALSE)</f>
        <v>0</v>
      </c>
      <c r="P285" s="721">
        <f ca="1">VLOOKUP($A285,'2017_ModelLink'!$A$3:$S$332,17,FALSE)</f>
        <v>1402</v>
      </c>
      <c r="Q285" s="721">
        <f ca="1">VLOOKUP($A285,'2018_ModelLink'!$A$3:$S$332,17,FALSE)</f>
        <v>0</v>
      </c>
      <c r="R285" s="721">
        <f ca="1">VLOOKUP($A285,'2019_ModelLink'!$A$3:$S$332,17,FALSE)</f>
        <v>0</v>
      </c>
      <c r="S285" s="721">
        <f>VLOOKUP($A285,'2020_ModelLink'!$A$3:$S$332,17,FALSE)</f>
        <v>2699</v>
      </c>
      <c r="T285" s="307">
        <f>VLOOKUP(A285,Targets!$A$1:$J$301,5,FALSE)</f>
        <v>0.77212882719079434</v>
      </c>
      <c r="U285" s="307">
        <f>VLOOKUP(A285,Targets!$A$1:$J$301,5,FALSE)</f>
        <v>0.77212882719079434</v>
      </c>
      <c r="V285" s="307">
        <f>VLOOKUP(A285,Targets!$A$1:$J$301,5,FALSE)</f>
        <v>0.77212882719079434</v>
      </c>
      <c r="W285" s="307">
        <f>VLOOKUP(A285,Targets!$A$1:$J$301,5,FALSE)*3</f>
        <v>2.3163864815723829</v>
      </c>
      <c r="X285" s="307">
        <f>VLOOKUP(A285,Targets!$A$1:$J$301,6,FALSE)*2</f>
        <v>1.5442576543815887</v>
      </c>
      <c r="Y285" s="429" t="s">
        <v>515</v>
      </c>
      <c r="Z285" s="429" t="s">
        <v>516</v>
      </c>
      <c r="AA285" s="542"/>
      <c r="AB285" s="21"/>
    </row>
    <row r="286" spans="1:28" s="13" customFormat="1" ht="345">
      <c r="A286" s="31">
        <v>283</v>
      </c>
      <c r="B286" s="22" t="s">
        <v>39</v>
      </c>
      <c r="C286" s="22" t="s">
        <v>509</v>
      </c>
      <c r="D286" s="22" t="s">
        <v>510</v>
      </c>
      <c r="E286" s="23" t="s">
        <v>51</v>
      </c>
      <c r="F286" s="22" t="s">
        <v>517</v>
      </c>
      <c r="G286" s="22" t="s">
        <v>53</v>
      </c>
      <c r="H286" s="22" t="s">
        <v>30</v>
      </c>
      <c r="I286" s="22" t="s">
        <v>512</v>
      </c>
      <c r="J286" s="22" t="s">
        <v>518</v>
      </c>
      <c r="K286" s="22" t="s">
        <v>514</v>
      </c>
      <c r="L286" s="22">
        <v>2016</v>
      </c>
      <c r="M286" s="335" t="str">
        <f ca="1">VLOOKUP(A286,'2020_ModelLink'!$A$3:$S$332,18,FALSE)</f>
        <v>N/A</v>
      </c>
      <c r="N286" s="335" t="str">
        <f ca="1">VLOOKUP(A286,'2020_ModelLink'!$A$3:$S$332,19,FALSE)</f>
        <v>N/A</v>
      </c>
      <c r="O286" s="721">
        <f ca="1">VLOOKUP($A286,'2016_ModelLink'!$A$3:$S$332,17,FALSE)</f>
        <v>0</v>
      </c>
      <c r="P286" s="721">
        <f ca="1">VLOOKUP($A286,'2017_ModelLink'!$A$3:$S$332,17,FALSE)</f>
        <v>29</v>
      </c>
      <c r="Q286" s="721">
        <f ca="1">VLOOKUP($A286,'2018_ModelLink'!$A$3:$S$332,17,FALSE)</f>
        <v>0</v>
      </c>
      <c r="R286" s="721">
        <f ca="1">VLOOKUP($A286,'2019_ModelLink'!$A$3:$S$332,17,FALSE)</f>
        <v>0</v>
      </c>
      <c r="S286" s="721">
        <f>VLOOKUP($A286,'2020_ModelLink'!$A$3:$S$332,17,FALSE)</f>
        <v>37.9</v>
      </c>
      <c r="T286" s="307">
        <f>VLOOKUP(A286,Targets!$A$1:$J$301,5,FALSE)</f>
        <v>1212</v>
      </c>
      <c r="U286" s="307">
        <f>VLOOKUP(A286,Targets!$A$1:$J$301,5,FALSE)</f>
        <v>1212</v>
      </c>
      <c r="V286" s="307">
        <f>VLOOKUP(A286,Targets!$A$1:$J$301,5,FALSE)</f>
        <v>1212</v>
      </c>
      <c r="W286" s="307">
        <f>VLOOKUP(A286,Targets!$A$1:$J$301,5,FALSE)*3</f>
        <v>3636</v>
      </c>
      <c r="X286" s="307">
        <f>VLOOKUP(A286,Targets!$A$1:$J$301,6,FALSE)*2</f>
        <v>2424</v>
      </c>
      <c r="Y286" s="429" t="s">
        <v>515</v>
      </c>
      <c r="Z286" s="429" t="s">
        <v>519</v>
      </c>
      <c r="AA286" s="542"/>
      <c r="AB286" s="21"/>
    </row>
    <row r="287" spans="1:28" s="13" customFormat="1" ht="345">
      <c r="A287" s="31">
        <v>284</v>
      </c>
      <c r="B287" s="22" t="s">
        <v>39</v>
      </c>
      <c r="C287" s="22" t="s">
        <v>509</v>
      </c>
      <c r="D287" s="22" t="s">
        <v>510</v>
      </c>
      <c r="E287" s="23" t="s">
        <v>51</v>
      </c>
      <c r="F287" s="22" t="s">
        <v>520</v>
      </c>
      <c r="G287" s="22" t="s">
        <v>53</v>
      </c>
      <c r="H287" s="22" t="s">
        <v>30</v>
      </c>
      <c r="I287" s="22" t="s">
        <v>512</v>
      </c>
      <c r="J287" s="22" t="s">
        <v>521</v>
      </c>
      <c r="K287" s="22" t="s">
        <v>514</v>
      </c>
      <c r="L287" s="22">
        <v>2016</v>
      </c>
      <c r="M287" s="335" t="str">
        <f ca="1">VLOOKUP(A287,'2020_ModelLink'!$A$3:$S$332,18,FALSE)</f>
        <v>N/A</v>
      </c>
      <c r="N287" s="335" t="str">
        <f ca="1">VLOOKUP(A287,'2020_ModelLink'!$A$3:$S$332,19,FALSE)</f>
        <v>N/A</v>
      </c>
      <c r="O287" s="721">
        <f ca="1">VLOOKUP($A287,'2016_ModelLink'!$A$3:$S$332,17,FALSE)</f>
        <v>0</v>
      </c>
      <c r="P287" s="721">
        <f ca="1">VLOOKUP($A287,'2017_ModelLink'!$A$3:$S$332,17,FALSE)</f>
        <v>272</v>
      </c>
      <c r="Q287" s="721">
        <f ca="1">VLOOKUP($A287,'2018_ModelLink'!$A$3:$S$332,17,FALSE)</f>
        <v>0</v>
      </c>
      <c r="R287" s="721">
        <f ca="1">VLOOKUP($A287,'2019_ModelLink'!$A$3:$S$332,17,FALSE)</f>
        <v>0</v>
      </c>
      <c r="S287" s="721">
        <f>VLOOKUP($A287,'2020_ModelLink'!$A$3:$S$332,17,FALSE)</f>
        <v>453.7</v>
      </c>
      <c r="T287" s="307">
        <f>VLOOKUP(A287,Targets!$A$1:$J$301,5,FALSE)</f>
        <v>42</v>
      </c>
      <c r="U287" s="307">
        <f>VLOOKUP(A287,Targets!$A$1:$J$301,5,FALSE)</f>
        <v>42</v>
      </c>
      <c r="V287" s="307">
        <f>VLOOKUP(A287,Targets!$A$1:$J$301,5,FALSE)</f>
        <v>42</v>
      </c>
      <c r="W287" s="307">
        <f>VLOOKUP(A287,Targets!$A$1:$J$301,5,FALSE)*3</f>
        <v>126</v>
      </c>
      <c r="X287" s="307">
        <f>VLOOKUP(A287,Targets!$A$1:$J$301,6,FALSE)*2</f>
        <v>84</v>
      </c>
      <c r="Y287" s="429" t="s">
        <v>515</v>
      </c>
      <c r="Z287" s="429" t="s">
        <v>516</v>
      </c>
      <c r="AA287" s="542"/>
      <c r="AB287" s="21"/>
    </row>
    <row r="288" spans="1:28" s="13" customFormat="1" ht="135">
      <c r="A288" s="31">
        <v>285</v>
      </c>
      <c r="B288" s="22" t="s">
        <v>39</v>
      </c>
      <c r="C288" s="22" t="s">
        <v>509</v>
      </c>
      <c r="D288" s="22" t="s">
        <v>522</v>
      </c>
      <c r="E288" s="23">
        <v>1</v>
      </c>
      <c r="F288" s="22" t="s">
        <v>523</v>
      </c>
      <c r="G288" s="22" t="s">
        <v>524</v>
      </c>
      <c r="H288" s="22" t="s">
        <v>30</v>
      </c>
      <c r="I288" s="22" t="s">
        <v>525</v>
      </c>
      <c r="J288" s="22" t="s">
        <v>525</v>
      </c>
      <c r="K288" s="22" t="s">
        <v>514</v>
      </c>
      <c r="L288" s="22">
        <v>2016</v>
      </c>
      <c r="M288" s="335" t="str">
        <f ca="1">VLOOKUP(A288,'2020_ModelLink'!$A$3:$S$332,18,FALSE)</f>
        <v>N/A</v>
      </c>
      <c r="N288" s="335" t="str">
        <f ca="1">VLOOKUP(A288,'2020_ModelLink'!$A$3:$S$332,19,FALSE)</f>
        <v>N/A</v>
      </c>
      <c r="O288" s="721">
        <f ca="1">VLOOKUP($A288,'2016_ModelLink'!$A$3:$S$332,17,FALSE)</f>
        <v>0</v>
      </c>
      <c r="P288" s="721">
        <f ca="1">VLOOKUP($A288,'2017_ModelLink'!$A$3:$S$332,17,FALSE)</f>
        <v>12</v>
      </c>
      <c r="Q288" s="721">
        <f ca="1">VLOOKUP($A288,'2018_ModelLink'!$A$3:$S$332,17,FALSE)</f>
        <v>0</v>
      </c>
      <c r="R288" s="721">
        <f ca="1">VLOOKUP($A288,'2019_ModelLink'!$A$3:$S$332,17,FALSE)</f>
        <v>0</v>
      </c>
      <c r="S288" s="721">
        <f>VLOOKUP($A288,'2020_ModelLink'!$A$3:$S$332,17,FALSE)</f>
        <v>0</v>
      </c>
      <c r="T288" s="307">
        <f>VLOOKUP(A288,Targets!$A$1:$J$301,5,FALSE)</f>
        <v>272</v>
      </c>
      <c r="U288" s="307">
        <f>VLOOKUP(A288,Targets!$A$1:$J$301,5,FALSE)</f>
        <v>272</v>
      </c>
      <c r="V288" s="307">
        <f>VLOOKUP(A288,Targets!$A$1:$J$301,5,FALSE)</f>
        <v>272</v>
      </c>
      <c r="W288" s="307">
        <f>VLOOKUP(A288,Targets!$A$1:$J$301,5,FALSE)*3</f>
        <v>816</v>
      </c>
      <c r="X288" s="307">
        <f>VLOOKUP(A288,Targets!$A$1:$J$301,6,FALSE)*2</f>
        <v>544</v>
      </c>
      <c r="Y288" s="429" t="s">
        <v>526</v>
      </c>
      <c r="Z288" s="429" t="s">
        <v>527</v>
      </c>
      <c r="AA288" s="542"/>
      <c r="AB288" s="21"/>
    </row>
    <row r="289" spans="1:28" s="13" customFormat="1" ht="135">
      <c r="A289" s="31">
        <v>286</v>
      </c>
      <c r="B289" s="22" t="s">
        <v>39</v>
      </c>
      <c r="C289" s="22" t="s">
        <v>509</v>
      </c>
      <c r="D289" s="22" t="s">
        <v>522</v>
      </c>
      <c r="E289" s="23">
        <v>2</v>
      </c>
      <c r="F289" s="22" t="s">
        <v>523</v>
      </c>
      <c r="G289" s="22" t="s">
        <v>524</v>
      </c>
      <c r="H289" s="22" t="s">
        <v>30</v>
      </c>
      <c r="I289" s="22" t="s">
        <v>528</v>
      </c>
      <c r="J289" s="22" t="s">
        <v>528</v>
      </c>
      <c r="K289" s="22" t="s">
        <v>514</v>
      </c>
      <c r="L289" s="22">
        <v>2016</v>
      </c>
      <c r="M289" s="335" t="str">
        <f ca="1">VLOOKUP(A289,'2020_ModelLink'!$A$3:$S$332,18,FALSE)</f>
        <v>N/A</v>
      </c>
      <c r="N289" s="335" t="str">
        <f ca="1">VLOOKUP(A289,'2020_ModelLink'!$A$3:$S$332,19,FALSE)</f>
        <v>N/A</v>
      </c>
      <c r="O289" s="721">
        <f ca="1">VLOOKUP($A289,'2016_ModelLink'!$A$3:$S$332,17,FALSE)</f>
        <v>0</v>
      </c>
      <c r="P289" s="721">
        <f ca="1">VLOOKUP($A289,'2017_ModelLink'!$A$3:$S$332,17,FALSE)</f>
        <v>12</v>
      </c>
      <c r="Q289" s="721">
        <f ca="1">VLOOKUP($A289,'2018_ModelLink'!$A$3:$S$332,17,FALSE)</f>
        <v>0</v>
      </c>
      <c r="R289" s="721">
        <f ca="1">VLOOKUP($A289,'2019_ModelLink'!$A$3:$S$332,17,FALSE)</f>
        <v>0</v>
      </c>
      <c r="S289" s="721">
        <f>VLOOKUP($A289,'2020_ModelLink'!$A$3:$S$332,17,FALSE)</f>
        <v>0</v>
      </c>
      <c r="T289" s="307">
        <f>VLOOKUP(A289,Targets!$A$1:$J$301,5,FALSE)</f>
        <v>12</v>
      </c>
      <c r="U289" s="307">
        <f>VLOOKUP(A289,Targets!$A$1:$J$301,5,FALSE)</f>
        <v>12</v>
      </c>
      <c r="V289" s="307">
        <f>VLOOKUP(A289,Targets!$A$1:$J$301,5,FALSE)</f>
        <v>12</v>
      </c>
      <c r="W289" s="307">
        <f>VLOOKUP(A289,Targets!$A$1:$J$301,5,FALSE)*3</f>
        <v>36</v>
      </c>
      <c r="X289" s="307">
        <f>VLOOKUP(A289,Targets!$A$1:$J$301,6,FALSE)*2</f>
        <v>24</v>
      </c>
      <c r="Y289" s="429" t="s">
        <v>529</v>
      </c>
      <c r="Z289" s="429" t="s">
        <v>527</v>
      </c>
      <c r="AA289" s="542"/>
      <c r="AB289" s="21"/>
    </row>
    <row r="290" spans="1:28" s="13" customFormat="1" ht="195">
      <c r="A290" s="31">
        <v>287</v>
      </c>
      <c r="B290" s="22" t="s">
        <v>39</v>
      </c>
      <c r="C290" s="22" t="s">
        <v>509</v>
      </c>
      <c r="D290" s="22" t="s">
        <v>530</v>
      </c>
      <c r="E290" s="23">
        <v>1</v>
      </c>
      <c r="F290" s="22" t="s">
        <v>523</v>
      </c>
      <c r="G290" s="22" t="s">
        <v>531</v>
      </c>
      <c r="H290" s="22" t="s">
        <v>30</v>
      </c>
      <c r="I290" s="22" t="s">
        <v>532</v>
      </c>
      <c r="J290" s="22" t="s">
        <v>532</v>
      </c>
      <c r="K290" s="22" t="s">
        <v>514</v>
      </c>
      <c r="L290" s="22">
        <v>2017</v>
      </c>
      <c r="M290" s="335" t="str">
        <f ca="1">VLOOKUP(A290,'2020_ModelLink'!$A$3:$S$332,18,FALSE)</f>
        <v>N/A</v>
      </c>
      <c r="N290" s="335" t="str">
        <f ca="1">VLOOKUP(A290,'2020_ModelLink'!$A$3:$S$332,19,FALSE)</f>
        <v>N/A</v>
      </c>
      <c r="O290" s="721">
        <f ca="1">VLOOKUP($A290,'2016_ModelLink'!$A$3:$S$332,17,FALSE)</f>
        <v>0</v>
      </c>
      <c r="P290" s="721">
        <f ca="1">VLOOKUP($A290,'2017_ModelLink'!$A$3:$S$332,17,FALSE)</f>
        <v>5</v>
      </c>
      <c r="Q290" s="721">
        <f ca="1">VLOOKUP($A290,'2018_ModelLink'!$A$3:$S$332,17,FALSE)</f>
        <v>0</v>
      </c>
      <c r="R290" s="721">
        <f ca="1">VLOOKUP($A290,'2019_ModelLink'!$A$3:$S$332,17,FALSE)</f>
        <v>0</v>
      </c>
      <c r="S290" s="721">
        <f>VLOOKUP($A290,'2020_ModelLink'!$A$3:$S$332,17,FALSE)</f>
        <v>0</v>
      </c>
      <c r="T290" s="307">
        <f>VLOOKUP(A290,Targets!$A$1:$J$301,5,FALSE)</f>
        <v>12</v>
      </c>
      <c r="U290" s="307">
        <f>VLOOKUP(A290,Targets!$A$1:$J$301,5,FALSE)</f>
        <v>12</v>
      </c>
      <c r="V290" s="307">
        <f>VLOOKUP(A290,Targets!$A$1:$J$301,5,FALSE)</f>
        <v>12</v>
      </c>
      <c r="W290" s="307">
        <f>VLOOKUP(A290,Targets!$A$1:$J$301,5,FALSE)*3</f>
        <v>36</v>
      </c>
      <c r="X290" s="307">
        <f>VLOOKUP(A290,Targets!$A$1:$J$301,6,FALSE)*2</f>
        <v>24</v>
      </c>
      <c r="Y290" s="429" t="s">
        <v>533</v>
      </c>
      <c r="Z290" s="429" t="s">
        <v>534</v>
      </c>
      <c r="AA290" s="542"/>
      <c r="AB290" s="21"/>
    </row>
    <row r="291" spans="1:28" ht="135">
      <c r="A291" s="31">
        <v>288</v>
      </c>
      <c r="B291" s="22" t="s">
        <v>39</v>
      </c>
      <c r="C291" s="22" t="s">
        <v>509</v>
      </c>
      <c r="D291" s="22" t="s">
        <v>530</v>
      </c>
      <c r="E291" s="23">
        <v>2</v>
      </c>
      <c r="F291" s="22" t="s">
        <v>523</v>
      </c>
      <c r="G291" s="22" t="s">
        <v>531</v>
      </c>
      <c r="H291" s="22" t="s">
        <v>30</v>
      </c>
      <c r="I291" s="22" t="s">
        <v>535</v>
      </c>
      <c r="J291" s="22" t="s">
        <v>535</v>
      </c>
      <c r="K291" s="22" t="s">
        <v>514</v>
      </c>
      <c r="L291" s="22">
        <v>2016</v>
      </c>
      <c r="M291" s="335" t="str">
        <f ca="1">VLOOKUP(A291,'2020_ModelLink'!$A$3:$S$332,18,FALSE)</f>
        <v>N/A</v>
      </c>
      <c r="N291" s="335" t="str">
        <f ca="1">VLOOKUP(A291,'2020_ModelLink'!$A$3:$S$332,19,FALSE)</f>
        <v>N/A</v>
      </c>
      <c r="O291" s="721">
        <f ca="1">VLOOKUP($A291,'2016_ModelLink'!$A$3:$S$332,17,FALSE)</f>
        <v>0</v>
      </c>
      <c r="P291" s="721">
        <f ca="1">VLOOKUP($A291,'2017_ModelLink'!$A$3:$S$332,17,FALSE)</f>
        <v>4</v>
      </c>
      <c r="Q291" s="721">
        <f ca="1">VLOOKUP($A291,'2018_ModelLink'!$A$3:$S$332,17,FALSE)</f>
        <v>0</v>
      </c>
      <c r="R291" s="721">
        <f ca="1">VLOOKUP($A291,'2019_ModelLink'!$A$3:$S$332,17,FALSE)</f>
        <v>0</v>
      </c>
      <c r="S291" s="721">
        <f>VLOOKUP($A291,'2020_ModelLink'!$A$3:$S$332,17,FALSE)</f>
        <v>2</v>
      </c>
      <c r="T291" s="307">
        <f>VLOOKUP(A291,Targets!$A$1:$J$301,5,FALSE)</f>
        <v>10</v>
      </c>
      <c r="U291" s="307">
        <f>VLOOKUP(A291,Targets!$A$1:$J$301,5,FALSE)</f>
        <v>10</v>
      </c>
      <c r="V291" s="307">
        <f>VLOOKUP(A291,Targets!$A$1:$J$301,5,FALSE)</f>
        <v>10</v>
      </c>
      <c r="W291" s="307">
        <f>VLOOKUP(A291,Targets!$A$1:$J$301,5,FALSE)*3</f>
        <v>30</v>
      </c>
      <c r="X291" s="307">
        <f>VLOOKUP(A291,Targets!$A$1:$J$301,6,FALSE)*2</f>
        <v>20</v>
      </c>
      <c r="Y291" s="429" t="s">
        <v>529</v>
      </c>
      <c r="Z291" s="429" t="s">
        <v>536</v>
      </c>
      <c r="AA291" s="542"/>
      <c r="AB291" s="21"/>
    </row>
    <row r="292" spans="1:28" ht="195">
      <c r="A292" s="31">
        <v>289</v>
      </c>
      <c r="B292" s="22" t="s">
        <v>39</v>
      </c>
      <c r="C292" s="22" t="s">
        <v>509</v>
      </c>
      <c r="D292" s="22" t="s">
        <v>537</v>
      </c>
      <c r="E292" s="23">
        <v>1</v>
      </c>
      <c r="F292" s="22" t="s">
        <v>523</v>
      </c>
      <c r="G292" s="22" t="s">
        <v>538</v>
      </c>
      <c r="H292" s="22" t="s">
        <v>30</v>
      </c>
      <c r="I292" s="22" t="s">
        <v>539</v>
      </c>
      <c r="J292" s="22" t="s">
        <v>539</v>
      </c>
      <c r="K292" s="22" t="s">
        <v>514</v>
      </c>
      <c r="L292" s="22">
        <v>2016</v>
      </c>
      <c r="M292" s="335" t="str">
        <f ca="1">VLOOKUP(A292,'2020_ModelLink'!$A$3:$S$332,18,FALSE)</f>
        <v>N/A</v>
      </c>
      <c r="N292" s="335" t="str">
        <f ca="1">VLOOKUP(A292,'2020_ModelLink'!$A$3:$S$332,19,FALSE)</f>
        <v>N/A</v>
      </c>
      <c r="O292" s="721">
        <f ca="1">VLOOKUP($A292,'2016_ModelLink'!$A$3:$S$332,17,FALSE)</f>
        <v>0</v>
      </c>
      <c r="P292" s="721">
        <f ca="1">VLOOKUP($A292,'2017_ModelLink'!$A$3:$S$332,17,FALSE)</f>
        <v>22</v>
      </c>
      <c r="Q292" s="721">
        <f ca="1">VLOOKUP($A292,'2018_ModelLink'!$A$3:$S$332,17,FALSE)</f>
        <v>0</v>
      </c>
      <c r="R292" s="721">
        <f ca="1">VLOOKUP($A292,'2019_ModelLink'!$A$3:$S$332,17,FALSE)</f>
        <v>0</v>
      </c>
      <c r="S292" s="721">
        <f>VLOOKUP($A292,'2020_ModelLink'!$A$3:$S$332,17,FALSE)</f>
        <v>3</v>
      </c>
      <c r="T292" s="307">
        <f>VLOOKUP(A292,Targets!$A$1:$J$301,5,FALSE)</f>
        <v>10</v>
      </c>
      <c r="U292" s="307">
        <f>VLOOKUP(A292,Targets!$A$1:$J$301,5,FALSE)</f>
        <v>10</v>
      </c>
      <c r="V292" s="307">
        <f>VLOOKUP(A292,Targets!$A$1:$J$301,5,FALSE)</f>
        <v>10</v>
      </c>
      <c r="W292" s="307">
        <f>VLOOKUP(A292,Targets!$A$1:$J$301,5,FALSE)*3</f>
        <v>30</v>
      </c>
      <c r="X292" s="307">
        <f>VLOOKUP(A292,Targets!$A$1:$J$301,6,FALSE)*2</f>
        <v>20</v>
      </c>
      <c r="Y292" s="429" t="s">
        <v>540</v>
      </c>
      <c r="Z292" s="429" t="s">
        <v>541</v>
      </c>
      <c r="AA292" s="542"/>
      <c r="AB292" s="21"/>
    </row>
    <row r="293" spans="1:28" ht="165">
      <c r="A293" s="31">
        <v>290</v>
      </c>
      <c r="B293" s="22" t="s">
        <v>39</v>
      </c>
      <c r="C293" s="22" t="s">
        <v>509</v>
      </c>
      <c r="D293" s="22" t="s">
        <v>537</v>
      </c>
      <c r="E293" s="23">
        <v>2</v>
      </c>
      <c r="F293" s="22" t="s">
        <v>523</v>
      </c>
      <c r="G293" s="22" t="s">
        <v>538</v>
      </c>
      <c r="H293" s="22" t="s">
        <v>30</v>
      </c>
      <c r="I293" s="22" t="s">
        <v>542</v>
      </c>
      <c r="J293" s="22" t="s">
        <v>542</v>
      </c>
      <c r="K293" s="22" t="s">
        <v>514</v>
      </c>
      <c r="L293" s="22">
        <v>2016</v>
      </c>
      <c r="M293" s="335" t="str">
        <f ca="1">VLOOKUP(A293,'2020_ModelLink'!$A$3:$S$332,18,FALSE)</f>
        <v>N/A</v>
      </c>
      <c r="N293" s="335" t="str">
        <f ca="1">VLOOKUP(A293,'2020_ModelLink'!$A$3:$S$332,19,FALSE)</f>
        <v>N/A</v>
      </c>
      <c r="O293" s="721">
        <f ca="1">VLOOKUP($A293,'2016_ModelLink'!$A$3:$S$332,17,FALSE)</f>
        <v>0</v>
      </c>
      <c r="P293" s="721">
        <f ca="1">VLOOKUP($A293,'2017_ModelLink'!$A$3:$S$332,17,FALSE)</f>
        <v>1</v>
      </c>
      <c r="Q293" s="721">
        <f ca="1">VLOOKUP($A293,'2018_ModelLink'!$A$3:$S$332,17,FALSE)</f>
        <v>0</v>
      </c>
      <c r="R293" s="721">
        <f ca="1">VLOOKUP($A293,'2019_ModelLink'!$A$3:$S$332,17,FALSE)</f>
        <v>0</v>
      </c>
      <c r="S293" s="721">
        <f>VLOOKUP($A293,'2020_ModelLink'!$A$3:$S$332,17,FALSE)</f>
        <v>1</v>
      </c>
      <c r="T293" s="307">
        <f>VLOOKUP(A293,Targets!$A$1:$J$301,5,FALSE)</f>
        <v>21</v>
      </c>
      <c r="U293" s="307">
        <f>VLOOKUP(A293,Targets!$A$1:$J$301,5,FALSE)</f>
        <v>21</v>
      </c>
      <c r="V293" s="307">
        <f>VLOOKUP(A293,Targets!$A$1:$J$301,5,FALSE)</f>
        <v>21</v>
      </c>
      <c r="W293" s="307">
        <f>VLOOKUP(A293,Targets!$A$1:$J$301,5,FALSE)*3</f>
        <v>63</v>
      </c>
      <c r="X293" s="307">
        <f>VLOOKUP(A293,Targets!$A$1:$J$301,6,FALSE)*2</f>
        <v>42</v>
      </c>
      <c r="Y293" s="429" t="s">
        <v>543</v>
      </c>
      <c r="Z293" s="429" t="s">
        <v>544</v>
      </c>
      <c r="AA293" s="542"/>
      <c r="AB293" s="21"/>
    </row>
    <row r="294" spans="1:28" ht="409.5">
      <c r="A294" s="31">
        <v>291</v>
      </c>
      <c r="B294" s="22" t="s">
        <v>39</v>
      </c>
      <c r="C294" s="22" t="s">
        <v>509</v>
      </c>
      <c r="D294" s="22" t="s">
        <v>545</v>
      </c>
      <c r="E294" s="23">
        <v>1</v>
      </c>
      <c r="F294" s="22" t="s">
        <v>523</v>
      </c>
      <c r="G294" s="22" t="s">
        <v>546</v>
      </c>
      <c r="H294" s="22" t="s">
        <v>30</v>
      </c>
      <c r="I294" s="22" t="s">
        <v>547</v>
      </c>
      <c r="J294" s="22" t="s">
        <v>547</v>
      </c>
      <c r="K294" s="22" t="s">
        <v>514</v>
      </c>
      <c r="L294" s="22">
        <v>2016</v>
      </c>
      <c r="M294" s="335" t="str">
        <f ca="1">VLOOKUP(A294,'2020_ModelLink'!$A$3:$S$332,18,FALSE)</f>
        <v>N/A</v>
      </c>
      <c r="N294" s="335" t="str">
        <f ca="1">VLOOKUP(A294,'2020_ModelLink'!$A$3:$S$332,19,FALSE)</f>
        <v>N/A</v>
      </c>
      <c r="O294" s="721">
        <f ca="1">VLOOKUP($A294,'2016_ModelLink'!$A$3:$S$332,17,FALSE)</f>
        <v>0</v>
      </c>
      <c r="P294" s="721">
        <f ca="1">VLOOKUP($A294,'2017_ModelLink'!$A$3:$S$332,17,FALSE)</f>
        <v>6</v>
      </c>
      <c r="Q294" s="721">
        <f ca="1">VLOOKUP($A294,'2018_ModelLink'!$A$3:$S$332,17,FALSE)</f>
        <v>0</v>
      </c>
      <c r="R294" s="721">
        <f ca="1">VLOOKUP($A294,'2019_ModelLink'!$A$3:$S$332,17,FALSE)</f>
        <v>0</v>
      </c>
      <c r="S294" s="721">
        <f>VLOOKUP($A294,'2020_ModelLink'!$A$3:$S$332,17,FALSE)</f>
        <v>31</v>
      </c>
      <c r="T294" s="307">
        <f>VLOOKUP(A294,Targets!$A$1:$J$301,5,FALSE)</f>
        <v>1</v>
      </c>
      <c r="U294" s="307">
        <f>VLOOKUP(A294,Targets!$A$1:$J$301,5,FALSE)</f>
        <v>1</v>
      </c>
      <c r="V294" s="307">
        <f>VLOOKUP(A294,Targets!$A$1:$J$301,5,FALSE)</f>
        <v>1</v>
      </c>
      <c r="W294" s="307">
        <f>VLOOKUP(A294,Targets!$A$1:$J$301,5,FALSE)*3</f>
        <v>3</v>
      </c>
      <c r="X294" s="307">
        <f>VLOOKUP(A294,Targets!$A$1:$J$301,6,FALSE)*2</f>
        <v>2</v>
      </c>
      <c r="Y294" s="429" t="s">
        <v>548</v>
      </c>
      <c r="Z294" s="429" t="s">
        <v>549</v>
      </c>
      <c r="AA294" s="542"/>
      <c r="AB294" s="21"/>
    </row>
    <row r="295" spans="1:28" ht="390">
      <c r="A295" s="31">
        <v>292</v>
      </c>
      <c r="B295" s="22" t="s">
        <v>39</v>
      </c>
      <c r="C295" s="22" t="s">
        <v>550</v>
      </c>
      <c r="D295" s="22" t="s">
        <v>551</v>
      </c>
      <c r="E295" s="23">
        <v>1</v>
      </c>
      <c r="F295" s="22" t="s">
        <v>523</v>
      </c>
      <c r="G295" s="22" t="s">
        <v>552</v>
      </c>
      <c r="H295" s="22" t="s">
        <v>30</v>
      </c>
      <c r="I295" s="22" t="s">
        <v>553</v>
      </c>
      <c r="J295" s="22" t="s">
        <v>553</v>
      </c>
      <c r="K295" s="22" t="s">
        <v>514</v>
      </c>
      <c r="L295" s="22">
        <v>2017</v>
      </c>
      <c r="M295" s="335" t="str">
        <f ca="1">VLOOKUP(A295,'2020_ModelLink'!$A$3:$S$332,18,FALSE)</f>
        <v>N/A</v>
      </c>
      <c r="N295" s="335" t="str">
        <f ca="1">VLOOKUP(A295,'2020_ModelLink'!$A$3:$S$332,19,FALSE)</f>
        <v>N/A</v>
      </c>
      <c r="O295" s="721">
        <f ca="1">VLOOKUP($A295,'2016_ModelLink'!$A$3:$S$332,17,FALSE)</f>
        <v>0</v>
      </c>
      <c r="P295" s="721">
        <f ca="1">VLOOKUP($A295,'2017_ModelLink'!$A$3:$S$332,17,FALSE)</f>
        <v>138</v>
      </c>
      <c r="Q295" s="721">
        <f ca="1">VLOOKUP($A295,'2018_ModelLink'!$A$3:$S$332,17,FALSE)</f>
        <v>0</v>
      </c>
      <c r="R295" s="721">
        <f ca="1">VLOOKUP($A295,'2019_ModelLink'!$A$3:$S$332,17,FALSE)</f>
        <v>0</v>
      </c>
      <c r="S295" s="721">
        <f>VLOOKUP($A295,'2020_ModelLink'!$A$3:$S$332,17,FALSE)</f>
        <v>195</v>
      </c>
      <c r="T295" s="307">
        <f>VLOOKUP(A295,Targets!$A$1:$J$301,5,FALSE)</f>
        <v>25</v>
      </c>
      <c r="U295" s="307">
        <f>VLOOKUP(A295,Targets!$A$1:$J$301,5,FALSE)</f>
        <v>25</v>
      </c>
      <c r="V295" s="307">
        <f>VLOOKUP(A295,Targets!$A$1:$J$301,5,FALSE)</f>
        <v>25</v>
      </c>
      <c r="W295" s="307">
        <f>VLOOKUP(A295,Targets!$A$1:$J$301,5,FALSE)*3</f>
        <v>75</v>
      </c>
      <c r="X295" s="307">
        <f>VLOOKUP(A295,Targets!$A$1:$J$301,6,FALSE)*2</f>
        <v>50</v>
      </c>
      <c r="Y295" s="429" t="s">
        <v>554</v>
      </c>
      <c r="Z295" s="429" t="s">
        <v>555</v>
      </c>
      <c r="AA295" s="542"/>
      <c r="AB295" s="21"/>
    </row>
    <row r="296" spans="1:28" ht="409.5">
      <c r="A296" s="31">
        <v>293</v>
      </c>
      <c r="B296" s="22" t="s">
        <v>39</v>
      </c>
      <c r="C296" s="22" t="s">
        <v>550</v>
      </c>
      <c r="D296" s="22" t="s">
        <v>551</v>
      </c>
      <c r="E296" s="23">
        <v>2</v>
      </c>
      <c r="F296" s="22" t="s">
        <v>523</v>
      </c>
      <c r="G296" s="22" t="s">
        <v>552</v>
      </c>
      <c r="H296" s="22" t="s">
        <v>30</v>
      </c>
      <c r="I296" s="22" t="s">
        <v>556</v>
      </c>
      <c r="J296" s="22" t="s">
        <v>556</v>
      </c>
      <c r="K296" s="22" t="s">
        <v>514</v>
      </c>
      <c r="L296" s="22">
        <v>2017</v>
      </c>
      <c r="M296" s="335" t="str">
        <f ca="1">VLOOKUP(A296,'2020_ModelLink'!$A$3:$S$332,18,FALSE)</f>
        <v>N/A</v>
      </c>
      <c r="N296" s="335" t="str">
        <f ca="1">VLOOKUP(A296,'2020_ModelLink'!$A$3:$S$332,19,FALSE)</f>
        <v>N/A</v>
      </c>
      <c r="O296" s="721">
        <f ca="1">VLOOKUP($A296,'2016_ModelLink'!$A$3:$S$332,17,FALSE)</f>
        <v>0</v>
      </c>
      <c r="P296" s="721">
        <f ca="1">VLOOKUP($A296,'2017_ModelLink'!$A$3:$S$332,17,FALSE)</f>
        <v>3600</v>
      </c>
      <c r="Q296" s="721">
        <f ca="1">VLOOKUP($A296,'2018_ModelLink'!$A$3:$S$332,17,FALSE)</f>
        <v>0</v>
      </c>
      <c r="R296" s="721">
        <f ca="1">VLOOKUP($A296,'2019_ModelLink'!$A$3:$S$332,17,FALSE)</f>
        <v>0</v>
      </c>
      <c r="S296" s="721">
        <f>VLOOKUP($A296,'2020_ModelLink'!$A$3:$S$332,17,FALSE)</f>
        <v>3959</v>
      </c>
      <c r="T296" s="307">
        <f>VLOOKUP(A296,Targets!$A$1:$J$301,5,FALSE)</f>
        <v>138</v>
      </c>
      <c r="U296" s="307">
        <f>VLOOKUP(A296,Targets!$A$1:$J$301,5,FALSE)</f>
        <v>138</v>
      </c>
      <c r="V296" s="307">
        <f>VLOOKUP(A296,Targets!$A$1:$J$301,5,FALSE)</f>
        <v>138</v>
      </c>
      <c r="W296" s="307">
        <f>VLOOKUP(A296,Targets!$A$1:$J$301,5,FALSE)*3</f>
        <v>414</v>
      </c>
      <c r="X296" s="307">
        <f>VLOOKUP(A296,Targets!$A$1:$J$301,6,FALSE)*2</f>
        <v>276</v>
      </c>
      <c r="Y296" s="429" t="s">
        <v>557</v>
      </c>
      <c r="Z296" s="429" t="s">
        <v>558</v>
      </c>
      <c r="AA296" s="542"/>
      <c r="AB296" s="21"/>
    </row>
    <row r="297" spans="1:28" ht="409.5">
      <c r="A297" s="31">
        <v>294</v>
      </c>
      <c r="B297" s="22" t="s">
        <v>39</v>
      </c>
      <c r="C297" s="22" t="s">
        <v>550</v>
      </c>
      <c r="D297" s="22" t="s">
        <v>551</v>
      </c>
      <c r="E297" s="23">
        <v>3</v>
      </c>
      <c r="F297" s="22" t="s">
        <v>559</v>
      </c>
      <c r="G297" s="22" t="s">
        <v>552</v>
      </c>
      <c r="H297" s="22" t="s">
        <v>30</v>
      </c>
      <c r="I297" s="22" t="s">
        <v>560</v>
      </c>
      <c r="J297" s="22" t="s">
        <v>560</v>
      </c>
      <c r="K297" s="22" t="s">
        <v>514</v>
      </c>
      <c r="L297" s="22">
        <v>2017</v>
      </c>
      <c r="M297" s="335" t="str">
        <f ca="1">VLOOKUP(A297,'2020_ModelLink'!$A$3:$S$332,18,FALSE)</f>
        <v>N/A</v>
      </c>
      <c r="N297" s="335" t="str">
        <f ca="1">VLOOKUP(A297,'2020_ModelLink'!$A$3:$S$332,19,FALSE)</f>
        <v>N/A</v>
      </c>
      <c r="O297" s="721">
        <f ca="1">VLOOKUP($A297,'2016_ModelLink'!$A$3:$S$332,17,FALSE)</f>
        <v>0</v>
      </c>
      <c r="P297" s="721">
        <f ca="1">VLOOKUP($A297,'2017_ModelLink'!$A$3:$S$332,17,FALSE)</f>
        <v>0.2</v>
      </c>
      <c r="Q297" s="721">
        <f ca="1">VLOOKUP($A297,'2018_ModelLink'!$A$3:$S$332,17,FALSE)</f>
        <v>0</v>
      </c>
      <c r="R297" s="721">
        <f ca="1">VLOOKUP($A297,'2019_ModelLink'!$A$3:$S$332,17,FALSE)</f>
        <v>0</v>
      </c>
      <c r="S297" s="721">
        <f>VLOOKUP($A297,'2020_ModelLink'!$A$3:$S$332,17,FALSE)</f>
        <v>0.27</v>
      </c>
      <c r="T297" s="307">
        <f>VLOOKUP(A297,Targets!$A$1:$J$301,5,FALSE)</f>
        <v>3600</v>
      </c>
      <c r="U297" s="307">
        <f>VLOOKUP(A297,Targets!$A$1:$J$301,5,FALSE)</f>
        <v>3600</v>
      </c>
      <c r="V297" s="307">
        <f>VLOOKUP(A297,Targets!$A$1:$J$301,5,FALSE)</f>
        <v>3600</v>
      </c>
      <c r="W297" s="307">
        <f>VLOOKUP(A297,Targets!$A$1:$J$301,5,FALSE)*3</f>
        <v>10800</v>
      </c>
      <c r="X297" s="307">
        <f>VLOOKUP(A297,Targets!$A$1:$J$301,6,FALSE)*2</f>
        <v>7200</v>
      </c>
      <c r="Y297" s="429" t="s">
        <v>561</v>
      </c>
      <c r="Z297" s="429" t="s">
        <v>562</v>
      </c>
      <c r="AA297" s="542"/>
      <c r="AB297" s="21"/>
    </row>
    <row r="298" spans="1:28" ht="210">
      <c r="A298" s="31">
        <v>295</v>
      </c>
      <c r="B298" s="22" t="s">
        <v>563</v>
      </c>
      <c r="C298" s="22" t="s">
        <v>550</v>
      </c>
      <c r="D298" s="22" t="s">
        <v>564</v>
      </c>
      <c r="E298" s="23">
        <v>1</v>
      </c>
      <c r="F298" s="22" t="s">
        <v>142</v>
      </c>
      <c r="G298" s="22" t="s">
        <v>552</v>
      </c>
      <c r="H298" s="22" t="s">
        <v>30</v>
      </c>
      <c r="I298" s="22" t="s">
        <v>565</v>
      </c>
      <c r="J298" s="22" t="s">
        <v>565</v>
      </c>
      <c r="K298" s="22" t="s">
        <v>514</v>
      </c>
      <c r="L298" s="69" t="s">
        <v>59</v>
      </c>
      <c r="M298" s="335" t="str">
        <f ca="1">VLOOKUP(A298,'2020_ModelLink'!$A$3:$S$332,18,FALSE)</f>
        <v>N/A</v>
      </c>
      <c r="N298" s="335" t="str">
        <f ca="1">VLOOKUP(A298,'2020_ModelLink'!$A$3:$S$332,19,FALSE)</f>
        <v>N/A</v>
      </c>
      <c r="O298" s="722" t="str">
        <f>VLOOKUP($A298,'2016_ModelLink'!$A$3:$S$332,17,FALSE)</f>
        <v>N/A-REN</v>
      </c>
      <c r="P298" s="722" t="str">
        <f>VLOOKUP($A298,'2017_ModelLink'!$A$3:$S$332,17,FALSE)</f>
        <v>N/A-REN</v>
      </c>
      <c r="Q298" s="722">
        <f ca="1">VLOOKUP($A298,'2018_ModelLink'!$A$3:$S$332,17,FALSE)</f>
        <v>0</v>
      </c>
      <c r="R298" s="722">
        <f ca="1">VLOOKUP($A298,'2019_ModelLink'!$A$3:$S$332,17,FALSE)</f>
        <v>0</v>
      </c>
      <c r="S298" s="722">
        <f ca="1">VLOOKUP($A298,'2020_ModelLink'!$A$3:$S$332,17,FALSE)</f>
        <v>0</v>
      </c>
      <c r="T298" s="715" t="e">
        <f>VLOOKUP(A298,Targets!$A$1:$J$301,5,FALSE)</f>
        <v>#N/A</v>
      </c>
      <c r="U298" s="715" t="e">
        <f>VLOOKUP(A298,Targets!$A$1:$J$301,5,FALSE)</f>
        <v>#N/A</v>
      </c>
      <c r="V298" s="715" t="e">
        <f>VLOOKUP(A298,Targets!$A$1:$J$301,5,FALSE)</f>
        <v>#N/A</v>
      </c>
      <c r="W298" s="715" t="e">
        <f>VLOOKUP(A298,Targets!$A$1:$J$301,5,FALSE)*3</f>
        <v>#N/A</v>
      </c>
      <c r="X298" s="715" t="e">
        <f>VLOOKUP(A298,Targets!$A$1:$J$301,6,FALSE)*2</f>
        <v>#N/A</v>
      </c>
      <c r="Y298" s="429" t="s">
        <v>566</v>
      </c>
      <c r="Z298" s="429" t="s">
        <v>566</v>
      </c>
      <c r="AA298" s="542"/>
      <c r="AB298" s="21"/>
    </row>
    <row r="299" spans="1:28" ht="135">
      <c r="A299" s="31">
        <v>296</v>
      </c>
      <c r="B299" s="22" t="s">
        <v>563</v>
      </c>
      <c r="C299" s="22" t="s">
        <v>550</v>
      </c>
      <c r="D299" s="22" t="s">
        <v>567</v>
      </c>
      <c r="E299" s="23">
        <v>1</v>
      </c>
      <c r="F299" s="22" t="s">
        <v>523</v>
      </c>
      <c r="G299" s="22" t="s">
        <v>552</v>
      </c>
      <c r="H299" s="22" t="s">
        <v>164</v>
      </c>
      <c r="I299" s="22" t="s">
        <v>568</v>
      </c>
      <c r="J299" s="22" t="s">
        <v>568</v>
      </c>
      <c r="K299" s="22" t="s">
        <v>514</v>
      </c>
      <c r="L299" s="69" t="s">
        <v>59</v>
      </c>
      <c r="M299" s="335" t="str">
        <f ca="1">VLOOKUP(A299,'2020_ModelLink'!$A$3:$S$332,18,FALSE)</f>
        <v>N/A</v>
      </c>
      <c r="N299" s="335" t="str">
        <f ca="1">VLOOKUP(A299,'2020_ModelLink'!$A$3:$S$332,19,FALSE)</f>
        <v>N/A</v>
      </c>
      <c r="O299" s="721" t="str">
        <f>VLOOKUP($A299,'2016_ModelLink'!$A$3:$S$332,17,FALSE)</f>
        <v>N/A-REN</v>
      </c>
      <c r="P299" s="721" t="str">
        <f>VLOOKUP($A299,'2017_ModelLink'!$A$3:$S$332,17,FALSE)</f>
        <v>N/A-REN</v>
      </c>
      <c r="Q299" s="721">
        <f ca="1">VLOOKUP($A299,'2018_ModelLink'!$A$3:$S$332,17,FALSE)</f>
        <v>0</v>
      </c>
      <c r="R299" s="721">
        <f ca="1">VLOOKUP($A299,'2019_ModelLink'!$A$3:$S$332,17,FALSE)</f>
        <v>0</v>
      </c>
      <c r="S299" s="721">
        <f ca="1">VLOOKUP($A299,'2020_ModelLink'!$A$3:$S$332,17,FALSE)</f>
        <v>0</v>
      </c>
      <c r="T299" s="307" t="e">
        <f>VLOOKUP(A299,Targets!$A$1:$J$301,5,FALSE)</f>
        <v>#N/A</v>
      </c>
      <c r="U299" s="307" t="e">
        <f>VLOOKUP(A299,Targets!$A$1:$J$301,5,FALSE)</f>
        <v>#N/A</v>
      </c>
      <c r="V299" s="307" t="e">
        <f>VLOOKUP(A299,Targets!$A$1:$J$301,5,FALSE)</f>
        <v>#N/A</v>
      </c>
      <c r="W299" s="307" t="e">
        <f>VLOOKUP(A299,Targets!$A$1:$J$301,5,FALSE)*3</f>
        <v>#N/A</v>
      </c>
      <c r="X299" s="307" t="e">
        <f>VLOOKUP(A299,Targets!$A$1:$J$301,6,FALSE)*2</f>
        <v>#N/A</v>
      </c>
      <c r="Y299" s="429" t="s">
        <v>569</v>
      </c>
      <c r="Z299" s="429" t="s">
        <v>569</v>
      </c>
      <c r="AA299" s="542"/>
      <c r="AB299" s="21"/>
    </row>
    <row r="300" spans="1:28" ht="135">
      <c r="A300" s="31">
        <v>297</v>
      </c>
      <c r="B300" s="22" t="s">
        <v>563</v>
      </c>
      <c r="C300" s="22" t="s">
        <v>550</v>
      </c>
      <c r="D300" s="22" t="s">
        <v>567</v>
      </c>
      <c r="E300" s="23">
        <v>1</v>
      </c>
      <c r="F300" s="22" t="s">
        <v>142</v>
      </c>
      <c r="G300" s="22" t="s">
        <v>552</v>
      </c>
      <c r="H300" s="22" t="s">
        <v>164</v>
      </c>
      <c r="I300" s="22" t="s">
        <v>568</v>
      </c>
      <c r="J300" s="22" t="s">
        <v>568</v>
      </c>
      <c r="K300" s="22" t="s">
        <v>514</v>
      </c>
      <c r="L300" s="69" t="s">
        <v>59</v>
      </c>
      <c r="M300" s="335" t="str">
        <f ca="1">VLOOKUP(A300,'2020_ModelLink'!$A$3:$S$332,18,FALSE)</f>
        <v>N/A</v>
      </c>
      <c r="N300" s="335" t="str">
        <f ca="1">VLOOKUP(A300,'2020_ModelLink'!$A$3:$S$332,19,FALSE)</f>
        <v>N/A</v>
      </c>
      <c r="O300" s="722" t="str">
        <f>VLOOKUP($A300,'2016_ModelLink'!$A$3:$S$332,17,FALSE)</f>
        <v>N/A-REN</v>
      </c>
      <c r="P300" s="722" t="str">
        <f>VLOOKUP($A300,'2017_ModelLink'!$A$3:$S$332,17,FALSE)</f>
        <v>N/A-REN</v>
      </c>
      <c r="Q300" s="722">
        <f ca="1">VLOOKUP($A300,'2018_ModelLink'!$A$3:$S$332,17,FALSE)</f>
        <v>0</v>
      </c>
      <c r="R300" s="722">
        <f ca="1">VLOOKUP($A300,'2019_ModelLink'!$A$3:$S$332,17,FALSE)</f>
        <v>0</v>
      </c>
      <c r="S300" s="722">
        <f ca="1">VLOOKUP($A300,'2020_ModelLink'!$A$3:$S$332,17,FALSE)</f>
        <v>0</v>
      </c>
      <c r="T300" s="715" t="e">
        <f>VLOOKUP(A300,Targets!$A$1:$J$301,5,FALSE)</f>
        <v>#N/A</v>
      </c>
      <c r="U300" s="715" t="e">
        <f>VLOOKUP(A300,Targets!$A$1:$J$301,5,FALSE)</f>
        <v>#N/A</v>
      </c>
      <c r="V300" s="715" t="e">
        <f>VLOOKUP(A300,Targets!$A$1:$J$301,5,FALSE)</f>
        <v>#N/A</v>
      </c>
      <c r="W300" s="715" t="e">
        <f>VLOOKUP(A300,Targets!$A$1:$J$301,5,FALSE)*3</f>
        <v>#N/A</v>
      </c>
      <c r="X300" s="715" t="e">
        <f>VLOOKUP(A300,Targets!$A$1:$J$301,6,FALSE)*2</f>
        <v>#N/A</v>
      </c>
      <c r="Y300" s="429" t="s">
        <v>569</v>
      </c>
      <c r="Z300" s="429" t="s">
        <v>569</v>
      </c>
      <c r="AA300" s="542"/>
      <c r="AB300" s="21"/>
    </row>
    <row r="301" spans="1:28" ht="120">
      <c r="A301" s="31">
        <v>298</v>
      </c>
      <c r="B301" s="22" t="s">
        <v>563</v>
      </c>
      <c r="C301" s="22" t="s">
        <v>550</v>
      </c>
      <c r="D301" s="22" t="s">
        <v>567</v>
      </c>
      <c r="E301" s="23">
        <v>2</v>
      </c>
      <c r="F301" s="22" t="s">
        <v>523</v>
      </c>
      <c r="G301" s="22" t="s">
        <v>552</v>
      </c>
      <c r="H301" s="22" t="s">
        <v>164</v>
      </c>
      <c r="I301" s="22" t="s">
        <v>570</v>
      </c>
      <c r="J301" s="22" t="s">
        <v>570</v>
      </c>
      <c r="K301" s="22" t="s">
        <v>514</v>
      </c>
      <c r="L301" s="69" t="s">
        <v>59</v>
      </c>
      <c r="M301" s="335" t="str">
        <f ca="1">VLOOKUP(A301,'2020_ModelLink'!$A$3:$S$332,18,FALSE)</f>
        <v>N/A</v>
      </c>
      <c r="N301" s="335" t="str">
        <f ca="1">VLOOKUP(A301,'2020_ModelLink'!$A$3:$S$332,19,FALSE)</f>
        <v>N/A</v>
      </c>
      <c r="O301" s="721" t="str">
        <f>VLOOKUP($A301,'2016_ModelLink'!$A$3:$S$332,17,FALSE)</f>
        <v>N/A-REN</v>
      </c>
      <c r="P301" s="721" t="str">
        <f>VLOOKUP($A301,'2017_ModelLink'!$A$3:$S$332,17,FALSE)</f>
        <v>N/A-REN</v>
      </c>
      <c r="Q301" s="721">
        <f ca="1">VLOOKUP($A301,'2018_ModelLink'!$A$3:$S$332,17,FALSE)</f>
        <v>0</v>
      </c>
      <c r="R301" s="721">
        <f ca="1">VLOOKUP($A301,'2019_ModelLink'!$A$3:$S$332,17,FALSE)</f>
        <v>0</v>
      </c>
      <c r="S301" s="721">
        <f ca="1">VLOOKUP($A301,'2020_ModelLink'!$A$3:$S$332,17,FALSE)</f>
        <v>0</v>
      </c>
      <c r="T301" s="307" t="e">
        <f>VLOOKUP(A301,Targets!$A$1:$J$301,5,FALSE)</f>
        <v>#N/A</v>
      </c>
      <c r="U301" s="307" t="e">
        <f>VLOOKUP(A301,Targets!$A$1:$J$301,5,FALSE)</f>
        <v>#N/A</v>
      </c>
      <c r="V301" s="307" t="e">
        <f>VLOOKUP(A301,Targets!$A$1:$J$301,5,FALSE)</f>
        <v>#N/A</v>
      </c>
      <c r="W301" s="307" t="e">
        <f>VLOOKUP(A301,Targets!$A$1:$J$301,5,FALSE)*3</f>
        <v>#N/A</v>
      </c>
      <c r="X301" s="307" t="e">
        <f>VLOOKUP(A301,Targets!$A$1:$J$301,6,FALSE)*2</f>
        <v>#N/A</v>
      </c>
      <c r="Y301" s="429" t="s">
        <v>569</v>
      </c>
      <c r="Z301" s="429" t="s">
        <v>569</v>
      </c>
      <c r="AA301" s="542"/>
      <c r="AB301" s="21"/>
    </row>
    <row r="302" spans="1:28" ht="120">
      <c r="A302" s="31">
        <v>299</v>
      </c>
      <c r="B302" s="22" t="s">
        <v>563</v>
      </c>
      <c r="C302" s="22" t="s">
        <v>550</v>
      </c>
      <c r="D302" s="22" t="s">
        <v>567</v>
      </c>
      <c r="E302" s="23">
        <v>2</v>
      </c>
      <c r="F302" s="22" t="s">
        <v>142</v>
      </c>
      <c r="G302" s="22" t="s">
        <v>552</v>
      </c>
      <c r="H302" s="22" t="s">
        <v>164</v>
      </c>
      <c r="I302" s="22" t="s">
        <v>570</v>
      </c>
      <c r="J302" s="22" t="s">
        <v>570</v>
      </c>
      <c r="K302" s="22" t="s">
        <v>514</v>
      </c>
      <c r="L302" s="69" t="s">
        <v>59</v>
      </c>
      <c r="M302" s="335" t="str">
        <f ca="1">VLOOKUP(A302,'2020_ModelLink'!$A$3:$S$332,18,FALSE)</f>
        <v>N/A</v>
      </c>
      <c r="N302" s="335" t="str">
        <f ca="1">VLOOKUP(A302,'2020_ModelLink'!$A$3:$S$332,19,FALSE)</f>
        <v>N/A</v>
      </c>
      <c r="O302" s="722" t="str">
        <f>VLOOKUP($A302,'2016_ModelLink'!$A$3:$S$332,17,FALSE)</f>
        <v>N/A-REN</v>
      </c>
      <c r="P302" s="722" t="str">
        <f>VLOOKUP($A302,'2017_ModelLink'!$A$3:$S$332,17,FALSE)</f>
        <v>N/A-REN</v>
      </c>
      <c r="Q302" s="722">
        <f ca="1">VLOOKUP($A302,'2018_ModelLink'!$A$3:$S$332,17,FALSE)</f>
        <v>0</v>
      </c>
      <c r="R302" s="722">
        <f ca="1">VLOOKUP($A302,'2019_ModelLink'!$A$3:$S$332,17,FALSE)</f>
        <v>0</v>
      </c>
      <c r="S302" s="722">
        <f ca="1">VLOOKUP($A302,'2020_ModelLink'!$A$3:$S$332,17,FALSE)</f>
        <v>0</v>
      </c>
      <c r="T302" s="715" t="e">
        <f>VLOOKUP(A302,Targets!$A$1:$J$301,5,FALSE)</f>
        <v>#N/A</v>
      </c>
      <c r="U302" s="715" t="e">
        <f>VLOOKUP(A302,Targets!$A$1:$J$301,5,FALSE)</f>
        <v>#N/A</v>
      </c>
      <c r="V302" s="715" t="e">
        <f>VLOOKUP(A302,Targets!$A$1:$J$301,5,FALSE)</f>
        <v>#N/A</v>
      </c>
      <c r="W302" s="715" t="e">
        <f>VLOOKUP(A302,Targets!$A$1:$J$301,5,FALSE)*3</f>
        <v>#N/A</v>
      </c>
      <c r="X302" s="715" t="e">
        <f>VLOOKUP(A302,Targets!$A$1:$J$301,6,FALSE)*2</f>
        <v>#N/A</v>
      </c>
      <c r="Y302" s="429" t="s">
        <v>569</v>
      </c>
      <c r="Z302" s="429" t="s">
        <v>569</v>
      </c>
      <c r="AA302" s="542"/>
      <c r="AB302" s="21"/>
    </row>
    <row r="303" spans="1:28" ht="165">
      <c r="A303" s="31">
        <v>300</v>
      </c>
      <c r="B303" s="22" t="s">
        <v>563</v>
      </c>
      <c r="C303" s="22" t="s">
        <v>550</v>
      </c>
      <c r="D303" s="22" t="s">
        <v>567</v>
      </c>
      <c r="E303" s="23">
        <v>3</v>
      </c>
      <c r="F303" s="22" t="s">
        <v>523</v>
      </c>
      <c r="G303" s="22" t="s">
        <v>552</v>
      </c>
      <c r="H303" s="22" t="s">
        <v>164</v>
      </c>
      <c r="I303" s="22" t="s">
        <v>571</v>
      </c>
      <c r="J303" s="22" t="s">
        <v>571</v>
      </c>
      <c r="K303" s="22" t="s">
        <v>514</v>
      </c>
      <c r="L303" s="69" t="s">
        <v>59</v>
      </c>
      <c r="M303" s="335" t="str">
        <f ca="1">VLOOKUP(A303,'2020_ModelLink'!$A$3:$S$332,18,FALSE)</f>
        <v>N/A</v>
      </c>
      <c r="N303" s="335" t="str">
        <f ca="1">VLOOKUP(A303,'2020_ModelLink'!$A$3:$S$332,19,FALSE)</f>
        <v>N/A</v>
      </c>
      <c r="O303" s="721" t="str">
        <f>VLOOKUP($A303,'2016_ModelLink'!$A$3:$S$332,17,FALSE)</f>
        <v>N/A-REN</v>
      </c>
      <c r="P303" s="721" t="str">
        <f>VLOOKUP($A303,'2017_ModelLink'!$A$3:$S$332,17,FALSE)</f>
        <v>N/A-REN</v>
      </c>
      <c r="Q303" s="721">
        <f ca="1">VLOOKUP($A303,'2018_ModelLink'!$A$3:$S$332,17,FALSE)</f>
        <v>0</v>
      </c>
      <c r="R303" s="721">
        <f ca="1">VLOOKUP($A303,'2019_ModelLink'!$A$3:$S$332,17,FALSE)</f>
        <v>0</v>
      </c>
      <c r="S303" s="721">
        <f ca="1">VLOOKUP($A303,'2020_ModelLink'!$A$3:$S$332,17,FALSE)</f>
        <v>0</v>
      </c>
      <c r="T303" s="307" t="e">
        <f>VLOOKUP(A303,Targets!$A$1:$J$301,5,FALSE)</f>
        <v>#N/A</v>
      </c>
      <c r="U303" s="307" t="e">
        <f>VLOOKUP(A303,Targets!$A$1:$J$301,5,FALSE)</f>
        <v>#N/A</v>
      </c>
      <c r="V303" s="307" t="e">
        <f>VLOOKUP(A303,Targets!$A$1:$J$301,5,FALSE)</f>
        <v>#N/A</v>
      </c>
      <c r="W303" s="307" t="e">
        <f>VLOOKUP(A303,Targets!$A$1:$J$301,5,FALSE)*3</f>
        <v>#N/A</v>
      </c>
      <c r="X303" s="307" t="e">
        <f>VLOOKUP(A303,Targets!$A$1:$J$301,6,FALSE)*2</f>
        <v>#N/A</v>
      </c>
      <c r="Y303" s="429" t="s">
        <v>569</v>
      </c>
      <c r="Z303" s="429" t="s">
        <v>569</v>
      </c>
      <c r="AA303" s="542"/>
      <c r="AB303" s="21"/>
    </row>
    <row r="304" spans="1:28" ht="390">
      <c r="A304" s="31">
        <v>301</v>
      </c>
      <c r="B304" s="22" t="s">
        <v>39</v>
      </c>
      <c r="C304" s="22" t="s">
        <v>572</v>
      </c>
      <c r="D304" s="22" t="s">
        <v>573</v>
      </c>
      <c r="E304" s="23">
        <v>1</v>
      </c>
      <c r="F304" s="22" t="s">
        <v>523</v>
      </c>
      <c r="G304" s="22" t="s">
        <v>574</v>
      </c>
      <c r="H304" s="22" t="s">
        <v>30</v>
      </c>
      <c r="I304" s="22" t="s">
        <v>575</v>
      </c>
      <c r="J304" s="22" t="s">
        <v>575</v>
      </c>
      <c r="K304" s="22" t="s">
        <v>576</v>
      </c>
      <c r="L304" s="22">
        <v>2016</v>
      </c>
      <c r="M304" s="335" t="str">
        <f ca="1">VLOOKUP(A304,'2020_ModelLink'!$A$3:$S$332,18,FALSE)</f>
        <v>N/A</v>
      </c>
      <c r="N304" s="335" t="str">
        <f ca="1">VLOOKUP(A304,'2020_ModelLink'!$A$3:$S$332,19,FALSE)</f>
        <v>N/A</v>
      </c>
      <c r="O304" s="721" t="str">
        <f>VLOOKUP($A304,'2016_ModelLink'!$A$3:$S$332,17,FALSE)</f>
        <v>Not Available</v>
      </c>
      <c r="P304" s="721" t="str">
        <f>VLOOKUP($A304,'2017_ModelLink'!$A$3:$S$332,17,FALSE)</f>
        <v>Not Available</v>
      </c>
      <c r="Q304" s="721">
        <f ca="1">VLOOKUP($A304,'2018_ModelLink'!$A$3:$S$332,17,FALSE)</f>
        <v>0</v>
      </c>
      <c r="R304" s="721">
        <f ca="1">VLOOKUP($A304,'2019_ModelLink'!$A$3:$S$332,17,FALSE)</f>
        <v>0</v>
      </c>
      <c r="S304" s="721">
        <f>VLOOKUP($A304,'2020_ModelLink'!$A$3:$S$332,17,FALSE)</f>
        <v>4</v>
      </c>
      <c r="T304" s="307">
        <f>VLOOKUP(A304,Targets!$A$1:$J$301,5,FALSE)</f>
        <v>0.2</v>
      </c>
      <c r="U304" s="307">
        <f>VLOOKUP(A304,Targets!$A$1:$J$301,5,FALSE)</f>
        <v>0.2</v>
      </c>
      <c r="V304" s="307">
        <f>VLOOKUP(A304,Targets!$A$1:$J$301,5,FALSE)</f>
        <v>0.2</v>
      </c>
      <c r="W304" s="307">
        <f>VLOOKUP(A304,Targets!$A$1:$J$301,5,FALSE)*3</f>
        <v>0.60000000000000009</v>
      </c>
      <c r="X304" s="307">
        <f>VLOOKUP(A304,Targets!$A$1:$J$301,6,FALSE)*2</f>
        <v>0.4</v>
      </c>
      <c r="Y304" s="429" t="s">
        <v>577</v>
      </c>
      <c r="Z304" s="429" t="s">
        <v>578</v>
      </c>
      <c r="AA304" s="542"/>
      <c r="AB304" s="21"/>
    </row>
    <row r="305" spans="1:28" ht="409.5">
      <c r="A305" s="100">
        <v>302</v>
      </c>
      <c r="B305" s="101" t="s">
        <v>39</v>
      </c>
      <c r="C305" s="101" t="s">
        <v>572</v>
      </c>
      <c r="D305" s="101" t="s">
        <v>579</v>
      </c>
      <c r="E305" s="411">
        <v>1</v>
      </c>
      <c r="F305" s="101" t="s">
        <v>523</v>
      </c>
      <c r="G305" s="101" t="s">
        <v>580</v>
      </c>
      <c r="H305" s="101" t="s">
        <v>30</v>
      </c>
      <c r="I305" s="101" t="s">
        <v>581</v>
      </c>
      <c r="J305" s="101" t="s">
        <v>581</v>
      </c>
      <c r="K305" s="101" t="s">
        <v>576</v>
      </c>
      <c r="L305" s="22">
        <v>2016</v>
      </c>
      <c r="M305" s="335" t="str">
        <f ca="1">VLOOKUP(A305,'2020_ModelLink'!$A$3:$S$332,18,FALSE)</f>
        <v>N/A</v>
      </c>
      <c r="N305" s="335" t="str">
        <f ca="1">VLOOKUP(A305,'2020_ModelLink'!$A$3:$S$332,19,FALSE)</f>
        <v>N/A</v>
      </c>
      <c r="O305" s="721" t="str">
        <f>VLOOKUP($A305,'2016_ModelLink'!$A$3:$S$332,17,FALSE)</f>
        <v>Not Available</v>
      </c>
      <c r="P305" s="721" t="str">
        <f>VLOOKUP($A305,'2017_ModelLink'!$A$3:$S$332,17,FALSE)</f>
        <v>Not Available</v>
      </c>
      <c r="Q305" s="721" t="str">
        <f>VLOOKUP($A305,'2018_ModelLink'!$A$3:$S$332,17,FALSE)</f>
        <v>Sector:
Residential - 563             
Nonresidential - 5,853
Segment:                 
HVAC - 2299                              
Lighting - 271                                
Codes &amp; Standards - 634 
Foodservice - 126                        
Renewables &amp; Sustainability - 418 
Home Performance - 296                      
Real Estate - 222                               
Rates, Rebate &amp; Incentive Programs -  355  
Zero-Net Energy - 190
*Data was not tracked in line with other segments                            
Building Design, Construction and Performance - 1270
Marketing, Finance, and Sales (MFS) -335</v>
      </c>
      <c r="R305" s="721" t="str">
        <f>VLOOKUP($A305,'2019_ModelLink'!$A$3:$S$332,17,FALSE)</f>
        <v>Sector:
Residential - 563             
Nonresidential - 5,853
Segment:                 
HVAC - 2299                              
Lighting - 271                                
Codes &amp; Standards - 634 
Foodservice - 126                        
Renewables &amp; Sustainability - 418 
Home Performance - 296                      
Real Estate - 222                               
Rates, Rebate &amp; Incentive Programs -  355  
Zero-Net Energy - 190
*Data was not tracked in line with other segments                            
Building Design, Construction and Performance - 1270
Marketing, Finance, and Sales (MFS) -335</v>
      </c>
      <c r="S305" s="721" t="str">
        <f>VLOOKUP($A305,'2020_ModelLink'!$A$3:$S$332,17,FALSE)</f>
        <v xml:space="preserve">Sector: 
Residential - 185
Nonresidential - 7,036
Segment:                 
Building Design &amp; Construction - 606
Building Performance - 326
Commercial &amp; Industrial Energy Process &amp; Technology (CIEPT) - 180
*Energy Codes &amp; Standards (CNS) - 441
Food Service - 28
Home Performance - 471
HVAC - 3855
Lighting - 104
Market, Finance &amp; Sales - 516
Rates, Rebate &amp; Incentive Programs - 108 
Real Estate - 187
Renewable Energy &amp; Sustainability - 383
Zero-Net Energy - 16
*Data was not tracked in line with other segments </v>
      </c>
      <c r="T305" s="307">
        <f>VLOOKUP(A305,Targets!$A$1:$J$301,5,FALSE)</f>
        <v>7000</v>
      </c>
      <c r="U305" s="307">
        <f>VLOOKUP(A305,Targets!$A$1:$J$301,5,FALSE)</f>
        <v>7000</v>
      </c>
      <c r="V305" s="307">
        <f>VLOOKUP(A305,Targets!$A$1:$J$301,5,FALSE)</f>
        <v>7000</v>
      </c>
      <c r="W305" s="307">
        <f>VLOOKUP(A305,Targets!$A$1:$J$301,5,FALSE)*3</f>
        <v>21000</v>
      </c>
      <c r="X305" s="307">
        <f>VLOOKUP(A305,Targets!$A$1:$J$301,6,FALSE)*2</f>
        <v>14000</v>
      </c>
      <c r="Y305" s="429" t="s">
        <v>582</v>
      </c>
      <c r="Z305" s="522" t="s">
        <v>583</v>
      </c>
      <c r="AA305" s="542"/>
      <c r="AB305" s="21"/>
    </row>
    <row r="306" spans="1:28" ht="409.5">
      <c r="A306" s="31">
        <v>303</v>
      </c>
      <c r="B306" s="22" t="s">
        <v>39</v>
      </c>
      <c r="C306" s="22" t="s">
        <v>572</v>
      </c>
      <c r="D306" s="22" t="s">
        <v>579</v>
      </c>
      <c r="E306" s="23">
        <v>1</v>
      </c>
      <c r="F306" s="22" t="s">
        <v>584</v>
      </c>
      <c r="G306" s="22" t="s">
        <v>580</v>
      </c>
      <c r="H306" s="22" t="s">
        <v>30</v>
      </c>
      <c r="I306" s="22" t="s">
        <v>585</v>
      </c>
      <c r="J306" s="22" t="s">
        <v>585</v>
      </c>
      <c r="K306" s="22" t="s">
        <v>576</v>
      </c>
      <c r="L306" s="22">
        <v>2016</v>
      </c>
      <c r="M306" s="335">
        <f>VLOOKUP(A306,'2020_ModelLink'!$A$3:$S$332,18,FALSE)</f>
        <v>2267</v>
      </c>
      <c r="N306" s="335">
        <f>VLOOKUP(A306,'2020_ModelLink'!$A$3:$S$332,19,FALSE)</f>
        <v>26671</v>
      </c>
      <c r="O306" s="722">
        <f>VLOOKUP($A306,'2016_ModelLink'!$A$3:$S$332,17,FALSE)</f>
        <v>9.7934085711071955E-2</v>
      </c>
      <c r="P306" s="722">
        <f>VLOOKUP($A306,'2017_ModelLink'!$A$3:$S$332,17,FALSE)</f>
        <v>9.7934085711071955E-2</v>
      </c>
      <c r="Q306" s="722">
        <f>VLOOKUP($A306,'2018_ModelLink'!$A$3:$S$332,17,FALSE)</f>
        <v>8.4998687713246604E-2</v>
      </c>
      <c r="R306" s="722">
        <f>VLOOKUP($A306,'2019_ModelLink'!$A$3:$S$332,17,FALSE)</f>
        <v>8.4998687713246604E-2</v>
      </c>
      <c r="S306" s="722">
        <f>VLOOKUP($A306,'2020_ModelLink'!$A$3:$S$332,17,FALSE)</f>
        <v>8.5300000000000001E-2</v>
      </c>
      <c r="T306" s="715">
        <f>VLOOKUP(A306,Targets!$A$1:$J$301,5,FALSE)</f>
        <v>8.9300000000000004E-2</v>
      </c>
      <c r="U306" s="715">
        <f>VLOOKUP(A306,Targets!$A$1:$J$301,5,FALSE)</f>
        <v>8.9300000000000004E-2</v>
      </c>
      <c r="V306" s="715">
        <f>VLOOKUP(A306,Targets!$A$1:$J$301,5,FALSE)</f>
        <v>8.9300000000000004E-2</v>
      </c>
      <c r="W306" s="715">
        <f>VLOOKUP(A306,Targets!$A$1:$J$301,5,FALSE)*3</f>
        <v>0.26790000000000003</v>
      </c>
      <c r="X306" s="715">
        <f>VLOOKUP(A306,Targets!$A$1:$J$301,6,FALSE)*2</f>
        <v>0.26</v>
      </c>
      <c r="Y306" s="429" t="s">
        <v>586</v>
      </c>
      <c r="Z306" s="429" t="s">
        <v>587</v>
      </c>
      <c r="AA306" s="542"/>
      <c r="AB306" s="21"/>
    </row>
    <row r="307" spans="1:28" ht="409.5">
      <c r="A307" s="31">
        <v>304</v>
      </c>
      <c r="B307" s="22" t="s">
        <v>39</v>
      </c>
      <c r="C307" s="22" t="s">
        <v>572</v>
      </c>
      <c r="D307" s="22" t="s">
        <v>588</v>
      </c>
      <c r="E307" s="23">
        <v>1</v>
      </c>
      <c r="F307" s="22" t="s">
        <v>584</v>
      </c>
      <c r="G307" s="22" t="s">
        <v>589</v>
      </c>
      <c r="H307" s="22" t="s">
        <v>30</v>
      </c>
      <c r="I307" s="22" t="s">
        <v>590</v>
      </c>
      <c r="J307" s="22" t="s">
        <v>590</v>
      </c>
      <c r="K307" s="22" t="s">
        <v>576</v>
      </c>
      <c r="L307" s="22" t="s">
        <v>59</v>
      </c>
      <c r="M307" s="335">
        <f>VLOOKUP(A307,'2020_ModelLink'!$A$3:$S$332,18,FALSE)</f>
        <v>2267</v>
      </c>
      <c r="N307" s="335">
        <f>VLOOKUP(A307,'2020_ModelLink'!$A$3:$S$332,19,FALSE)</f>
        <v>26671</v>
      </c>
      <c r="O307" s="722">
        <f>VLOOKUP($A307,'2016_ModelLink'!$A$3:$S$332,17,FALSE)</f>
        <v>3.6986673918955673E-2</v>
      </c>
      <c r="P307" s="722">
        <f>VLOOKUP($A307,'2017_ModelLink'!$A$3:$S$332,17,FALSE)</f>
        <v>3.6986673918955673E-2</v>
      </c>
      <c r="Q307" s="722">
        <f>VLOOKUP($A307,'2018_ModelLink'!$A$3:$S$332,17,FALSE)</f>
        <v>8.4998687713246604E-2</v>
      </c>
      <c r="R307" s="722">
        <f>VLOOKUP($A307,'2019_ModelLink'!$A$3:$S$332,17,FALSE)</f>
        <v>8.4998687713246604E-2</v>
      </c>
      <c r="S307" s="722">
        <f>VLOOKUP($A307,'2020_ModelLink'!$A$3:$S$332,17,FALSE)</f>
        <v>0.31169999999999998</v>
      </c>
      <c r="T307" s="715">
        <f>VLOOKUP(A307,Targets!$A$1:$J$301,5,FALSE)</f>
        <v>4.7E-2</v>
      </c>
      <c r="U307" s="715">
        <f>VLOOKUP(A307,Targets!$A$1:$J$301,5,FALSE)</f>
        <v>4.7E-2</v>
      </c>
      <c r="V307" s="715">
        <f>VLOOKUP(A307,Targets!$A$1:$J$301,5,FALSE)</f>
        <v>4.7E-2</v>
      </c>
      <c r="W307" s="715">
        <f>VLOOKUP(A307,Targets!$A$1:$J$301,5,FALSE)*3</f>
        <v>0.14100000000000001</v>
      </c>
      <c r="X307" s="715">
        <f>VLOOKUP(A307,Targets!$A$1:$J$301,6,FALSE)*2</f>
        <v>9.4E-2</v>
      </c>
      <c r="Y307" s="429" t="s">
        <v>591</v>
      </c>
      <c r="Z307" s="429" t="s">
        <v>592</v>
      </c>
      <c r="AA307" s="542"/>
      <c r="AB307" s="21"/>
    </row>
    <row r="308" spans="1:28" ht="409.5">
      <c r="A308" s="31">
        <v>305</v>
      </c>
      <c r="B308" s="22" t="s">
        <v>39</v>
      </c>
      <c r="C308" s="22" t="s">
        <v>572</v>
      </c>
      <c r="D308" s="22" t="s">
        <v>588</v>
      </c>
      <c r="E308" s="23">
        <v>1</v>
      </c>
      <c r="F308" s="22" t="s">
        <v>584</v>
      </c>
      <c r="G308" s="22" t="s">
        <v>589</v>
      </c>
      <c r="H308" s="22" t="s">
        <v>30</v>
      </c>
      <c r="I308" s="22" t="s">
        <v>593</v>
      </c>
      <c r="J308" s="22" t="s">
        <v>593</v>
      </c>
      <c r="K308" s="22" t="s">
        <v>576</v>
      </c>
      <c r="L308" s="22" t="s">
        <v>59</v>
      </c>
      <c r="M308" s="335" t="str">
        <f ca="1">VLOOKUP(A308,'2020_ModelLink'!$A$3:$S$332,18,FALSE)</f>
        <v>N/A</v>
      </c>
      <c r="N308" s="335" t="str">
        <f ca="1">VLOOKUP(A308,'2020_ModelLink'!$A$3:$S$332,19,FALSE)</f>
        <v>N/A</v>
      </c>
      <c r="O308" s="722" t="str">
        <f>VLOOKUP($A308,'2016_ModelLink'!$A$3:$S$332,17,FALSE)</f>
        <v>N/A</v>
      </c>
      <c r="P308" s="722" t="str">
        <f>VLOOKUP($A308,'2017_ModelLink'!$A$3:$S$332,17,FALSE)</f>
        <v>N/A</v>
      </c>
      <c r="Q308" s="722" t="str">
        <f>VLOOKUP($A308,'2018_ModelLink'!$A$3:$S$332,17,FALSE)</f>
        <v>N/A</v>
      </c>
      <c r="R308" s="722" t="str">
        <f>VLOOKUP($A308,'2019_ModelLink'!$A$3:$S$332,17,FALSE)</f>
        <v>N/A</v>
      </c>
      <c r="S308" s="722" t="str">
        <f>VLOOKUP($A308,'2020_ModelLink'!$A$3:$S$332,17,FALSE)</f>
        <v>N/A</v>
      </c>
      <c r="T308" s="715">
        <f>VLOOKUP(A308,Targets!$A$1:$J$301,5,FALSE)</f>
        <v>0</v>
      </c>
      <c r="U308" s="715">
        <f>VLOOKUP(A308,Targets!$A$1:$J$301,5,FALSE)</f>
        <v>0</v>
      </c>
      <c r="V308" s="715">
        <f>VLOOKUP(A308,Targets!$A$1:$J$301,5,FALSE)</f>
        <v>0</v>
      </c>
      <c r="W308" s="715">
        <f>VLOOKUP(A308,Targets!$A$1:$J$301,5,FALSE)*3</f>
        <v>0</v>
      </c>
      <c r="X308" s="715">
        <f>VLOOKUP(A308,Targets!$A$1:$J$301,6,FALSE)*2</f>
        <v>0</v>
      </c>
      <c r="Y308" s="429" t="s">
        <v>594</v>
      </c>
      <c r="Z308" s="429" t="s">
        <v>595</v>
      </c>
      <c r="AA308" s="542"/>
      <c r="AB308" s="21"/>
    </row>
    <row r="309" spans="1:28" ht="210">
      <c r="A309" s="31">
        <v>306</v>
      </c>
      <c r="B309" s="22" t="s">
        <v>39</v>
      </c>
      <c r="C309" s="22" t="s">
        <v>572</v>
      </c>
      <c r="D309" s="22" t="s">
        <v>596</v>
      </c>
      <c r="E309" s="23">
        <v>1</v>
      </c>
      <c r="F309" s="22" t="s">
        <v>523</v>
      </c>
      <c r="G309" s="22" t="s">
        <v>589</v>
      </c>
      <c r="H309" s="22" t="s">
        <v>164</v>
      </c>
      <c r="I309" s="22" t="s">
        <v>597</v>
      </c>
      <c r="J309" s="22" t="s">
        <v>597</v>
      </c>
      <c r="K309" s="22" t="s">
        <v>576</v>
      </c>
      <c r="L309" s="22" t="s">
        <v>59</v>
      </c>
      <c r="M309" s="335" t="str">
        <f ca="1">VLOOKUP(A309,'2020_ModelLink'!$A$3:$S$332,18,FALSE)</f>
        <v>N/A</v>
      </c>
      <c r="N309" s="335" t="str">
        <f ca="1">VLOOKUP(A309,'2020_ModelLink'!$A$3:$S$332,19,FALSE)</f>
        <v>N/A</v>
      </c>
      <c r="O309" s="721" t="str">
        <f>VLOOKUP($A309,'2016_ModelLink'!$A$3:$S$332,17,FALSE)</f>
        <v>N/A - Indicator</v>
      </c>
      <c r="P309" s="721" t="str">
        <f>VLOOKUP($A309,'2017_ModelLink'!$A$3:$S$332,17,FALSE)</f>
        <v>N/A - Indicator</v>
      </c>
      <c r="Q309" s="721" t="str">
        <f>VLOOKUP($A309,'2018_ModelLink'!$A$3:$S$332,17,FALSE)</f>
        <v>N/A - Indicator</v>
      </c>
      <c r="R309" s="723" t="s">
        <v>59</v>
      </c>
      <c r="S309" s="723" t="s">
        <v>59</v>
      </c>
      <c r="T309" s="66" t="s">
        <v>59</v>
      </c>
      <c r="U309" s="66" t="s">
        <v>59</v>
      </c>
      <c r="V309" s="66" t="s">
        <v>59</v>
      </c>
      <c r="W309" s="66" t="s">
        <v>59</v>
      </c>
      <c r="X309" s="66" t="s">
        <v>59</v>
      </c>
      <c r="Y309" s="429" t="s">
        <v>598</v>
      </c>
      <c r="Z309" s="429" t="s">
        <v>59</v>
      </c>
      <c r="AA309" s="542"/>
      <c r="AB309" s="21"/>
    </row>
    <row r="310" spans="1:28" ht="270">
      <c r="A310" s="31">
        <v>307</v>
      </c>
      <c r="B310" s="22" t="s">
        <v>39</v>
      </c>
      <c r="C310" s="22" t="s">
        <v>599</v>
      </c>
      <c r="D310" s="22" t="s">
        <v>600</v>
      </c>
      <c r="E310" s="23">
        <v>1</v>
      </c>
      <c r="F310" s="22" t="s">
        <v>523</v>
      </c>
      <c r="G310" s="22" t="s">
        <v>601</v>
      </c>
      <c r="H310" s="22" t="s">
        <v>30</v>
      </c>
      <c r="I310" s="22" t="s">
        <v>602</v>
      </c>
      <c r="J310" s="22" t="s">
        <v>603</v>
      </c>
      <c r="K310" s="22" t="s">
        <v>604</v>
      </c>
      <c r="L310" s="22" t="s">
        <v>59</v>
      </c>
      <c r="M310" s="335" t="str">
        <f ca="1">VLOOKUP(A310,'2020_ModelLink'!$A$3:$S$332,18,FALSE)</f>
        <v>N/A</v>
      </c>
      <c r="N310" s="335" t="str">
        <f ca="1">VLOOKUP(A310,'2020_ModelLink'!$A$3:$S$332,19,FALSE)</f>
        <v>N/A</v>
      </c>
      <c r="O310" s="721" t="str">
        <f>VLOOKUP($A310,'2016_ModelLink'!$A$3:$S$332,17,FALSE)</f>
        <v>ETP-Future</v>
      </c>
      <c r="P310" s="721" t="str">
        <f>VLOOKUP($A310,'2017_ModelLink'!$A$3:$S$332,17,FALSE)</f>
        <v>ETP-Future</v>
      </c>
      <c r="Q310" s="721" t="str">
        <f>VLOOKUP($A310,'2018_ModelLink'!$A$3:$S$332,17,FALSE)</f>
        <v>ETP-Future</v>
      </c>
      <c r="R310" s="724" t="s">
        <v>605</v>
      </c>
      <c r="S310" s="724" t="s">
        <v>605</v>
      </c>
      <c r="T310" s="66">
        <v>0</v>
      </c>
      <c r="U310" s="66">
        <v>0</v>
      </c>
      <c r="V310" s="66">
        <v>6</v>
      </c>
      <c r="W310" s="66" t="s">
        <v>606</v>
      </c>
      <c r="X310" s="66" t="s">
        <v>607</v>
      </c>
      <c r="Y310" s="429" t="s">
        <v>608</v>
      </c>
      <c r="Z310" s="429" t="s">
        <v>609</v>
      </c>
      <c r="AA310" s="542"/>
      <c r="AB310" s="21"/>
    </row>
    <row r="311" spans="1:28" ht="180">
      <c r="A311" s="31">
        <v>308</v>
      </c>
      <c r="B311" s="22" t="s">
        <v>39</v>
      </c>
      <c r="C311" s="22" t="s">
        <v>599</v>
      </c>
      <c r="D311" s="22" t="s">
        <v>610</v>
      </c>
      <c r="E311" s="23">
        <v>1</v>
      </c>
      <c r="F311" s="22" t="s">
        <v>611</v>
      </c>
      <c r="G311" s="22" t="s">
        <v>601</v>
      </c>
      <c r="H311" s="22" t="s">
        <v>30</v>
      </c>
      <c r="I311" s="22" t="s">
        <v>612</v>
      </c>
      <c r="J311" s="22" t="s">
        <v>613</v>
      </c>
      <c r="K311" s="22" t="s">
        <v>604</v>
      </c>
      <c r="L311" s="22" t="s">
        <v>59</v>
      </c>
      <c r="M311" s="335" t="str">
        <f ca="1">VLOOKUP(A311,'2020_ModelLink'!$A$3:$S$332,18,FALSE)</f>
        <v>N/A</v>
      </c>
      <c r="N311" s="335" t="str">
        <f ca="1">VLOOKUP(A311,'2020_ModelLink'!$A$3:$S$332,19,FALSE)</f>
        <v>N/A</v>
      </c>
      <c r="O311" s="721" t="str">
        <f>VLOOKUP($A311,'2016_ModelLink'!$A$3:$S$332,17,FALSE)</f>
        <v>ETP-Future</v>
      </c>
      <c r="P311" s="721" t="str">
        <f>VLOOKUP($A311,'2017_ModelLink'!$A$3:$S$332,17,FALSE)</f>
        <v>ETP-Future</v>
      </c>
      <c r="Q311" s="723" t="s">
        <v>605</v>
      </c>
      <c r="R311" s="723" t="s">
        <v>605</v>
      </c>
      <c r="S311" s="723" t="s">
        <v>605</v>
      </c>
      <c r="T311" s="66">
        <v>0</v>
      </c>
      <c r="U311" s="66">
        <v>0</v>
      </c>
      <c r="V311" s="66">
        <v>3</v>
      </c>
      <c r="W311" s="66" t="s">
        <v>606</v>
      </c>
      <c r="X311" s="66" t="s">
        <v>607</v>
      </c>
      <c r="Y311" s="429" t="s">
        <v>608</v>
      </c>
      <c r="Z311" s="429" t="s">
        <v>614</v>
      </c>
      <c r="AA311" s="542"/>
      <c r="AB311" s="21"/>
    </row>
    <row r="312" spans="1:28" ht="285">
      <c r="A312" s="31">
        <v>309</v>
      </c>
      <c r="B312" s="22" t="s">
        <v>39</v>
      </c>
      <c r="C312" s="22" t="s">
        <v>599</v>
      </c>
      <c r="D312" s="22" t="s">
        <v>615</v>
      </c>
      <c r="E312" s="23">
        <v>1</v>
      </c>
      <c r="F312" s="22" t="s">
        <v>616</v>
      </c>
      <c r="G312" s="22" t="s">
        <v>617</v>
      </c>
      <c r="H312" s="22" t="s">
        <v>30</v>
      </c>
      <c r="I312" s="22" t="s">
        <v>618</v>
      </c>
      <c r="J312" s="22" t="s">
        <v>619</v>
      </c>
      <c r="K312" s="22" t="s">
        <v>604</v>
      </c>
      <c r="L312" s="22" t="s">
        <v>620</v>
      </c>
      <c r="M312" s="335" t="str">
        <f ca="1">VLOOKUP(A312,'2020_ModelLink'!$A$3:$S$332,18,FALSE)</f>
        <v>N/A</v>
      </c>
      <c r="N312" s="335" t="str">
        <f ca="1">VLOOKUP(A312,'2020_ModelLink'!$A$3:$S$332,19,FALSE)</f>
        <v>N/A</v>
      </c>
      <c r="O312" s="721" t="str">
        <f>VLOOKUP($A312,'2016_ModelLink'!$A$3:$S$332,17,FALSE)</f>
        <v>ETP-Future</v>
      </c>
      <c r="P312" s="721" t="str">
        <f>VLOOKUP($A312,'2017_ModelLink'!$A$3:$S$332,17,FALSE)</f>
        <v>ETP-Future</v>
      </c>
      <c r="Q312" s="721" t="str">
        <f>VLOOKUP($A312,'2018_ModelLink'!$A$3:$S$332,17,FALSE)</f>
        <v>ETP-Future</v>
      </c>
      <c r="R312" s="723">
        <v>47</v>
      </c>
      <c r="S312" s="723">
        <v>47</v>
      </c>
      <c r="T312" s="66">
        <v>0</v>
      </c>
      <c r="U312" s="66">
        <v>0</v>
      </c>
      <c r="V312" s="66">
        <v>61</v>
      </c>
      <c r="W312" s="66" t="s">
        <v>621</v>
      </c>
      <c r="X312" s="66" t="s">
        <v>621</v>
      </c>
      <c r="Y312" s="429" t="s">
        <v>608</v>
      </c>
      <c r="Z312" s="429" t="s">
        <v>622</v>
      </c>
      <c r="AA312" s="542"/>
      <c r="AB312" s="21"/>
    </row>
    <row r="313" spans="1:28" ht="409.5">
      <c r="A313" s="31">
        <v>310</v>
      </c>
      <c r="B313" s="22" t="s">
        <v>39</v>
      </c>
      <c r="C313" s="22" t="s">
        <v>599</v>
      </c>
      <c r="D313" s="22" t="s">
        <v>623</v>
      </c>
      <c r="E313" s="23">
        <v>1</v>
      </c>
      <c r="F313" s="22" t="s">
        <v>624</v>
      </c>
      <c r="G313" s="22" t="s">
        <v>625</v>
      </c>
      <c r="H313" s="22" t="s">
        <v>30</v>
      </c>
      <c r="I313" s="22" t="s">
        <v>626</v>
      </c>
      <c r="J313" s="22" t="s">
        <v>627</v>
      </c>
      <c r="K313" s="22" t="s">
        <v>604</v>
      </c>
      <c r="L313" s="22">
        <v>2017</v>
      </c>
      <c r="M313" s="335" t="str">
        <f ca="1">VLOOKUP(A313,'2020_ModelLink'!$A$3:$S$332,18,FALSE)</f>
        <v>N/A</v>
      </c>
      <c r="N313" s="335" t="str">
        <f ca="1">VLOOKUP(A313,'2020_ModelLink'!$A$3:$S$332,19,FALSE)</f>
        <v>N/A</v>
      </c>
      <c r="O313" s="721" t="str">
        <f>VLOOKUP($A313,'2016_ModelLink'!$A$3:$S$332,17,FALSE)</f>
        <v>ETP-Future</v>
      </c>
      <c r="P313" s="721" t="str">
        <f>VLOOKUP($A313,'2017_ModelLink'!$A$3:$S$332,17,FALSE)</f>
        <v>ETP-Future</v>
      </c>
      <c r="Q313" s="721" t="str">
        <f>VLOOKUP($A313,'2018_ModelLink'!$A$3:$S$332,17,FALSE)</f>
        <v>ETP-Future</v>
      </c>
      <c r="R313" s="723">
        <v>6</v>
      </c>
      <c r="S313" s="723">
        <v>6</v>
      </c>
      <c r="T313" s="66">
        <v>0</v>
      </c>
      <c r="U313" s="66">
        <v>2</v>
      </c>
      <c r="V313" s="66">
        <v>3</v>
      </c>
      <c r="W313" s="66" t="s">
        <v>628</v>
      </c>
      <c r="X313" s="66" t="s">
        <v>628</v>
      </c>
      <c r="Y313" s="429" t="s">
        <v>629</v>
      </c>
      <c r="Z313" s="429" t="s">
        <v>630</v>
      </c>
      <c r="AA313" s="542"/>
      <c r="AB313" s="21"/>
    </row>
    <row r="314" spans="1:28" ht="409.5">
      <c r="A314" s="31">
        <v>311</v>
      </c>
      <c r="B314" s="22" t="s">
        <v>39</v>
      </c>
      <c r="C314" s="22" t="s">
        <v>599</v>
      </c>
      <c r="D314" s="22" t="s">
        <v>631</v>
      </c>
      <c r="E314" s="23">
        <v>1</v>
      </c>
      <c r="F314" s="22" t="s">
        <v>624</v>
      </c>
      <c r="G314" s="22" t="s">
        <v>625</v>
      </c>
      <c r="H314" s="22" t="s">
        <v>30</v>
      </c>
      <c r="I314" s="22" t="s">
        <v>632</v>
      </c>
      <c r="J314" s="22" t="s">
        <v>633</v>
      </c>
      <c r="K314" s="22" t="s">
        <v>604</v>
      </c>
      <c r="L314" s="22" t="s">
        <v>634</v>
      </c>
      <c r="M314" s="335" t="str">
        <f ca="1">VLOOKUP(A314,'2020_ModelLink'!$A$3:$S$332,18,FALSE)</f>
        <v>N/A</v>
      </c>
      <c r="N314" s="335" t="str">
        <f ca="1">VLOOKUP(A314,'2020_ModelLink'!$A$3:$S$332,19,FALSE)</f>
        <v>N/A</v>
      </c>
      <c r="O314" s="721" t="str">
        <f>VLOOKUP($A314,'2016_ModelLink'!$A$3:$S$332,17,FALSE)</f>
        <v>ETP-Future</v>
      </c>
      <c r="P314" s="721" t="str">
        <f>VLOOKUP($A314,'2017_ModelLink'!$A$3:$S$332,17,FALSE)</f>
        <v>ETP-Future</v>
      </c>
      <c r="Q314" s="721" t="str">
        <f>VLOOKUP($A314,'2018_ModelLink'!$A$3:$S$332,17,FALSE)</f>
        <v>ETP-Future</v>
      </c>
      <c r="R314" s="723" t="s">
        <v>634</v>
      </c>
      <c r="S314" s="723" t="s">
        <v>634</v>
      </c>
      <c r="T314" s="66" t="s">
        <v>634</v>
      </c>
      <c r="U314" s="66" t="s">
        <v>634</v>
      </c>
      <c r="V314" s="66" t="s">
        <v>634</v>
      </c>
      <c r="W314" s="66" t="s">
        <v>634</v>
      </c>
      <c r="X314" s="66" t="s">
        <v>634</v>
      </c>
      <c r="Y314" s="429" t="s">
        <v>635</v>
      </c>
      <c r="Z314" s="429" t="s">
        <v>636</v>
      </c>
      <c r="AA314" s="542"/>
      <c r="AB314" s="21"/>
    </row>
    <row r="315" spans="1:28" ht="300">
      <c r="A315" s="31">
        <v>312</v>
      </c>
      <c r="B315" s="22" t="s">
        <v>39</v>
      </c>
      <c r="C315" s="22" t="s">
        <v>637</v>
      </c>
      <c r="D315" s="22" t="s">
        <v>638</v>
      </c>
      <c r="E315" s="23">
        <v>1</v>
      </c>
      <c r="F315" s="22" t="s">
        <v>639</v>
      </c>
      <c r="G315" s="22" t="s">
        <v>640</v>
      </c>
      <c r="H315" s="22" t="s">
        <v>30</v>
      </c>
      <c r="I315" s="22" t="s">
        <v>641</v>
      </c>
      <c r="J315" s="22" t="s">
        <v>642</v>
      </c>
      <c r="K315" s="22" t="s">
        <v>604</v>
      </c>
      <c r="L315" s="22" t="s">
        <v>59</v>
      </c>
      <c r="M315" s="335" t="str">
        <f ca="1">VLOOKUP(A315,'2020_ModelLink'!$A$3:$S$332,18,FALSE)</f>
        <v>N/A</v>
      </c>
      <c r="N315" s="335" t="str">
        <f ca="1">VLOOKUP(A315,'2020_ModelLink'!$A$3:$S$332,19,FALSE)</f>
        <v>N/A</v>
      </c>
      <c r="O315" s="721" t="str">
        <f>VLOOKUP($A315,'2016_ModelLink'!$A$3:$S$332,17,FALSE)</f>
        <v>ETP-Future</v>
      </c>
      <c r="P315" s="721" t="str">
        <f>VLOOKUP($A315,'2017_ModelLink'!$A$3:$S$332,17,FALSE)</f>
        <v>ETP-Future</v>
      </c>
      <c r="Q315" s="721" t="str">
        <f>VLOOKUP($A315,'2018_ModelLink'!$A$3:$S$332,17,FALSE)</f>
        <v>ETP-Future</v>
      </c>
      <c r="R315" s="723" t="s">
        <v>643</v>
      </c>
      <c r="S315" s="723" t="s">
        <v>643</v>
      </c>
      <c r="T315" s="66">
        <v>0</v>
      </c>
      <c r="U315" s="66">
        <v>0</v>
      </c>
      <c r="V315" s="66">
        <v>2</v>
      </c>
      <c r="W315" s="66" t="s">
        <v>644</v>
      </c>
      <c r="X315" s="66" t="s">
        <v>644</v>
      </c>
      <c r="Y315" s="429" t="s">
        <v>645</v>
      </c>
      <c r="Z315" s="429" t="s">
        <v>646</v>
      </c>
      <c r="AA315" s="542"/>
      <c r="AB315" s="21"/>
    </row>
    <row r="316" spans="1:28" ht="409.5">
      <c r="A316" s="31">
        <v>313</v>
      </c>
      <c r="B316" s="22" t="s">
        <v>39</v>
      </c>
      <c r="C316" s="22" t="s">
        <v>637</v>
      </c>
      <c r="D316" s="22" t="s">
        <v>647</v>
      </c>
      <c r="E316" s="23">
        <v>1</v>
      </c>
      <c r="F316" s="22" t="s">
        <v>639</v>
      </c>
      <c r="G316" s="22" t="s">
        <v>640</v>
      </c>
      <c r="H316" s="22" t="s">
        <v>30</v>
      </c>
      <c r="I316" s="22" t="s">
        <v>648</v>
      </c>
      <c r="J316" s="22" t="s">
        <v>649</v>
      </c>
      <c r="K316" s="22" t="s">
        <v>604</v>
      </c>
      <c r="L316" s="22" t="s">
        <v>59</v>
      </c>
      <c r="M316" s="335" t="str">
        <f ca="1">VLOOKUP(A316,'2020_ModelLink'!$A$3:$S$332,18,FALSE)</f>
        <v>N/A</v>
      </c>
      <c r="N316" s="335" t="str">
        <f ca="1">VLOOKUP(A316,'2020_ModelLink'!$A$3:$S$332,19,FALSE)</f>
        <v>N/A</v>
      </c>
      <c r="O316" s="721" t="str">
        <f>VLOOKUP($A316,'2016_ModelLink'!$A$3:$S$332,17,FALSE)</f>
        <v>ETP-Future</v>
      </c>
      <c r="P316" s="721" t="str">
        <f>VLOOKUP($A316,'2017_ModelLink'!$A$3:$S$332,17,FALSE)</f>
        <v>ETP-Future</v>
      </c>
      <c r="Q316" s="721" t="str">
        <f>VLOOKUP($A316,'2018_ModelLink'!$A$3:$S$332,17,FALSE)</f>
        <v>ETP-Future</v>
      </c>
      <c r="R316" s="723" t="s">
        <v>643</v>
      </c>
      <c r="S316" s="723" t="s">
        <v>643</v>
      </c>
      <c r="T316" s="66">
        <v>0</v>
      </c>
      <c r="U316" s="66">
        <v>0</v>
      </c>
      <c r="V316" s="66">
        <v>3</v>
      </c>
      <c r="W316" s="66" t="s">
        <v>644</v>
      </c>
      <c r="X316" s="66" t="s">
        <v>644</v>
      </c>
      <c r="Y316" s="429" t="s">
        <v>608</v>
      </c>
      <c r="Z316" s="429" t="s">
        <v>650</v>
      </c>
      <c r="AA316" s="542"/>
      <c r="AB316" s="21"/>
    </row>
    <row r="317" spans="1:28" ht="409.5">
      <c r="A317" s="31">
        <v>314</v>
      </c>
      <c r="B317" s="22" t="s">
        <v>39</v>
      </c>
      <c r="C317" s="22" t="s">
        <v>651</v>
      </c>
      <c r="D317" s="22" t="s">
        <v>652</v>
      </c>
      <c r="E317" s="23">
        <v>1</v>
      </c>
      <c r="F317" s="22" t="s">
        <v>653</v>
      </c>
      <c r="G317" s="22" t="s">
        <v>654</v>
      </c>
      <c r="H317" s="22" t="s">
        <v>30</v>
      </c>
      <c r="I317" s="22" t="s">
        <v>655</v>
      </c>
      <c r="J317" s="22" t="s">
        <v>656</v>
      </c>
      <c r="K317" s="22" t="s">
        <v>604</v>
      </c>
      <c r="L317" s="22" t="s">
        <v>59</v>
      </c>
      <c r="M317" s="335" t="str">
        <f ca="1">VLOOKUP(A317,'2020_ModelLink'!$A$3:$S$332,18,FALSE)</f>
        <v>N/A</v>
      </c>
      <c r="N317" s="335" t="str">
        <f ca="1">VLOOKUP(A317,'2020_ModelLink'!$A$3:$S$332,19,FALSE)</f>
        <v>N/A</v>
      </c>
      <c r="O317" s="722" t="str">
        <f>VLOOKUP($A317,'2016_ModelLink'!$A$3:$S$332,17,FALSE)</f>
        <v>Per ED, to be determined by an ED study*</v>
      </c>
      <c r="P317" s="722" t="str">
        <f>VLOOKUP($A317,'2017_ModelLink'!$A$3:$S$332,17,FALSE)</f>
        <v>Per ED, to be determined by an ED study*</v>
      </c>
      <c r="Q317" s="722" t="str">
        <f>VLOOKUP($A317,'2018_ModelLink'!$A$3:$S$332,17,FALSE)</f>
        <v>Per ED, to be determined by an ED study*</v>
      </c>
      <c r="R317" s="725" t="s">
        <v>657</v>
      </c>
      <c r="S317" s="725" t="s">
        <v>657</v>
      </c>
      <c r="T317" s="716" t="s">
        <v>657</v>
      </c>
      <c r="U317" s="716" t="s">
        <v>657</v>
      </c>
      <c r="V317" s="716" t="s">
        <v>657</v>
      </c>
      <c r="W317" s="716" t="s">
        <v>657</v>
      </c>
      <c r="X317" s="716" t="s">
        <v>657</v>
      </c>
      <c r="Y317" s="429" t="s">
        <v>658</v>
      </c>
      <c r="Z317" s="429" t="s">
        <v>659</v>
      </c>
      <c r="AA317" s="542"/>
      <c r="AB317" s="21"/>
    </row>
    <row r="318" spans="1:28" ht="409.5">
      <c r="A318" s="31">
        <v>315</v>
      </c>
      <c r="B318" s="22" t="s">
        <v>39</v>
      </c>
      <c r="C318" s="22" t="s">
        <v>651</v>
      </c>
      <c r="D318" s="22" t="s">
        <v>660</v>
      </c>
      <c r="E318" s="23">
        <v>1</v>
      </c>
      <c r="F318" s="22" t="s">
        <v>661</v>
      </c>
      <c r="G318" s="22" t="s">
        <v>654</v>
      </c>
      <c r="H318" s="22" t="s">
        <v>30</v>
      </c>
      <c r="I318" s="22" t="s">
        <v>662</v>
      </c>
      <c r="J318" s="22" t="s">
        <v>663</v>
      </c>
      <c r="K318" s="22" t="s">
        <v>604</v>
      </c>
      <c r="L318" s="22" t="s">
        <v>59</v>
      </c>
      <c r="M318" s="335" t="str">
        <f ca="1">VLOOKUP(A318,'2020_ModelLink'!$A$3:$S$332,18,FALSE)</f>
        <v>N/A</v>
      </c>
      <c r="N318" s="335" t="str">
        <f ca="1">VLOOKUP(A318,'2020_ModelLink'!$A$3:$S$332,19,FALSE)</f>
        <v>N/A</v>
      </c>
      <c r="O318" s="721" t="str">
        <f>VLOOKUP($A318,'2016_ModelLink'!$A$3:$S$332,17,FALSE)</f>
        <v>Per ED, to be determined by an ED study*</v>
      </c>
      <c r="P318" s="721" t="str">
        <f>VLOOKUP($A318,'2017_ModelLink'!$A$3:$S$332,17,FALSE)</f>
        <v>Per ED, to be determined by an ED study*</v>
      </c>
      <c r="Q318" s="721" t="str">
        <f>VLOOKUP($A318,'2018_ModelLink'!$A$3:$S$332,17,FALSE)</f>
        <v>Per ED, to be determined by an ED study*</v>
      </c>
      <c r="R318" s="723" t="s">
        <v>657</v>
      </c>
      <c r="S318" s="723" t="s">
        <v>657</v>
      </c>
      <c r="T318" s="66" t="s">
        <v>657</v>
      </c>
      <c r="U318" s="66" t="s">
        <v>657</v>
      </c>
      <c r="V318" s="66" t="s">
        <v>657</v>
      </c>
      <c r="W318" s="66" t="s">
        <v>657</v>
      </c>
      <c r="X318" s="66" t="s">
        <v>657</v>
      </c>
      <c r="Y318" s="429" t="s">
        <v>664</v>
      </c>
      <c r="Z318" s="429" t="s">
        <v>659</v>
      </c>
      <c r="AA318" s="542"/>
      <c r="AB318" s="21"/>
    </row>
    <row r="319" spans="1:28" ht="409.5">
      <c r="A319" s="31">
        <v>316</v>
      </c>
      <c r="B319" s="22" t="s">
        <v>39</v>
      </c>
      <c r="C319" s="22" t="s">
        <v>651</v>
      </c>
      <c r="D319" s="22" t="s">
        <v>665</v>
      </c>
      <c r="E319" s="23">
        <v>1</v>
      </c>
      <c r="F319" s="22" t="s">
        <v>142</v>
      </c>
      <c r="G319" s="22" t="s">
        <v>654</v>
      </c>
      <c r="H319" s="22" t="s">
        <v>30</v>
      </c>
      <c r="I319" s="22" t="s">
        <v>666</v>
      </c>
      <c r="J319" s="22" t="s">
        <v>667</v>
      </c>
      <c r="K319" s="22" t="s">
        <v>604</v>
      </c>
      <c r="L319" s="22" t="s">
        <v>59</v>
      </c>
      <c r="M319" s="335" t="str">
        <f ca="1">VLOOKUP(A319,'2020_ModelLink'!$A$3:$S$332,18,FALSE)</f>
        <v>N/A</v>
      </c>
      <c r="N319" s="335" t="str">
        <f ca="1">VLOOKUP(A319,'2020_ModelLink'!$A$3:$S$332,19,FALSE)</f>
        <v>N/A</v>
      </c>
      <c r="O319" s="722" t="str">
        <f>VLOOKUP($A319,'2016_ModelLink'!$A$3:$S$332,17,FALSE)</f>
        <v>Per ED, to be determined by an ED study*</v>
      </c>
      <c r="P319" s="722" t="str">
        <f>VLOOKUP($A319,'2017_ModelLink'!$A$3:$S$332,17,FALSE)</f>
        <v>Per ED, to be determined by an ED study*</v>
      </c>
      <c r="Q319" s="722" t="str">
        <f>VLOOKUP($A319,'2018_ModelLink'!$A$3:$S$332,17,FALSE)</f>
        <v>Per ED, to be determined by an ED study*</v>
      </c>
      <c r="R319" s="725" t="s">
        <v>657</v>
      </c>
      <c r="S319" s="725" t="s">
        <v>657</v>
      </c>
      <c r="T319" s="716" t="s">
        <v>657</v>
      </c>
      <c r="U319" s="716" t="s">
        <v>657</v>
      </c>
      <c r="V319" s="716" t="s">
        <v>657</v>
      </c>
      <c r="W319" s="716" t="s">
        <v>657</v>
      </c>
      <c r="X319" s="716" t="s">
        <v>657</v>
      </c>
      <c r="Y319" s="429" t="s">
        <v>668</v>
      </c>
      <c r="Z319" s="429" t="s">
        <v>659</v>
      </c>
      <c r="AA319" s="542"/>
      <c r="AB319" s="21"/>
    </row>
    <row r="320" spans="1:28" ht="409.5">
      <c r="A320" s="31">
        <v>317</v>
      </c>
      <c r="B320" s="22" t="s">
        <v>39</v>
      </c>
      <c r="C320" s="22" t="s">
        <v>651</v>
      </c>
      <c r="D320" s="22" t="s">
        <v>669</v>
      </c>
      <c r="E320" s="23">
        <v>1</v>
      </c>
      <c r="F320" s="22" t="s">
        <v>523</v>
      </c>
      <c r="G320" s="22" t="s">
        <v>654</v>
      </c>
      <c r="H320" s="22" t="s">
        <v>30</v>
      </c>
      <c r="I320" s="22" t="s">
        <v>670</v>
      </c>
      <c r="J320" s="22" t="s">
        <v>671</v>
      </c>
      <c r="K320" s="22" t="s">
        <v>604</v>
      </c>
      <c r="L320" s="22" t="s">
        <v>59</v>
      </c>
      <c r="M320" s="335" t="str">
        <f ca="1">VLOOKUP(A320,'2020_ModelLink'!$A$3:$S$332,18,FALSE)</f>
        <v>N/A</v>
      </c>
      <c r="N320" s="335" t="str">
        <f ca="1">VLOOKUP(A320,'2020_ModelLink'!$A$3:$S$332,19,FALSE)</f>
        <v>N/A</v>
      </c>
      <c r="O320" s="721" t="str">
        <f>VLOOKUP($A320,'2016_ModelLink'!$A$3:$S$332,17,FALSE)</f>
        <v>Per ED, to be determined by an ED study*</v>
      </c>
      <c r="P320" s="721" t="str">
        <f>VLOOKUP($A320,'2017_ModelLink'!$A$3:$S$332,17,FALSE)</f>
        <v>Per ED, to be determined by an ED study*</v>
      </c>
      <c r="Q320" s="721" t="str">
        <f>VLOOKUP($A320,'2018_ModelLink'!$A$3:$S$332,17,FALSE)</f>
        <v>Per ED, to be determined by an ED study*</v>
      </c>
      <c r="R320" s="723" t="s">
        <v>657</v>
      </c>
      <c r="S320" s="723" t="s">
        <v>657</v>
      </c>
      <c r="T320" s="66" t="s">
        <v>657</v>
      </c>
      <c r="U320" s="66" t="s">
        <v>657</v>
      </c>
      <c r="V320" s="66" t="s">
        <v>657</v>
      </c>
      <c r="W320" s="66" t="s">
        <v>657</v>
      </c>
      <c r="X320" s="66" t="s">
        <v>657</v>
      </c>
      <c r="Y320" s="429" t="s">
        <v>672</v>
      </c>
      <c r="Z320" s="429" t="s">
        <v>673</v>
      </c>
      <c r="AA320" s="542"/>
      <c r="AB320" s="21"/>
    </row>
    <row r="321" spans="1:28" ht="409.5">
      <c r="A321" s="31">
        <v>318</v>
      </c>
      <c r="B321" s="22" t="s">
        <v>39</v>
      </c>
      <c r="C321" s="22" t="s">
        <v>651</v>
      </c>
      <c r="D321" s="22" t="s">
        <v>674</v>
      </c>
      <c r="E321" s="23">
        <v>1</v>
      </c>
      <c r="F321" s="22" t="s">
        <v>675</v>
      </c>
      <c r="G321" s="22" t="s">
        <v>676</v>
      </c>
      <c r="H321" s="22" t="s">
        <v>30</v>
      </c>
      <c r="I321" s="22" t="s">
        <v>677</v>
      </c>
      <c r="J321" s="22" t="s">
        <v>678</v>
      </c>
      <c r="K321" s="22" t="s">
        <v>604</v>
      </c>
      <c r="L321" s="22" t="s">
        <v>59</v>
      </c>
      <c r="M321" s="335" t="str">
        <f ca="1">VLOOKUP(A321,'2020_ModelLink'!$A$3:$S$332,18,FALSE)</f>
        <v>N/A</v>
      </c>
      <c r="N321" s="335" t="str">
        <f ca="1">VLOOKUP(A321,'2020_ModelLink'!$A$3:$S$332,19,FALSE)</f>
        <v>N/A</v>
      </c>
      <c r="O321" s="721" t="str">
        <f>VLOOKUP($A321,'2016_ModelLink'!$A$3:$S$332,17,FALSE)</f>
        <v>Per ED, to be determined by an ED study*</v>
      </c>
      <c r="P321" s="721" t="str">
        <f>VLOOKUP($A321,'2017_ModelLink'!$A$3:$S$332,17,FALSE)</f>
        <v>Per ED, to be determined by an ED study*</v>
      </c>
      <c r="Q321" s="721" t="str">
        <f>VLOOKUP($A321,'2018_ModelLink'!$A$3:$S$332,17,FALSE)</f>
        <v>Per ED, to be determined by an ED study*</v>
      </c>
      <c r="R321" s="723" t="s">
        <v>657</v>
      </c>
      <c r="S321" s="723" t="s">
        <v>657</v>
      </c>
      <c r="T321" s="66" t="s">
        <v>657</v>
      </c>
      <c r="U321" s="66" t="s">
        <v>657</v>
      </c>
      <c r="V321" s="66" t="s">
        <v>657</v>
      </c>
      <c r="W321" s="66" t="s">
        <v>657</v>
      </c>
      <c r="X321" s="66" t="s">
        <v>657</v>
      </c>
      <c r="Y321" s="429" t="s">
        <v>679</v>
      </c>
      <c r="Z321" s="429" t="s">
        <v>680</v>
      </c>
      <c r="AA321" s="542"/>
      <c r="AB321" s="21"/>
    </row>
    <row r="322" spans="1:28" ht="409.5">
      <c r="A322" s="31">
        <v>319</v>
      </c>
      <c r="B322" s="22" t="s">
        <v>39</v>
      </c>
      <c r="C322" s="22" t="s">
        <v>651</v>
      </c>
      <c r="D322" s="22" t="s">
        <v>681</v>
      </c>
      <c r="E322" s="23">
        <v>1</v>
      </c>
      <c r="F322" s="22" t="s">
        <v>682</v>
      </c>
      <c r="G322" s="22" t="s">
        <v>676</v>
      </c>
      <c r="H322" s="22" t="s">
        <v>30</v>
      </c>
      <c r="I322" s="22" t="s">
        <v>683</v>
      </c>
      <c r="J322" s="22" t="s">
        <v>684</v>
      </c>
      <c r="K322" s="22" t="s">
        <v>604</v>
      </c>
      <c r="L322" s="22" t="s">
        <v>59</v>
      </c>
      <c r="M322" s="335" t="str">
        <f ca="1">VLOOKUP(A322,'2020_ModelLink'!$A$3:$S$332,18,FALSE)</f>
        <v>N/A</v>
      </c>
      <c r="N322" s="335" t="str">
        <f ca="1">VLOOKUP(A322,'2020_ModelLink'!$A$3:$S$332,19,FALSE)</f>
        <v>N/A</v>
      </c>
      <c r="O322" s="721" t="str">
        <f>VLOOKUP($A322,'2016_ModelLink'!$A$3:$S$332,17,FALSE)</f>
        <v>Per ED, to be determined by an ED study*</v>
      </c>
      <c r="P322" s="721" t="str">
        <f>VLOOKUP($A322,'2017_ModelLink'!$A$3:$S$332,17,FALSE)</f>
        <v>Per ED, to be determined by an ED study*</v>
      </c>
      <c r="Q322" s="721" t="str">
        <f>VLOOKUP($A322,'2018_ModelLink'!$A$3:$S$332,17,FALSE)</f>
        <v>Per ED, to be determined by an ED study*</v>
      </c>
      <c r="R322" s="723" t="s">
        <v>657</v>
      </c>
      <c r="S322" s="723" t="s">
        <v>657</v>
      </c>
      <c r="T322" s="66" t="s">
        <v>657</v>
      </c>
      <c r="U322" s="66" t="s">
        <v>657</v>
      </c>
      <c r="V322" s="66" t="s">
        <v>657</v>
      </c>
      <c r="W322" s="66" t="s">
        <v>657</v>
      </c>
      <c r="X322" s="66" t="s">
        <v>657</v>
      </c>
      <c r="Y322" s="429" t="s">
        <v>679</v>
      </c>
      <c r="Z322" s="429" t="s">
        <v>680</v>
      </c>
      <c r="AA322" s="542"/>
      <c r="AB322" s="21"/>
    </row>
    <row r="323" spans="1:28" ht="409.5">
      <c r="A323" s="31">
        <v>320</v>
      </c>
      <c r="B323" s="22" t="s">
        <v>39</v>
      </c>
      <c r="C323" s="22" t="s">
        <v>651</v>
      </c>
      <c r="D323" s="22" t="s">
        <v>685</v>
      </c>
      <c r="E323" s="23">
        <v>1</v>
      </c>
      <c r="F323" s="22" t="s">
        <v>686</v>
      </c>
      <c r="G323" s="22" t="s">
        <v>676</v>
      </c>
      <c r="H323" s="22" t="s">
        <v>30</v>
      </c>
      <c r="I323" s="22" t="s">
        <v>687</v>
      </c>
      <c r="J323" s="22" t="s">
        <v>688</v>
      </c>
      <c r="K323" s="22" t="s">
        <v>604</v>
      </c>
      <c r="L323" s="22" t="s">
        <v>59</v>
      </c>
      <c r="M323" s="335" t="str">
        <f ca="1">VLOOKUP(A323,'2020_ModelLink'!$A$3:$S$332,18,FALSE)</f>
        <v>N/A</v>
      </c>
      <c r="N323" s="335" t="str">
        <f ca="1">VLOOKUP(A323,'2020_ModelLink'!$A$3:$S$332,19,FALSE)</f>
        <v>N/A</v>
      </c>
      <c r="O323" s="721" t="str">
        <f>VLOOKUP($A323,'2016_ModelLink'!$A$3:$S$332,17,FALSE)</f>
        <v>Per ED, to be determined by an ED study*</v>
      </c>
      <c r="P323" s="721" t="str">
        <f>VLOOKUP($A323,'2017_ModelLink'!$A$3:$S$332,17,FALSE)</f>
        <v>Per ED, to be determined by an ED study*</v>
      </c>
      <c r="Q323" s="721" t="str">
        <f>VLOOKUP($A323,'2018_ModelLink'!$A$3:$S$332,17,FALSE)</f>
        <v>Per ED, to be determined by an ED study*</v>
      </c>
      <c r="R323" s="723" t="s">
        <v>657</v>
      </c>
      <c r="S323" s="723" t="s">
        <v>657</v>
      </c>
      <c r="T323" s="66" t="s">
        <v>657</v>
      </c>
      <c r="U323" s="66" t="s">
        <v>657</v>
      </c>
      <c r="V323" s="66" t="s">
        <v>657</v>
      </c>
      <c r="W323" s="66" t="s">
        <v>657</v>
      </c>
      <c r="X323" s="66" t="s">
        <v>657</v>
      </c>
      <c r="Y323" s="429" t="s">
        <v>679</v>
      </c>
      <c r="Z323" s="429" t="s">
        <v>680</v>
      </c>
      <c r="AA323" s="542"/>
      <c r="AB323" s="21"/>
    </row>
    <row r="324" spans="1:28" ht="409.5">
      <c r="A324" s="31">
        <v>321</v>
      </c>
      <c r="B324" s="22" t="s">
        <v>39</v>
      </c>
      <c r="C324" s="22" t="s">
        <v>651</v>
      </c>
      <c r="D324" s="22" t="s">
        <v>689</v>
      </c>
      <c r="E324" s="23">
        <v>1</v>
      </c>
      <c r="F324" s="22" t="s">
        <v>690</v>
      </c>
      <c r="G324" s="22" t="s">
        <v>691</v>
      </c>
      <c r="H324" s="22" t="s">
        <v>30</v>
      </c>
      <c r="I324" s="22" t="s">
        <v>692</v>
      </c>
      <c r="J324" s="22" t="s">
        <v>693</v>
      </c>
      <c r="K324" s="22" t="s">
        <v>604</v>
      </c>
      <c r="L324" s="22" t="s">
        <v>59</v>
      </c>
      <c r="M324" s="335" t="str">
        <f ca="1">VLOOKUP(A324,'2020_ModelLink'!$A$3:$S$332,18,FALSE)</f>
        <v>N/A</v>
      </c>
      <c r="N324" s="335" t="str">
        <f ca="1">VLOOKUP(A324,'2020_ModelLink'!$A$3:$S$332,19,FALSE)</f>
        <v>N/A</v>
      </c>
      <c r="O324" s="721" t="str">
        <f>VLOOKUP($A324,'2016_ModelLink'!$A$3:$S$332,17,FALSE)</f>
        <v>Per ED, to be determined by an ED study*</v>
      </c>
      <c r="P324" s="721" t="str">
        <f>VLOOKUP($A324,'2017_ModelLink'!$A$3:$S$332,17,FALSE)</f>
        <v>Per ED, to be determined by an ED study*</v>
      </c>
      <c r="Q324" s="721" t="str">
        <f>VLOOKUP($A324,'2018_ModelLink'!$A$3:$S$332,17,FALSE)</f>
        <v>Per ED, to be determined by an ED study*</v>
      </c>
      <c r="R324" s="723" t="s">
        <v>605</v>
      </c>
      <c r="S324" s="723" t="s">
        <v>605</v>
      </c>
      <c r="T324" s="66">
        <v>0</v>
      </c>
      <c r="U324" s="66">
        <v>2</v>
      </c>
      <c r="V324" s="66">
        <v>2</v>
      </c>
      <c r="W324" s="66" t="s">
        <v>644</v>
      </c>
      <c r="X324" s="66" t="s">
        <v>644</v>
      </c>
      <c r="Y324" s="429" t="s">
        <v>694</v>
      </c>
      <c r="Z324" s="429" t="s">
        <v>695</v>
      </c>
      <c r="AA324" s="542"/>
      <c r="AB324" s="21"/>
    </row>
    <row r="325" spans="1:28" ht="409.5">
      <c r="A325" s="31">
        <v>322</v>
      </c>
      <c r="B325" s="22" t="s">
        <v>39</v>
      </c>
      <c r="C325" s="22" t="s">
        <v>651</v>
      </c>
      <c r="D325" s="22" t="s">
        <v>696</v>
      </c>
      <c r="E325" s="23">
        <v>1</v>
      </c>
      <c r="F325" s="22" t="s">
        <v>697</v>
      </c>
      <c r="G325" s="22" t="s">
        <v>691</v>
      </c>
      <c r="H325" s="22" t="s">
        <v>30</v>
      </c>
      <c r="I325" s="22" t="s">
        <v>698</v>
      </c>
      <c r="J325" s="22" t="s">
        <v>699</v>
      </c>
      <c r="K325" s="22" t="s">
        <v>604</v>
      </c>
      <c r="L325" s="22" t="s">
        <v>59</v>
      </c>
      <c r="M325" s="335" t="str">
        <f ca="1">VLOOKUP(A325,'2020_ModelLink'!$A$3:$S$332,18,FALSE)</f>
        <v>N/A</v>
      </c>
      <c r="N325" s="335" t="str">
        <f ca="1">VLOOKUP(A325,'2020_ModelLink'!$A$3:$S$332,19,FALSE)</f>
        <v>N/A</v>
      </c>
      <c r="O325" s="721" t="str">
        <f>VLOOKUP($A325,'2016_ModelLink'!$A$3:$S$332,17,FALSE)</f>
        <v>ETP-Future</v>
      </c>
      <c r="P325" s="721" t="str">
        <f>VLOOKUP($A325,'2017_ModelLink'!$A$3:$S$332,17,FALSE)</f>
        <v>ETP-Future</v>
      </c>
      <c r="Q325" s="721" t="str">
        <f>VLOOKUP($A325,'2018_ModelLink'!$A$3:$S$332,17,FALSE)</f>
        <v>ETP-Future</v>
      </c>
      <c r="R325" s="723" t="s">
        <v>605</v>
      </c>
      <c r="S325" s="723" t="s">
        <v>605</v>
      </c>
      <c r="T325" s="66">
        <v>0</v>
      </c>
      <c r="U325" s="66">
        <v>1</v>
      </c>
      <c r="V325" s="66">
        <v>1</v>
      </c>
      <c r="W325" s="66" t="s">
        <v>644</v>
      </c>
      <c r="X325" s="66" t="s">
        <v>644</v>
      </c>
      <c r="Y325" s="429" t="s">
        <v>694</v>
      </c>
      <c r="Z325" s="429" t="s">
        <v>695</v>
      </c>
      <c r="AA325" s="542"/>
      <c r="AB325" s="21"/>
    </row>
    <row r="326" spans="1:28" ht="409.5">
      <c r="A326" s="31">
        <v>323</v>
      </c>
      <c r="B326" s="22" t="s">
        <v>39</v>
      </c>
      <c r="C326" s="22" t="s">
        <v>651</v>
      </c>
      <c r="D326" s="22" t="s">
        <v>700</v>
      </c>
      <c r="E326" s="23">
        <v>1</v>
      </c>
      <c r="F326" s="22" t="s">
        <v>701</v>
      </c>
      <c r="G326" s="22" t="s">
        <v>691</v>
      </c>
      <c r="H326" s="22" t="s">
        <v>30</v>
      </c>
      <c r="I326" s="22" t="s">
        <v>702</v>
      </c>
      <c r="J326" s="22" t="s">
        <v>703</v>
      </c>
      <c r="K326" s="22" t="s">
        <v>604</v>
      </c>
      <c r="L326" s="22" t="s">
        <v>59</v>
      </c>
      <c r="M326" s="335" t="str">
        <f ca="1">VLOOKUP(A326,'2020_ModelLink'!$A$3:$S$332,18,FALSE)</f>
        <v>N/A</v>
      </c>
      <c r="N326" s="335" t="str">
        <f ca="1">VLOOKUP(A326,'2020_ModelLink'!$A$3:$S$332,19,FALSE)</f>
        <v>N/A</v>
      </c>
      <c r="O326" s="721" t="str">
        <f>VLOOKUP($A326,'2016_ModelLink'!$A$3:$S$332,17,FALSE)</f>
        <v>ETP-Future</v>
      </c>
      <c r="P326" s="721" t="str">
        <f>VLOOKUP($A326,'2017_ModelLink'!$A$3:$S$332,17,FALSE)</f>
        <v>ETP-Future</v>
      </c>
      <c r="Q326" s="721" t="str">
        <f>VLOOKUP($A326,'2018_ModelLink'!$A$3:$S$332,17,FALSE)</f>
        <v>ETP-Future</v>
      </c>
      <c r="R326" s="723" t="s">
        <v>605</v>
      </c>
      <c r="S326" s="723" t="s">
        <v>605</v>
      </c>
      <c r="T326" s="66">
        <v>0</v>
      </c>
      <c r="U326" s="66">
        <v>1</v>
      </c>
      <c r="V326" s="66">
        <v>1</v>
      </c>
      <c r="W326" s="66" t="s">
        <v>644</v>
      </c>
      <c r="X326" s="66" t="s">
        <v>644</v>
      </c>
      <c r="Y326" s="429" t="s">
        <v>694</v>
      </c>
      <c r="Z326" s="429" t="s">
        <v>695</v>
      </c>
      <c r="AA326" s="542"/>
      <c r="AB326" s="21"/>
    </row>
    <row r="327" spans="1:28" ht="409.5">
      <c r="A327" s="31">
        <v>324</v>
      </c>
      <c r="B327" s="22" t="s">
        <v>39</v>
      </c>
      <c r="C327" s="22" t="s">
        <v>651</v>
      </c>
      <c r="D327" s="22" t="s">
        <v>704</v>
      </c>
      <c r="E327" s="23">
        <v>1</v>
      </c>
      <c r="F327" s="22" t="s">
        <v>705</v>
      </c>
      <c r="G327" s="22" t="s">
        <v>691</v>
      </c>
      <c r="H327" s="22" t="s">
        <v>30</v>
      </c>
      <c r="I327" s="22" t="s">
        <v>706</v>
      </c>
      <c r="J327" s="22" t="s">
        <v>707</v>
      </c>
      <c r="K327" s="22" t="s">
        <v>604</v>
      </c>
      <c r="L327" s="22" t="s">
        <v>59</v>
      </c>
      <c r="M327" s="335" t="str">
        <f ca="1">VLOOKUP(A327,'2020_ModelLink'!$A$3:$S$332,18,FALSE)</f>
        <v>N/A</v>
      </c>
      <c r="N327" s="335" t="str">
        <f ca="1">VLOOKUP(A327,'2020_ModelLink'!$A$3:$S$332,19,FALSE)</f>
        <v>N/A</v>
      </c>
      <c r="O327" s="721" t="str">
        <f>VLOOKUP($A327,'2016_ModelLink'!$A$3:$S$332,17,FALSE)</f>
        <v>ETP-Future</v>
      </c>
      <c r="P327" s="721" t="str">
        <f>VLOOKUP($A327,'2017_ModelLink'!$A$3:$S$332,17,FALSE)</f>
        <v>ETP-Future</v>
      </c>
      <c r="Q327" s="721" t="str">
        <f>VLOOKUP($A327,'2018_ModelLink'!$A$3:$S$332,17,FALSE)</f>
        <v>ETP-Future</v>
      </c>
      <c r="R327" s="723" t="s">
        <v>605</v>
      </c>
      <c r="S327" s="723" t="s">
        <v>605</v>
      </c>
      <c r="T327" s="66">
        <v>0</v>
      </c>
      <c r="U327" s="66">
        <v>0</v>
      </c>
      <c r="V327" s="66">
        <v>1</v>
      </c>
      <c r="W327" s="66" t="s">
        <v>644</v>
      </c>
      <c r="X327" s="66" t="s">
        <v>644</v>
      </c>
      <c r="Y327" s="429" t="s">
        <v>694</v>
      </c>
      <c r="Z327" s="429" t="s">
        <v>708</v>
      </c>
      <c r="AA327" s="542"/>
      <c r="AB327" s="21"/>
    </row>
    <row r="328" spans="1:28" ht="409.5">
      <c r="A328" s="31">
        <v>325</v>
      </c>
      <c r="B328" s="22" t="s">
        <v>39</v>
      </c>
      <c r="C328" s="22" t="s">
        <v>651</v>
      </c>
      <c r="D328" s="22" t="s">
        <v>709</v>
      </c>
      <c r="E328" s="23">
        <v>1</v>
      </c>
      <c r="F328" s="22" t="s">
        <v>690</v>
      </c>
      <c r="G328" s="22" t="s">
        <v>691</v>
      </c>
      <c r="H328" s="22" t="s">
        <v>30</v>
      </c>
      <c r="I328" s="22" t="s">
        <v>710</v>
      </c>
      <c r="J328" s="22" t="s">
        <v>711</v>
      </c>
      <c r="K328" s="22" t="s">
        <v>604</v>
      </c>
      <c r="L328" s="22" t="s">
        <v>59</v>
      </c>
      <c r="M328" s="335" t="str">
        <f ca="1">VLOOKUP(A328,'2020_ModelLink'!$A$3:$S$332,18,FALSE)</f>
        <v>N/A</v>
      </c>
      <c r="N328" s="335" t="str">
        <f ca="1">VLOOKUP(A328,'2020_ModelLink'!$A$3:$S$332,19,FALSE)</f>
        <v>N/A</v>
      </c>
      <c r="O328" s="721" t="str">
        <f>VLOOKUP($A328,'2016_ModelLink'!$A$3:$S$332,17,FALSE)</f>
        <v>ETP-Future</v>
      </c>
      <c r="P328" s="721" t="str">
        <f>VLOOKUP($A328,'2017_ModelLink'!$A$3:$S$332,17,FALSE)</f>
        <v>ETP-Future</v>
      </c>
      <c r="Q328" s="721" t="str">
        <f>VLOOKUP($A328,'2018_ModelLink'!$A$3:$S$332,17,FALSE)</f>
        <v>ETP-Future</v>
      </c>
      <c r="R328" s="723" t="s">
        <v>605</v>
      </c>
      <c r="S328" s="723" t="s">
        <v>605</v>
      </c>
      <c r="T328" s="66">
        <v>0</v>
      </c>
      <c r="U328" s="66">
        <v>3</v>
      </c>
      <c r="V328" s="66">
        <v>3</v>
      </c>
      <c r="W328" s="66" t="s">
        <v>644</v>
      </c>
      <c r="X328" s="66" t="s">
        <v>644</v>
      </c>
      <c r="Y328" s="429" t="s">
        <v>712</v>
      </c>
      <c r="Z328" s="429" t="s">
        <v>695</v>
      </c>
      <c r="AA328" s="542"/>
      <c r="AB328" s="21"/>
    </row>
    <row r="329" spans="1:28" ht="409.5">
      <c r="A329" s="31">
        <v>326</v>
      </c>
      <c r="B329" s="22" t="s">
        <v>39</v>
      </c>
      <c r="C329" s="22" t="s">
        <v>651</v>
      </c>
      <c r="D329" s="22" t="s">
        <v>713</v>
      </c>
      <c r="E329" s="23">
        <v>1</v>
      </c>
      <c r="F329" s="22" t="s">
        <v>697</v>
      </c>
      <c r="G329" s="22" t="s">
        <v>691</v>
      </c>
      <c r="H329" s="22" t="s">
        <v>30</v>
      </c>
      <c r="I329" s="22" t="s">
        <v>714</v>
      </c>
      <c r="J329" s="22" t="s">
        <v>715</v>
      </c>
      <c r="K329" s="22" t="s">
        <v>604</v>
      </c>
      <c r="L329" s="22" t="s">
        <v>59</v>
      </c>
      <c r="M329" s="335" t="str">
        <f ca="1">VLOOKUP(A329,'2020_ModelLink'!$A$3:$S$332,18,FALSE)</f>
        <v>N/A</v>
      </c>
      <c r="N329" s="335" t="str">
        <f ca="1">VLOOKUP(A329,'2020_ModelLink'!$A$3:$S$332,19,FALSE)</f>
        <v>N/A</v>
      </c>
      <c r="O329" s="721" t="str">
        <f>VLOOKUP($A329,'2016_ModelLink'!$A$3:$S$332,17,FALSE)</f>
        <v>ETP-Future</v>
      </c>
      <c r="P329" s="721" t="str">
        <f>VLOOKUP($A329,'2017_ModelLink'!$A$3:$S$332,17,FALSE)</f>
        <v>ETP-Future</v>
      </c>
      <c r="Q329" s="721" t="str">
        <f>VLOOKUP($A329,'2018_ModelLink'!$A$3:$S$332,17,FALSE)</f>
        <v>ETP-Future</v>
      </c>
      <c r="R329" s="723" t="s">
        <v>605</v>
      </c>
      <c r="S329" s="723" t="s">
        <v>605</v>
      </c>
      <c r="T329" s="66">
        <v>0</v>
      </c>
      <c r="U329" s="66">
        <v>1</v>
      </c>
      <c r="V329" s="66">
        <v>1</v>
      </c>
      <c r="W329" s="66" t="s">
        <v>644</v>
      </c>
      <c r="X329" s="66" t="s">
        <v>644</v>
      </c>
      <c r="Y329" s="429" t="s">
        <v>712</v>
      </c>
      <c r="Z329" s="429" t="s">
        <v>695</v>
      </c>
      <c r="AA329" s="542"/>
      <c r="AB329" s="21"/>
    </row>
    <row r="330" spans="1:28" ht="409.5">
      <c r="A330" s="31">
        <v>327</v>
      </c>
      <c r="B330" s="22" t="s">
        <v>39</v>
      </c>
      <c r="C330" s="22" t="s">
        <v>651</v>
      </c>
      <c r="D330" s="22" t="s">
        <v>716</v>
      </c>
      <c r="E330" s="23">
        <v>1</v>
      </c>
      <c r="F330" s="22" t="s">
        <v>701</v>
      </c>
      <c r="G330" s="22" t="s">
        <v>691</v>
      </c>
      <c r="H330" s="22" t="s">
        <v>30</v>
      </c>
      <c r="I330" s="22" t="s">
        <v>717</v>
      </c>
      <c r="J330" s="22" t="s">
        <v>718</v>
      </c>
      <c r="K330" s="22" t="s">
        <v>604</v>
      </c>
      <c r="L330" s="22" t="s">
        <v>59</v>
      </c>
      <c r="M330" s="335" t="str">
        <f ca="1">VLOOKUP(A330,'2020_ModelLink'!$A$3:$S$332,18,FALSE)</f>
        <v>N/A</v>
      </c>
      <c r="N330" s="335" t="str">
        <f ca="1">VLOOKUP(A330,'2020_ModelLink'!$A$3:$S$332,19,FALSE)</f>
        <v>N/A</v>
      </c>
      <c r="O330" s="721" t="str">
        <f>VLOOKUP($A330,'2016_ModelLink'!$A$3:$S$332,17,FALSE)</f>
        <v>ETP-Future</v>
      </c>
      <c r="P330" s="721" t="str">
        <f>VLOOKUP($A330,'2017_ModelLink'!$A$3:$S$332,17,FALSE)</f>
        <v>ETP-Future</v>
      </c>
      <c r="Q330" s="721" t="str">
        <f>VLOOKUP($A330,'2018_ModelLink'!$A$3:$S$332,17,FALSE)</f>
        <v>ETP-Future</v>
      </c>
      <c r="R330" s="723" t="s">
        <v>605</v>
      </c>
      <c r="S330" s="723" t="s">
        <v>605</v>
      </c>
      <c r="T330" s="66">
        <v>0</v>
      </c>
      <c r="U330" s="66">
        <v>1</v>
      </c>
      <c r="V330" s="66">
        <v>1</v>
      </c>
      <c r="W330" s="66" t="s">
        <v>644</v>
      </c>
      <c r="X330" s="66" t="s">
        <v>644</v>
      </c>
      <c r="Y330" s="429" t="s">
        <v>712</v>
      </c>
      <c r="Z330" s="429" t="s">
        <v>695</v>
      </c>
      <c r="AA330" s="542"/>
      <c r="AB330" s="21"/>
    </row>
    <row r="331" spans="1:28" ht="409.5">
      <c r="A331" s="31">
        <v>328</v>
      </c>
      <c r="B331" s="22" t="s">
        <v>39</v>
      </c>
      <c r="C331" s="22" t="s">
        <v>651</v>
      </c>
      <c r="D331" s="22" t="s">
        <v>719</v>
      </c>
      <c r="E331" s="23">
        <v>1</v>
      </c>
      <c r="F331" s="22" t="s">
        <v>705</v>
      </c>
      <c r="G331" s="22" t="s">
        <v>691</v>
      </c>
      <c r="H331" s="22" t="s">
        <v>30</v>
      </c>
      <c r="I331" s="22" t="s">
        <v>720</v>
      </c>
      <c r="J331" s="22" t="s">
        <v>721</v>
      </c>
      <c r="K331" s="22" t="s">
        <v>604</v>
      </c>
      <c r="L331" s="22" t="s">
        <v>59</v>
      </c>
      <c r="M331" s="335" t="str">
        <f ca="1">VLOOKUP(A331,'2020_ModelLink'!$A$3:$S$332,18,FALSE)</f>
        <v>N/A</v>
      </c>
      <c r="N331" s="335" t="str">
        <f ca="1">VLOOKUP(A331,'2020_ModelLink'!$A$3:$S$332,19,FALSE)</f>
        <v>N/A</v>
      </c>
      <c r="O331" s="721" t="str">
        <f>VLOOKUP($A331,'2016_ModelLink'!$A$3:$S$332,17,FALSE)</f>
        <v>ETP-Future</v>
      </c>
      <c r="P331" s="721" t="str">
        <f>VLOOKUP($A331,'2017_ModelLink'!$A$3:$S$332,17,FALSE)</f>
        <v>ETP-Future</v>
      </c>
      <c r="Q331" s="721" t="str">
        <f>VLOOKUP($A331,'2018_ModelLink'!$A$3:$S$332,17,FALSE)</f>
        <v>ETP-Future</v>
      </c>
      <c r="R331" s="723" t="s">
        <v>605</v>
      </c>
      <c r="S331" s="723" t="s">
        <v>605</v>
      </c>
      <c r="T331" s="66">
        <v>0</v>
      </c>
      <c r="U331" s="66">
        <v>0</v>
      </c>
      <c r="V331" s="66">
        <v>1</v>
      </c>
      <c r="W331" s="66" t="s">
        <v>644</v>
      </c>
      <c r="X331" s="66" t="s">
        <v>644</v>
      </c>
      <c r="Y331" s="429" t="s">
        <v>712</v>
      </c>
      <c r="Z331" s="429" t="s">
        <v>695</v>
      </c>
      <c r="AA331" s="542"/>
      <c r="AB331" s="21"/>
    </row>
    <row r="332" spans="1:28" ht="409.5">
      <c r="A332" s="32">
        <v>329</v>
      </c>
      <c r="B332" s="25" t="s">
        <v>39</v>
      </c>
      <c r="C332" s="25" t="s">
        <v>722</v>
      </c>
      <c r="D332" s="25" t="s">
        <v>723</v>
      </c>
      <c r="E332" s="26">
        <v>1</v>
      </c>
      <c r="F332" s="25" t="s">
        <v>724</v>
      </c>
      <c r="G332" s="25" t="s">
        <v>725</v>
      </c>
      <c r="H332" s="25" t="s">
        <v>30</v>
      </c>
      <c r="I332" s="25" t="s">
        <v>726</v>
      </c>
      <c r="J332" s="25" t="s">
        <v>727</v>
      </c>
      <c r="K332" s="25" t="s">
        <v>604</v>
      </c>
      <c r="L332" s="25" t="s">
        <v>59</v>
      </c>
      <c r="M332" s="335" t="str">
        <f ca="1">VLOOKUP(A332,'2020_ModelLink'!$A$3:$S$332,18,FALSE)</f>
        <v>N/A</v>
      </c>
      <c r="N332" s="335" t="str">
        <f ca="1">VLOOKUP(A332,'2020_ModelLink'!$A$3:$S$332,19,FALSE)</f>
        <v>N/A</v>
      </c>
      <c r="O332" s="726" t="str">
        <f>VLOOKUP($A332,'2016_ModelLink'!$A$3:$S$332,17,FALSE)</f>
        <v>ETP-Future</v>
      </c>
      <c r="P332" s="726" t="str">
        <f>VLOOKUP($A332,'2017_ModelLink'!$A$3:$S$332,17,FALSE)</f>
        <v>ETP-Future</v>
      </c>
      <c r="Q332" s="726" t="str">
        <f>VLOOKUP($A332,'2018_ModelLink'!$A$3:$S$332,17,FALSE)</f>
        <v>ETP-Future</v>
      </c>
      <c r="R332" s="727" t="s">
        <v>1847</v>
      </c>
      <c r="S332" s="727" t="s">
        <v>1847</v>
      </c>
      <c r="T332" s="281">
        <v>1</v>
      </c>
      <c r="U332" s="281">
        <v>1</v>
      </c>
      <c r="V332" s="281">
        <v>1</v>
      </c>
      <c r="W332" s="281" t="s">
        <v>728</v>
      </c>
      <c r="X332" s="281" t="s">
        <v>729</v>
      </c>
      <c r="Y332" s="27" t="s">
        <v>730</v>
      </c>
      <c r="Z332" s="27" t="s">
        <v>731</v>
      </c>
      <c r="AA332" s="545"/>
      <c r="AB332" s="27"/>
    </row>
    <row r="334" spans="1:28">
      <c r="P334" s="401"/>
      <c r="Q334" s="401"/>
    </row>
  </sheetData>
  <autoFilter ref="A2:AB332" xr:uid="{BE2C271A-E731-4AAC-9BF5-F1D10A1D5859}"/>
  <mergeCells count="6">
    <mergeCell ref="A1:A2"/>
    <mergeCell ref="T1:V1"/>
    <mergeCell ref="W1:W2"/>
    <mergeCell ref="X1:X2"/>
    <mergeCell ref="L1:N1"/>
    <mergeCell ref="O1:S1"/>
  </mergeCells>
  <printOptions horizontalCentered="1"/>
  <pageMargins left="0.2" right="0.2" top="0.75" bottom="0.75" header="0.3" footer="0.3"/>
  <pageSetup scale="28" fitToHeight="0" orientation="landscape" r:id="rId1"/>
  <headerFooter>
    <oddFooter>&amp;RMay 1, 2019</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433C-7DE4-4585-BC9D-3157BE5901C4}">
  <sheetPr>
    <tabColor theme="5" tint="0.59999389629810485"/>
  </sheetPr>
  <dimension ref="A1:K301"/>
  <sheetViews>
    <sheetView zoomScale="90" zoomScaleNormal="90" workbookViewId="0">
      <pane ySplit="1" topLeftCell="A2" activePane="bottomLeft" state="frozen"/>
      <selection activeCell="H3" sqref="H3"/>
      <selection pane="bottomLeft"/>
    </sheetView>
  </sheetViews>
  <sheetFormatPr defaultRowHeight="15"/>
  <cols>
    <col min="5" max="9" width="19.7109375" customWidth="1"/>
    <col min="10" max="10" width="25.7109375" bestFit="1" customWidth="1"/>
  </cols>
  <sheetData>
    <row r="1" spans="1:11" ht="60">
      <c r="A1" s="546" t="s">
        <v>732</v>
      </c>
      <c r="B1" s="547" t="s">
        <v>22</v>
      </c>
      <c r="C1" s="547" t="s">
        <v>26</v>
      </c>
      <c r="D1" s="547" t="s">
        <v>27</v>
      </c>
      <c r="E1" s="547" t="s">
        <v>1883</v>
      </c>
      <c r="F1" s="547" t="s">
        <v>1884</v>
      </c>
      <c r="G1" s="547" t="s">
        <v>1885</v>
      </c>
      <c r="H1" s="547" t="s">
        <v>733</v>
      </c>
      <c r="I1" s="547" t="s">
        <v>734</v>
      </c>
      <c r="J1" s="547" t="s">
        <v>35</v>
      </c>
      <c r="K1" s="550" t="s">
        <v>735</v>
      </c>
    </row>
    <row r="2" spans="1:11" ht="45">
      <c r="A2" s="548">
        <v>0</v>
      </c>
      <c r="B2" s="549" t="s">
        <v>39</v>
      </c>
      <c r="C2" s="549" t="s">
        <v>736</v>
      </c>
      <c r="D2" s="549" t="s">
        <v>737</v>
      </c>
      <c r="E2" s="549">
        <v>76996.295619272336</v>
      </c>
      <c r="F2" s="549">
        <v>76996.295619272336</v>
      </c>
      <c r="G2" s="549">
        <v>76996.295619272336</v>
      </c>
      <c r="H2" s="549">
        <v>230988.88685781701</v>
      </c>
      <c r="I2" s="549">
        <v>161692.2208004719</v>
      </c>
      <c r="J2" s="549"/>
      <c r="K2" s="337"/>
    </row>
    <row r="3" spans="1:11" ht="45">
      <c r="A3" s="548">
        <v>1</v>
      </c>
      <c r="B3" s="549" t="s">
        <v>39</v>
      </c>
      <c r="C3" s="549" t="s">
        <v>52</v>
      </c>
      <c r="D3" s="549" t="s">
        <v>53</v>
      </c>
      <c r="E3" s="549">
        <v>49464.29529427176</v>
      </c>
      <c r="F3" s="549">
        <v>49464.29529427176</v>
      </c>
      <c r="G3" s="549">
        <v>49464.29529427176</v>
      </c>
      <c r="H3" s="549">
        <v>148392.88588281529</v>
      </c>
      <c r="I3" s="549">
        <v>105860.74954419865</v>
      </c>
      <c r="J3" s="549" t="s">
        <v>738</v>
      </c>
      <c r="K3" s="337"/>
    </row>
    <row r="4" spans="1:11" ht="45">
      <c r="A4" s="548">
        <v>2</v>
      </c>
      <c r="B4" s="549" t="s">
        <v>39</v>
      </c>
      <c r="C4" s="549" t="s">
        <v>55</v>
      </c>
      <c r="D4" s="549" t="s">
        <v>53</v>
      </c>
      <c r="E4" s="549">
        <v>43794.82749985523</v>
      </c>
      <c r="F4" s="549">
        <v>43794.82749985523</v>
      </c>
      <c r="G4" s="549">
        <v>43794.82749985523</v>
      </c>
      <c r="H4" s="549">
        <v>131384.4824995657</v>
      </c>
      <c r="I4" s="549">
        <v>93864.431094136569</v>
      </c>
      <c r="J4" s="549" t="s">
        <v>738</v>
      </c>
      <c r="K4" s="337"/>
    </row>
    <row r="5" spans="1:11" ht="60">
      <c r="A5" s="548">
        <v>3</v>
      </c>
      <c r="B5" s="549" t="s">
        <v>39</v>
      </c>
      <c r="C5" s="549" t="s">
        <v>56</v>
      </c>
      <c r="D5" s="549" t="s">
        <v>53</v>
      </c>
      <c r="E5" s="549">
        <v>229181761.51960665</v>
      </c>
      <c r="F5" s="549">
        <v>229181761.51960665</v>
      </c>
      <c r="G5" s="549">
        <v>229181761.51960665</v>
      </c>
      <c r="H5" s="549">
        <v>687545284.55882001</v>
      </c>
      <c r="I5" s="549">
        <v>498393941.62049663</v>
      </c>
      <c r="J5" s="549" t="s">
        <v>738</v>
      </c>
      <c r="K5" s="337"/>
    </row>
    <row r="6" spans="1:11" ht="45">
      <c r="A6" s="548">
        <v>4</v>
      </c>
      <c r="B6" s="549" t="s">
        <v>39</v>
      </c>
      <c r="C6" s="549" t="s">
        <v>57</v>
      </c>
      <c r="D6" s="549" t="s">
        <v>53</v>
      </c>
      <c r="E6" s="549">
        <v>201672144.38514781</v>
      </c>
      <c r="F6" s="549">
        <v>201672144.38514781</v>
      </c>
      <c r="G6" s="549">
        <v>201672144.38514781</v>
      </c>
      <c r="H6" s="549">
        <v>605016433.15544343</v>
      </c>
      <c r="I6" s="549">
        <v>439793123.47075039</v>
      </c>
      <c r="J6" s="549" t="s">
        <v>738</v>
      </c>
      <c r="K6" s="337"/>
    </row>
    <row r="7" spans="1:11" ht="60">
      <c r="A7" s="548">
        <v>5</v>
      </c>
      <c r="B7" s="549" t="s">
        <v>39</v>
      </c>
      <c r="C7" s="549" t="s">
        <v>58</v>
      </c>
      <c r="D7" s="549" t="s">
        <v>53</v>
      </c>
      <c r="E7" s="549">
        <v>3668761.1908914447</v>
      </c>
      <c r="F7" s="549">
        <v>3668761.1908914447</v>
      </c>
      <c r="G7" s="549">
        <v>3668761.1908914447</v>
      </c>
      <c r="H7" s="549">
        <v>11006283.572674334</v>
      </c>
      <c r="I7" s="549">
        <v>7918605.3776632585</v>
      </c>
      <c r="J7" s="549" t="s">
        <v>738</v>
      </c>
      <c r="K7" s="337"/>
    </row>
    <row r="8" spans="1:11" ht="60">
      <c r="A8" s="548">
        <v>6</v>
      </c>
      <c r="B8" s="549" t="s">
        <v>39</v>
      </c>
      <c r="C8" s="549" t="s">
        <v>60</v>
      </c>
      <c r="D8" s="549" t="s">
        <v>53</v>
      </c>
      <c r="E8" s="549">
        <v>3365102.6877251784</v>
      </c>
      <c r="F8" s="549">
        <v>3365102.6877251784</v>
      </c>
      <c r="G8" s="549">
        <v>3365102.6877251784</v>
      </c>
      <c r="H8" s="549">
        <v>10095308.063175535</v>
      </c>
      <c r="I8" s="549">
        <v>7204935.2608984215</v>
      </c>
      <c r="J8" s="549" t="s">
        <v>738</v>
      </c>
      <c r="K8" s="337"/>
    </row>
    <row r="9" spans="1:11" ht="45">
      <c r="A9" s="548">
        <v>7</v>
      </c>
      <c r="B9" s="549" t="s">
        <v>39</v>
      </c>
      <c r="C9" s="549" t="s">
        <v>61</v>
      </c>
      <c r="D9" s="549" t="s">
        <v>53</v>
      </c>
      <c r="E9" s="549">
        <v>328863.72984065284</v>
      </c>
      <c r="F9" s="549">
        <v>328863.72984065284</v>
      </c>
      <c r="G9" s="549">
        <v>328863.72984065284</v>
      </c>
      <c r="H9" s="549">
        <v>986591.18952195859</v>
      </c>
      <c r="I9" s="549">
        <v>703815.96931118087</v>
      </c>
      <c r="J9" s="549" t="s">
        <v>738</v>
      </c>
      <c r="K9" s="337"/>
    </row>
    <row r="10" spans="1:11" ht="45">
      <c r="A10" s="548">
        <v>8</v>
      </c>
      <c r="B10" s="549" t="s">
        <v>39</v>
      </c>
      <c r="C10" s="549" t="s">
        <v>62</v>
      </c>
      <c r="D10" s="549" t="s">
        <v>53</v>
      </c>
      <c r="E10" s="549">
        <v>238002.38990319974</v>
      </c>
      <c r="F10" s="549">
        <v>238002.38990319974</v>
      </c>
      <c r="G10" s="549">
        <v>238002.38990319974</v>
      </c>
      <c r="H10" s="549">
        <v>714007.16970959923</v>
      </c>
      <c r="I10" s="549">
        <v>510104.96450482804</v>
      </c>
      <c r="J10" s="549" t="s">
        <v>738</v>
      </c>
      <c r="K10" s="337"/>
    </row>
    <row r="11" spans="1:11" ht="60">
      <c r="A11" s="548">
        <v>9</v>
      </c>
      <c r="B11" s="549" t="s">
        <v>39</v>
      </c>
      <c r="C11" s="549" t="s">
        <v>63</v>
      </c>
      <c r="D11" s="549" t="s">
        <v>53</v>
      </c>
      <c r="E11" s="549">
        <v>2383262773.5336137</v>
      </c>
      <c r="F11" s="549">
        <v>2383262773.5336137</v>
      </c>
      <c r="G11" s="549">
        <v>2383262773.5336137</v>
      </c>
      <c r="H11" s="549">
        <v>7149788320.6008415</v>
      </c>
      <c r="I11" s="549">
        <v>5182802155.559824</v>
      </c>
      <c r="J11" s="549" t="s">
        <v>738</v>
      </c>
      <c r="K11" s="337"/>
    </row>
    <row r="12" spans="1:11" ht="45">
      <c r="A12" s="548">
        <v>10</v>
      </c>
      <c r="B12" s="549" t="s">
        <v>39</v>
      </c>
      <c r="C12" s="549" t="s">
        <v>64</v>
      </c>
      <c r="D12" s="549" t="s">
        <v>53</v>
      </c>
      <c r="E12" s="549">
        <v>1953734962.6540229</v>
      </c>
      <c r="F12" s="549">
        <v>1953734962.6540229</v>
      </c>
      <c r="G12" s="549">
        <v>1953734962.6540229</v>
      </c>
      <c r="H12" s="549">
        <v>5861204887.9620686</v>
      </c>
      <c r="I12" s="549">
        <v>4260574529.4137979</v>
      </c>
      <c r="J12" s="549" t="s">
        <v>738</v>
      </c>
      <c r="K12" s="337"/>
    </row>
    <row r="13" spans="1:11" ht="60">
      <c r="A13" s="548">
        <v>11</v>
      </c>
      <c r="B13" s="549" t="s">
        <v>39</v>
      </c>
      <c r="C13" s="549" t="s">
        <v>65</v>
      </c>
      <c r="D13" s="549" t="s">
        <v>53</v>
      </c>
      <c r="E13" s="549">
        <v>27876600.896838307</v>
      </c>
      <c r="F13" s="549">
        <v>27876600.896838307</v>
      </c>
      <c r="G13" s="549">
        <v>27876600.896838307</v>
      </c>
      <c r="H13" s="549">
        <v>83629802.690514922</v>
      </c>
      <c r="I13" s="549">
        <v>60168484.751944117</v>
      </c>
      <c r="J13" s="549" t="s">
        <v>738</v>
      </c>
      <c r="K13" s="337"/>
    </row>
    <row r="14" spans="1:11" ht="60">
      <c r="A14" s="548">
        <v>12</v>
      </c>
      <c r="B14" s="549" t="s">
        <v>39</v>
      </c>
      <c r="C14" s="549" t="s">
        <v>66</v>
      </c>
      <c r="D14" s="549" t="s">
        <v>53</v>
      </c>
      <c r="E14" s="549">
        <v>21343246.462557327</v>
      </c>
      <c r="F14" s="549">
        <v>21343246.462557327</v>
      </c>
      <c r="G14" s="549">
        <v>21343246.462557327</v>
      </c>
      <c r="H14" s="549">
        <v>64029739.387671977</v>
      </c>
      <c r="I14" s="549">
        <v>45697478.885578498</v>
      </c>
      <c r="J14" s="549" t="s">
        <v>738</v>
      </c>
      <c r="K14" s="337"/>
    </row>
    <row r="15" spans="1:11" ht="60">
      <c r="A15" s="548">
        <v>13</v>
      </c>
      <c r="B15" s="549" t="s">
        <v>39</v>
      </c>
      <c r="C15" s="549" t="s">
        <v>52</v>
      </c>
      <c r="D15" s="549" t="s">
        <v>69</v>
      </c>
      <c r="E15" s="549">
        <v>744.14292880362723</v>
      </c>
      <c r="F15" s="549">
        <v>744.14292880362723</v>
      </c>
      <c r="G15" s="549">
        <v>744.14292880362723</v>
      </c>
      <c r="H15" s="549">
        <v>2232.4287864108819</v>
      </c>
      <c r="I15" s="549">
        <v>1556.2437580690003</v>
      </c>
      <c r="J15" s="549" t="s">
        <v>739</v>
      </c>
      <c r="K15" s="337"/>
    </row>
    <row r="16" spans="1:11" ht="60">
      <c r="A16" s="548">
        <v>14</v>
      </c>
      <c r="B16" s="549" t="s">
        <v>39</v>
      </c>
      <c r="C16" s="549" t="s">
        <v>55</v>
      </c>
      <c r="D16" s="549" t="s">
        <v>69</v>
      </c>
      <c r="E16" s="549">
        <v>516.87321544164638</v>
      </c>
      <c r="F16" s="549">
        <v>516.87321544164638</v>
      </c>
      <c r="G16" s="549">
        <v>516.87321544164638</v>
      </c>
      <c r="H16" s="549">
        <v>1550.6196463249391</v>
      </c>
      <c r="I16" s="549">
        <v>1083.5063643238261</v>
      </c>
      <c r="J16" s="549" t="s">
        <v>739</v>
      </c>
    </row>
    <row r="17" spans="1:10" ht="60">
      <c r="A17" s="548">
        <v>15</v>
      </c>
      <c r="B17" s="549" t="s">
        <v>39</v>
      </c>
      <c r="C17" s="549" t="s">
        <v>56</v>
      </c>
      <c r="D17" s="549" t="s">
        <v>69</v>
      </c>
      <c r="E17" s="549">
        <v>3659611.5060574454</v>
      </c>
      <c r="F17" s="549">
        <v>3659611.5060574454</v>
      </c>
      <c r="G17" s="549">
        <v>3659611.5060574454</v>
      </c>
      <c r="H17" s="549">
        <v>10978834.518172337</v>
      </c>
      <c r="I17" s="549">
        <v>7563152.9180087289</v>
      </c>
      <c r="J17" s="549" t="s">
        <v>739</v>
      </c>
    </row>
    <row r="18" spans="1:10" ht="60">
      <c r="A18" s="548">
        <v>16</v>
      </c>
      <c r="B18" s="549" t="s">
        <v>39</v>
      </c>
      <c r="C18" s="549" t="s">
        <v>57</v>
      </c>
      <c r="D18" s="549" t="s">
        <v>69</v>
      </c>
      <c r="E18" s="549">
        <v>2598006.3822410852</v>
      </c>
      <c r="F18" s="549">
        <v>2598006.3822410852</v>
      </c>
      <c r="G18" s="549">
        <v>2598006.3822410852</v>
      </c>
      <c r="H18" s="549">
        <v>7794019.1467232555</v>
      </c>
      <c r="I18" s="549">
        <v>5372493.2799163843</v>
      </c>
      <c r="J18" s="549" t="s">
        <v>739</v>
      </c>
    </row>
    <row r="19" spans="1:10" ht="60">
      <c r="A19" s="548">
        <v>17</v>
      </c>
      <c r="B19" s="549" t="s">
        <v>39</v>
      </c>
      <c r="C19" s="549" t="s">
        <v>58</v>
      </c>
      <c r="D19" s="549" t="s">
        <v>69</v>
      </c>
      <c r="E19" s="549">
        <v>37425.980072347294</v>
      </c>
      <c r="F19" s="549">
        <v>37425.980072347294</v>
      </c>
      <c r="G19" s="549">
        <v>37425.980072347294</v>
      </c>
      <c r="H19" s="549">
        <v>112277.94021704188</v>
      </c>
      <c r="I19" s="549">
        <v>80921.188666839051</v>
      </c>
      <c r="J19" s="549" t="s">
        <v>739</v>
      </c>
    </row>
    <row r="20" spans="1:10" ht="60">
      <c r="A20" s="548">
        <v>18</v>
      </c>
      <c r="B20" s="549" t="s">
        <v>39</v>
      </c>
      <c r="C20" s="549" t="s">
        <v>60</v>
      </c>
      <c r="D20" s="549" t="s">
        <v>69</v>
      </c>
      <c r="E20" s="549">
        <v>29650.861157484051</v>
      </c>
      <c r="F20" s="549">
        <v>29650.861157484051</v>
      </c>
      <c r="G20" s="549">
        <v>29650.861157484051</v>
      </c>
      <c r="H20" s="549">
        <v>88952.583472452156</v>
      </c>
      <c r="I20" s="549">
        <v>62891.527030267047</v>
      </c>
      <c r="J20" s="549" t="s">
        <v>739</v>
      </c>
    </row>
    <row r="21" spans="1:10" ht="60">
      <c r="A21" s="548">
        <v>19</v>
      </c>
      <c r="B21" s="549" t="s">
        <v>39</v>
      </c>
      <c r="C21" s="549" t="s">
        <v>61</v>
      </c>
      <c r="D21" s="549" t="s">
        <v>69</v>
      </c>
      <c r="E21" s="549">
        <v>8007.9228269897449</v>
      </c>
      <c r="F21" s="549">
        <v>8007.9228269897449</v>
      </c>
      <c r="G21" s="549">
        <v>8007.9228269897449</v>
      </c>
      <c r="H21" s="549">
        <v>24023.768480969236</v>
      </c>
      <c r="I21" s="549">
        <v>16747.158955923827</v>
      </c>
      <c r="J21" s="549" t="s">
        <v>739</v>
      </c>
    </row>
    <row r="22" spans="1:10" ht="60">
      <c r="A22" s="548">
        <v>20</v>
      </c>
      <c r="B22" s="549" t="s">
        <v>39</v>
      </c>
      <c r="C22" s="549" t="s">
        <v>62</v>
      </c>
      <c r="D22" s="549" t="s">
        <v>69</v>
      </c>
      <c r="E22" s="549">
        <v>5507.9846566140059</v>
      </c>
      <c r="F22" s="549">
        <v>5507.9846566140059</v>
      </c>
      <c r="G22" s="549">
        <v>5507.9846566140059</v>
      </c>
      <c r="H22" s="549">
        <v>16523.953969842019</v>
      </c>
      <c r="I22" s="549">
        <v>11546.228846352407</v>
      </c>
      <c r="J22" s="549" t="s">
        <v>739</v>
      </c>
    </row>
    <row r="23" spans="1:10" ht="60">
      <c r="A23" s="548">
        <v>21</v>
      </c>
      <c r="B23" s="549" t="s">
        <v>39</v>
      </c>
      <c r="C23" s="549" t="s">
        <v>63</v>
      </c>
      <c r="D23" s="549" t="s">
        <v>69</v>
      </c>
      <c r="E23" s="549">
        <v>40115348.347882681</v>
      </c>
      <c r="F23" s="549">
        <v>40115348.347882681</v>
      </c>
      <c r="G23" s="549">
        <v>40115348.347882681</v>
      </c>
      <c r="H23" s="549">
        <v>120346045.04364803</v>
      </c>
      <c r="I23" s="549">
        <v>82904568.807928279</v>
      </c>
      <c r="J23" s="549" t="s">
        <v>739</v>
      </c>
    </row>
    <row r="24" spans="1:10" ht="60">
      <c r="A24" s="548">
        <v>22</v>
      </c>
      <c r="B24" s="549" t="s">
        <v>39</v>
      </c>
      <c r="C24" s="549" t="s">
        <v>64</v>
      </c>
      <c r="D24" s="549" t="s">
        <v>69</v>
      </c>
      <c r="E24" s="549">
        <v>28047242.431992013</v>
      </c>
      <c r="F24" s="549">
        <v>28047242.431992013</v>
      </c>
      <c r="G24" s="549">
        <v>28047242.431992013</v>
      </c>
      <c r="H24" s="549">
        <v>84141727.295976043</v>
      </c>
      <c r="I24" s="549">
        <v>57999711.82367938</v>
      </c>
      <c r="J24" s="549" t="s">
        <v>739</v>
      </c>
    </row>
    <row r="25" spans="1:10" ht="60">
      <c r="A25" s="548">
        <v>23</v>
      </c>
      <c r="B25" s="549" t="s">
        <v>39</v>
      </c>
      <c r="C25" s="549" t="s">
        <v>65</v>
      </c>
      <c r="D25" s="549" t="s">
        <v>69</v>
      </c>
      <c r="E25" s="549">
        <v>79197.589752993154</v>
      </c>
      <c r="F25" s="549">
        <v>79197.589752993154</v>
      </c>
      <c r="G25" s="549">
        <v>79197.589752993154</v>
      </c>
      <c r="H25" s="549">
        <v>237592.76925897948</v>
      </c>
      <c r="I25" s="549">
        <v>171238.35073850432</v>
      </c>
      <c r="J25" s="549" t="s">
        <v>739</v>
      </c>
    </row>
    <row r="26" spans="1:10" ht="60">
      <c r="A26" s="548">
        <v>24</v>
      </c>
      <c r="B26" s="549" t="s">
        <v>39</v>
      </c>
      <c r="C26" s="549" t="s">
        <v>66</v>
      </c>
      <c r="D26" s="549" t="s">
        <v>69</v>
      </c>
      <c r="E26" s="549">
        <v>31994.154029110756</v>
      </c>
      <c r="F26" s="549">
        <v>31994.154029110756</v>
      </c>
      <c r="G26" s="549">
        <v>31994.154029110756</v>
      </c>
      <c r="H26" s="549">
        <v>95982.462087332271</v>
      </c>
      <c r="I26" s="549">
        <v>67861.813262191383</v>
      </c>
      <c r="J26" s="549" t="s">
        <v>739</v>
      </c>
    </row>
    <row r="27" spans="1:10" ht="60">
      <c r="A27" s="548">
        <v>25</v>
      </c>
      <c r="B27" s="549" t="s">
        <v>39</v>
      </c>
      <c r="C27" s="549" t="s">
        <v>52</v>
      </c>
      <c r="D27" s="549" t="s">
        <v>85</v>
      </c>
      <c r="E27" s="549">
        <v>744.14292880362609</v>
      </c>
      <c r="F27" s="549">
        <v>744.14292880362609</v>
      </c>
      <c r="G27" s="549">
        <v>744.14292880362609</v>
      </c>
      <c r="H27" s="549">
        <v>2232.4287864108783</v>
      </c>
      <c r="I27" s="549">
        <v>1556.243758068998</v>
      </c>
      <c r="J27" s="549" t="s">
        <v>739</v>
      </c>
    </row>
    <row r="28" spans="1:10" ht="60">
      <c r="A28" s="548">
        <v>26</v>
      </c>
      <c r="B28" s="549" t="s">
        <v>39</v>
      </c>
      <c r="C28" s="549" t="s">
        <v>55</v>
      </c>
      <c r="D28" s="549" t="s">
        <v>85</v>
      </c>
      <c r="E28" s="549">
        <v>516.87321544164672</v>
      </c>
      <c r="F28" s="549">
        <v>516.87321544164672</v>
      </c>
      <c r="G28" s="549">
        <v>516.87321544164672</v>
      </c>
      <c r="H28" s="549">
        <v>1550.6196463249403</v>
      </c>
      <c r="I28" s="549">
        <v>1083.506364323827</v>
      </c>
      <c r="J28" s="549" t="s">
        <v>739</v>
      </c>
    </row>
    <row r="29" spans="1:10" ht="60">
      <c r="A29" s="548">
        <v>27</v>
      </c>
      <c r="B29" s="549" t="s">
        <v>39</v>
      </c>
      <c r="C29" s="549" t="s">
        <v>56</v>
      </c>
      <c r="D29" s="549" t="s">
        <v>85</v>
      </c>
      <c r="E29" s="549">
        <v>3659611.5060574478</v>
      </c>
      <c r="F29" s="549">
        <v>3659611.5060574478</v>
      </c>
      <c r="G29" s="549">
        <v>3659611.5060574478</v>
      </c>
      <c r="H29" s="549">
        <v>10978834.518172342</v>
      </c>
      <c r="I29" s="549">
        <v>7563152.9180087335</v>
      </c>
      <c r="J29" s="549" t="s">
        <v>739</v>
      </c>
    </row>
    <row r="30" spans="1:10" ht="60">
      <c r="A30" s="548">
        <v>28</v>
      </c>
      <c r="B30" s="549" t="s">
        <v>39</v>
      </c>
      <c r="C30" s="549" t="s">
        <v>57</v>
      </c>
      <c r="D30" s="549" t="s">
        <v>85</v>
      </c>
      <c r="E30" s="549">
        <v>2598006.38224108</v>
      </c>
      <c r="F30" s="549">
        <v>2598006.38224108</v>
      </c>
      <c r="G30" s="549">
        <v>2598006.38224108</v>
      </c>
      <c r="H30" s="549">
        <v>7794019.1467232406</v>
      </c>
      <c r="I30" s="549">
        <v>5372493.279916374</v>
      </c>
      <c r="J30" s="549" t="s">
        <v>739</v>
      </c>
    </row>
    <row r="31" spans="1:10" ht="60">
      <c r="A31" s="548">
        <v>29</v>
      </c>
      <c r="B31" s="549" t="s">
        <v>39</v>
      </c>
      <c r="C31" s="549" t="s">
        <v>58</v>
      </c>
      <c r="D31" s="549" t="s">
        <v>85</v>
      </c>
      <c r="E31" s="549">
        <v>37425.980072347294</v>
      </c>
      <c r="F31" s="549">
        <v>37425.980072347294</v>
      </c>
      <c r="G31" s="549">
        <v>37425.980072347294</v>
      </c>
      <c r="H31" s="549">
        <v>112277.94021704188</v>
      </c>
      <c r="I31" s="549">
        <v>80921.188666839051</v>
      </c>
      <c r="J31" s="549" t="s">
        <v>739</v>
      </c>
    </row>
    <row r="32" spans="1:10" ht="60">
      <c r="A32" s="548">
        <v>30</v>
      </c>
      <c r="B32" s="549" t="s">
        <v>39</v>
      </c>
      <c r="C32" s="549" t="s">
        <v>60</v>
      </c>
      <c r="D32" s="549" t="s">
        <v>85</v>
      </c>
      <c r="E32" s="549">
        <v>29650.861157484051</v>
      </c>
      <c r="F32" s="549">
        <v>29650.861157484051</v>
      </c>
      <c r="G32" s="549">
        <v>29650.861157484051</v>
      </c>
      <c r="H32" s="549">
        <v>88952.583472452156</v>
      </c>
      <c r="I32" s="549">
        <v>62891.527030267047</v>
      </c>
      <c r="J32" s="549" t="s">
        <v>739</v>
      </c>
    </row>
    <row r="33" spans="1:10" ht="60">
      <c r="A33" s="548">
        <v>31</v>
      </c>
      <c r="B33" s="549" t="s">
        <v>39</v>
      </c>
      <c r="C33" s="549" t="s">
        <v>61</v>
      </c>
      <c r="D33" s="549" t="s">
        <v>85</v>
      </c>
      <c r="E33" s="549">
        <v>8007.9228269897503</v>
      </c>
      <c r="F33" s="549">
        <v>8007.9228269897503</v>
      </c>
      <c r="G33" s="549">
        <v>8007.9228269897503</v>
      </c>
      <c r="H33" s="549">
        <v>24023.768480969251</v>
      </c>
      <c r="I33" s="549">
        <v>16747.158955923838</v>
      </c>
      <c r="J33" s="549" t="s">
        <v>739</v>
      </c>
    </row>
    <row r="34" spans="1:10" ht="60">
      <c r="A34" s="548">
        <v>32</v>
      </c>
      <c r="B34" s="549" t="s">
        <v>39</v>
      </c>
      <c r="C34" s="549" t="s">
        <v>62</v>
      </c>
      <c r="D34" s="549" t="s">
        <v>85</v>
      </c>
      <c r="E34" s="549">
        <v>5507.9846566140022</v>
      </c>
      <c r="F34" s="549">
        <v>5507.9846566140022</v>
      </c>
      <c r="G34" s="549">
        <v>5507.9846566140022</v>
      </c>
      <c r="H34" s="549">
        <v>16523.953969842005</v>
      </c>
      <c r="I34" s="549">
        <v>11546.2288463524</v>
      </c>
      <c r="J34" s="549" t="s">
        <v>739</v>
      </c>
    </row>
    <row r="35" spans="1:10" ht="60">
      <c r="A35" s="548">
        <v>33</v>
      </c>
      <c r="B35" s="549" t="s">
        <v>39</v>
      </c>
      <c r="C35" s="549" t="s">
        <v>63</v>
      </c>
      <c r="D35" s="549" t="s">
        <v>85</v>
      </c>
      <c r="E35" s="549">
        <v>40115348.347882621</v>
      </c>
      <c r="F35" s="549">
        <v>40115348.347882621</v>
      </c>
      <c r="G35" s="549">
        <v>40115348.347882621</v>
      </c>
      <c r="H35" s="549">
        <v>120346045.04364786</v>
      </c>
      <c r="I35" s="549">
        <v>82904568.80792816</v>
      </c>
      <c r="J35" s="549" t="s">
        <v>739</v>
      </c>
    </row>
    <row r="36" spans="1:10" ht="60">
      <c r="A36" s="548">
        <v>34</v>
      </c>
      <c r="B36" s="549" t="s">
        <v>39</v>
      </c>
      <c r="C36" s="549" t="s">
        <v>64</v>
      </c>
      <c r="D36" s="549" t="s">
        <v>85</v>
      </c>
      <c r="E36" s="549">
        <v>28047242.431991916</v>
      </c>
      <c r="F36" s="549">
        <v>28047242.431991916</v>
      </c>
      <c r="G36" s="549">
        <v>28047242.431991916</v>
      </c>
      <c r="H36" s="549">
        <v>84141727.295975745</v>
      </c>
      <c r="I36" s="549">
        <v>57999711.823679179</v>
      </c>
      <c r="J36" s="549" t="s">
        <v>739</v>
      </c>
    </row>
    <row r="37" spans="1:10" ht="60">
      <c r="A37" s="548">
        <v>35</v>
      </c>
      <c r="B37" s="549" t="s">
        <v>39</v>
      </c>
      <c r="C37" s="549" t="s">
        <v>65</v>
      </c>
      <c r="D37" s="549" t="s">
        <v>85</v>
      </c>
      <c r="E37" s="549">
        <v>79197.589752993154</v>
      </c>
      <c r="F37" s="549">
        <v>79197.589752993154</v>
      </c>
      <c r="G37" s="549">
        <v>79197.589752993154</v>
      </c>
      <c r="H37" s="549">
        <v>237592.76925897948</v>
      </c>
      <c r="I37" s="549">
        <v>171238.35073850432</v>
      </c>
      <c r="J37" s="549" t="s">
        <v>739</v>
      </c>
    </row>
    <row r="38" spans="1:10" ht="60">
      <c r="A38" s="548">
        <v>36</v>
      </c>
      <c r="B38" s="549" t="s">
        <v>39</v>
      </c>
      <c r="C38" s="549" t="s">
        <v>66</v>
      </c>
      <c r="D38" s="549" t="s">
        <v>85</v>
      </c>
      <c r="E38" s="549">
        <v>31994.154029110756</v>
      </c>
      <c r="F38" s="549">
        <v>31994.154029110756</v>
      </c>
      <c r="G38" s="549">
        <v>31994.154029110756</v>
      </c>
      <c r="H38" s="549">
        <v>95982.462087332271</v>
      </c>
      <c r="I38" s="549">
        <v>67861.813262191383</v>
      </c>
      <c r="J38" s="549" t="s">
        <v>739</v>
      </c>
    </row>
    <row r="39" spans="1:10" ht="60">
      <c r="A39" s="548">
        <v>37</v>
      </c>
      <c r="B39" s="549" t="s">
        <v>39</v>
      </c>
      <c r="C39" s="549" t="s">
        <v>92</v>
      </c>
      <c r="D39" s="549" t="s">
        <v>93</v>
      </c>
      <c r="E39" s="549">
        <v>290.537060458459</v>
      </c>
      <c r="F39" s="549">
        <v>290.537060458459</v>
      </c>
      <c r="G39" s="549">
        <v>290.537060458459</v>
      </c>
      <c r="H39" s="549">
        <v>871.61118137537699</v>
      </c>
      <c r="I39" s="549">
        <v>578.16875031233337</v>
      </c>
      <c r="J39" s="549" t="s">
        <v>738</v>
      </c>
    </row>
    <row r="40" spans="1:10" ht="60">
      <c r="A40" s="548">
        <v>38</v>
      </c>
      <c r="B40" s="549" t="s">
        <v>39</v>
      </c>
      <c r="C40" s="549" t="s">
        <v>95</v>
      </c>
      <c r="D40" s="549" t="s">
        <v>93</v>
      </c>
      <c r="E40" s="549">
        <v>6.3296106683271139E-2</v>
      </c>
      <c r="F40" s="549">
        <v>6.3296106683271139E-2</v>
      </c>
      <c r="G40" s="549">
        <v>6.3296106683271139E-2</v>
      </c>
      <c r="H40" s="549">
        <v>0.18988832004981343</v>
      </c>
      <c r="I40" s="549">
        <v>0.12595925229970956</v>
      </c>
      <c r="J40" s="549" t="s">
        <v>738</v>
      </c>
    </row>
    <row r="41" spans="1:10" ht="75">
      <c r="A41" s="548">
        <v>39</v>
      </c>
      <c r="B41" s="549" t="s">
        <v>39</v>
      </c>
      <c r="C41" s="549" t="s">
        <v>96</v>
      </c>
      <c r="D41" s="549" t="s">
        <v>93</v>
      </c>
      <c r="E41" s="549">
        <v>0.41563700720718572</v>
      </c>
      <c r="F41" s="549">
        <v>0.41563700720718572</v>
      </c>
      <c r="G41" s="549">
        <v>0.41563700720718572</v>
      </c>
      <c r="H41" s="549">
        <v>1.2469110216215571</v>
      </c>
      <c r="I41" s="549">
        <v>0.82711764434229962</v>
      </c>
      <c r="J41" s="549" t="s">
        <v>738</v>
      </c>
    </row>
    <row r="42" spans="1:10" ht="60">
      <c r="A42" s="548">
        <v>40</v>
      </c>
      <c r="B42" s="549" t="s">
        <v>39</v>
      </c>
      <c r="C42" s="549" t="s">
        <v>97</v>
      </c>
      <c r="D42" s="549" t="s">
        <v>93</v>
      </c>
      <c r="E42" s="549">
        <v>409.29856805963675</v>
      </c>
      <c r="F42" s="549">
        <v>409.29856805963675</v>
      </c>
      <c r="G42" s="549">
        <v>409.29856805963675</v>
      </c>
      <c r="H42" s="549">
        <v>1227.8957041789104</v>
      </c>
      <c r="I42" s="549">
        <v>814.50415043867713</v>
      </c>
      <c r="J42" s="549" t="s">
        <v>738</v>
      </c>
    </row>
    <row r="43" spans="1:10" ht="60">
      <c r="A43" s="548">
        <v>41</v>
      </c>
      <c r="B43" s="549" t="s">
        <v>39</v>
      </c>
      <c r="C43" s="549" t="s">
        <v>98</v>
      </c>
      <c r="D43" s="549" t="s">
        <v>93</v>
      </c>
      <c r="E43" s="549">
        <v>8.9169367199944768E-2</v>
      </c>
      <c r="F43" s="549">
        <v>8.9169367199944768E-2</v>
      </c>
      <c r="G43" s="549">
        <v>8.9169367199944768E-2</v>
      </c>
      <c r="H43" s="549">
        <v>0.26750810159983429</v>
      </c>
      <c r="I43" s="549">
        <v>0.17744704072789008</v>
      </c>
      <c r="J43" s="549" t="s">
        <v>738</v>
      </c>
    </row>
    <row r="44" spans="1:10" ht="75">
      <c r="A44" s="548">
        <v>42</v>
      </c>
      <c r="B44" s="549" t="s">
        <v>39</v>
      </c>
      <c r="C44" s="549" t="s">
        <v>99</v>
      </c>
      <c r="D44" s="549" t="s">
        <v>93</v>
      </c>
      <c r="E44" s="549">
        <v>0.58553504883008811</v>
      </c>
      <c r="F44" s="549">
        <v>0.58553504883008811</v>
      </c>
      <c r="G44" s="549">
        <v>0.58553504883008811</v>
      </c>
      <c r="H44" s="549">
        <v>1.7566051464902643</v>
      </c>
      <c r="I44" s="549">
        <v>1.1652147471718752</v>
      </c>
      <c r="J44" s="549" t="s">
        <v>738</v>
      </c>
    </row>
    <row r="45" spans="1:10" ht="45">
      <c r="A45" s="548">
        <v>43</v>
      </c>
      <c r="B45" s="549" t="s">
        <v>39</v>
      </c>
      <c r="C45" s="549" t="s">
        <v>52</v>
      </c>
      <c r="D45" s="549" t="s">
        <v>53</v>
      </c>
      <c r="E45" s="549">
        <v>38055.983396743606</v>
      </c>
      <c r="F45" s="549">
        <v>38055.983396743606</v>
      </c>
      <c r="G45" s="549">
        <v>38055.983396743606</v>
      </c>
      <c r="H45" s="549">
        <v>114167.95019023083</v>
      </c>
      <c r="I45" s="549">
        <v>79587.380765111782</v>
      </c>
      <c r="J45" s="549" t="s">
        <v>738</v>
      </c>
    </row>
    <row r="46" spans="1:10" ht="45">
      <c r="A46" s="548">
        <v>44</v>
      </c>
      <c r="B46" s="549" t="s">
        <v>39</v>
      </c>
      <c r="C46" s="549" t="s">
        <v>55</v>
      </c>
      <c r="D46" s="549" t="s">
        <v>53</v>
      </c>
      <c r="E46" s="549">
        <v>35093.260469887748</v>
      </c>
      <c r="F46" s="549">
        <v>35093.260469887748</v>
      </c>
      <c r="G46" s="549">
        <v>35093.260469887748</v>
      </c>
      <c r="H46" s="549">
        <v>105279.78140966324</v>
      </c>
      <c r="I46" s="549">
        <v>73564.986399048386</v>
      </c>
      <c r="J46" s="549" t="s">
        <v>738</v>
      </c>
    </row>
    <row r="47" spans="1:10" ht="60">
      <c r="A47" s="548">
        <v>45</v>
      </c>
      <c r="B47" s="549" t="s">
        <v>39</v>
      </c>
      <c r="C47" s="549" t="s">
        <v>56</v>
      </c>
      <c r="D47" s="549" t="s">
        <v>53</v>
      </c>
      <c r="E47" s="549">
        <v>70479219.393036798</v>
      </c>
      <c r="F47" s="549">
        <v>70479219.393036798</v>
      </c>
      <c r="G47" s="549">
        <v>70479219.393036798</v>
      </c>
      <c r="H47" s="549">
        <v>211437658.17911041</v>
      </c>
      <c r="I47" s="549">
        <v>145656202.28516582</v>
      </c>
      <c r="J47" s="549" t="s">
        <v>738</v>
      </c>
    </row>
    <row r="48" spans="1:10" ht="45">
      <c r="A48" s="548">
        <v>46</v>
      </c>
      <c r="B48" s="549" t="s">
        <v>39</v>
      </c>
      <c r="C48" s="549" t="s">
        <v>57</v>
      </c>
      <c r="D48" s="549" t="s">
        <v>53</v>
      </c>
      <c r="E48" s="549">
        <v>53104884.395673916</v>
      </c>
      <c r="F48" s="549">
        <v>53104884.395673916</v>
      </c>
      <c r="G48" s="549">
        <v>53104884.395673916</v>
      </c>
      <c r="H48" s="549">
        <v>159314653.18702173</v>
      </c>
      <c r="I48" s="549">
        <v>109817141.51925409</v>
      </c>
      <c r="J48" s="549" t="s">
        <v>738</v>
      </c>
    </row>
    <row r="49" spans="1:10" ht="60">
      <c r="A49" s="548">
        <v>47</v>
      </c>
      <c r="B49" s="549" t="s">
        <v>39</v>
      </c>
      <c r="C49" s="549" t="s">
        <v>58</v>
      </c>
      <c r="D49" s="549" t="s">
        <v>53</v>
      </c>
      <c r="E49" s="549">
        <v>885322.77227546775</v>
      </c>
      <c r="F49" s="549">
        <v>885322.77227546775</v>
      </c>
      <c r="G49" s="549">
        <v>885322.77227546775</v>
      </c>
      <c r="H49" s="549">
        <v>2655968.3168264031</v>
      </c>
      <c r="I49" s="549">
        <v>1914214.9637194227</v>
      </c>
      <c r="J49" s="549" t="s">
        <v>738</v>
      </c>
    </row>
    <row r="50" spans="1:10" ht="60">
      <c r="A50" s="548">
        <v>48</v>
      </c>
      <c r="B50" s="549" t="s">
        <v>39</v>
      </c>
      <c r="C50" s="549" t="s">
        <v>60</v>
      </c>
      <c r="D50" s="549" t="s">
        <v>53</v>
      </c>
      <c r="E50" s="549">
        <v>701654.88071326318</v>
      </c>
      <c r="F50" s="549">
        <v>701654.88071326318</v>
      </c>
      <c r="G50" s="549">
        <v>701654.88071326318</v>
      </c>
      <c r="H50" s="549">
        <v>2104964.6421397896</v>
      </c>
      <c r="I50" s="549">
        <v>1488258.5251713269</v>
      </c>
      <c r="J50" s="549" t="s">
        <v>738</v>
      </c>
    </row>
    <row r="51" spans="1:10" ht="45">
      <c r="A51" s="548">
        <v>49</v>
      </c>
      <c r="B51" s="549" t="s">
        <v>39</v>
      </c>
      <c r="C51" s="549" t="s">
        <v>61</v>
      </c>
      <c r="D51" s="549" t="s">
        <v>53</v>
      </c>
      <c r="E51" s="549">
        <v>141338.4441734117</v>
      </c>
      <c r="F51" s="549">
        <v>141338.4441734117</v>
      </c>
      <c r="G51" s="549">
        <v>141338.4441734117</v>
      </c>
      <c r="H51" s="549">
        <v>424015.3325202351</v>
      </c>
      <c r="I51" s="549">
        <v>295584.44084617589</v>
      </c>
      <c r="J51" s="549" t="s">
        <v>738</v>
      </c>
    </row>
    <row r="52" spans="1:10" ht="45">
      <c r="A52" s="548">
        <v>50</v>
      </c>
      <c r="B52" s="549" t="s">
        <v>39</v>
      </c>
      <c r="C52" s="549" t="s">
        <v>62</v>
      </c>
      <c r="D52" s="549" t="s">
        <v>53</v>
      </c>
      <c r="E52" s="549">
        <v>100926.04588659786</v>
      </c>
      <c r="F52" s="549">
        <v>100926.04588659786</v>
      </c>
      <c r="G52" s="549">
        <v>100926.04588659786</v>
      </c>
      <c r="H52" s="549">
        <v>302778.1376597936</v>
      </c>
      <c r="I52" s="549">
        <v>211568.34940794698</v>
      </c>
      <c r="J52" s="549" t="s">
        <v>738</v>
      </c>
    </row>
    <row r="53" spans="1:10" ht="60">
      <c r="A53" s="548">
        <v>51</v>
      </c>
      <c r="B53" s="549" t="s">
        <v>39</v>
      </c>
      <c r="C53" s="549" t="s">
        <v>63</v>
      </c>
      <c r="D53" s="549" t="s">
        <v>53</v>
      </c>
      <c r="E53" s="549">
        <v>669008045.25631535</v>
      </c>
      <c r="F53" s="549">
        <v>669008045.25631535</v>
      </c>
      <c r="G53" s="549">
        <v>669008045.25631535</v>
      </c>
      <c r="H53" s="549">
        <v>2007024135.7689462</v>
      </c>
      <c r="I53" s="549">
        <v>1382608547.7315123</v>
      </c>
      <c r="J53" s="549" t="s">
        <v>738</v>
      </c>
    </row>
    <row r="54" spans="1:10" ht="45">
      <c r="A54" s="548">
        <v>52</v>
      </c>
      <c r="B54" s="549" t="s">
        <v>39</v>
      </c>
      <c r="C54" s="549" t="s">
        <v>64</v>
      </c>
      <c r="D54" s="549" t="s">
        <v>53</v>
      </c>
      <c r="E54" s="549">
        <v>424986810.56923443</v>
      </c>
      <c r="F54" s="549">
        <v>424986810.56923443</v>
      </c>
      <c r="G54" s="549">
        <v>424986810.56923443</v>
      </c>
      <c r="H54" s="549">
        <v>1274960431.7077034</v>
      </c>
      <c r="I54" s="549">
        <v>878842638.51066768</v>
      </c>
      <c r="J54" s="549" t="s">
        <v>738</v>
      </c>
    </row>
    <row r="55" spans="1:10" ht="60">
      <c r="A55" s="548">
        <v>53</v>
      </c>
      <c r="B55" s="549" t="s">
        <v>39</v>
      </c>
      <c r="C55" s="549" t="s">
        <v>65</v>
      </c>
      <c r="D55" s="549" t="s">
        <v>53</v>
      </c>
      <c r="E55" s="549">
        <v>1784810.1444445392</v>
      </c>
      <c r="F55" s="549">
        <v>1784810.1444445392</v>
      </c>
      <c r="G55" s="549">
        <v>1784810.1444445392</v>
      </c>
      <c r="H55" s="549">
        <v>5354430.4333336176</v>
      </c>
      <c r="I55" s="549">
        <v>3859056.1463959673</v>
      </c>
      <c r="J55" s="549" t="s">
        <v>738</v>
      </c>
    </row>
    <row r="56" spans="1:10" ht="60">
      <c r="A56" s="548">
        <v>54</v>
      </c>
      <c r="B56" s="549" t="s">
        <v>39</v>
      </c>
      <c r="C56" s="549" t="s">
        <v>66</v>
      </c>
      <c r="D56" s="549" t="s">
        <v>53</v>
      </c>
      <c r="E56" s="549">
        <v>679849.33936842519</v>
      </c>
      <c r="F56" s="549">
        <v>679849.33936842519</v>
      </c>
      <c r="G56" s="549">
        <v>679849.33936842519</v>
      </c>
      <c r="H56" s="549">
        <v>2039548.0181052755</v>
      </c>
      <c r="I56" s="549">
        <v>1442007.4640094039</v>
      </c>
      <c r="J56" s="549" t="s">
        <v>738</v>
      </c>
    </row>
    <row r="57" spans="1:10" ht="30">
      <c r="A57" s="548">
        <v>55</v>
      </c>
      <c r="B57" s="549" t="s">
        <v>39</v>
      </c>
      <c r="C57" s="549" t="s">
        <v>43</v>
      </c>
      <c r="D57" s="549" t="s">
        <v>44</v>
      </c>
      <c r="E57" s="549">
        <v>25311.150040951987</v>
      </c>
      <c r="F57" s="549">
        <v>25311.150040951987</v>
      </c>
      <c r="G57" s="549">
        <v>25311.150040951987</v>
      </c>
      <c r="H57" s="549">
        <v>75933.450122855953</v>
      </c>
      <c r="I57" s="549">
        <v>52309.404419983221</v>
      </c>
      <c r="J57" s="549" t="s">
        <v>48</v>
      </c>
    </row>
    <row r="58" spans="1:10" ht="135">
      <c r="A58" s="548">
        <v>56</v>
      </c>
      <c r="B58" s="549" t="s">
        <v>39</v>
      </c>
      <c r="C58" s="549" t="s">
        <v>108</v>
      </c>
      <c r="D58" s="549" t="s">
        <v>740</v>
      </c>
      <c r="E58" s="549">
        <v>0.4587736522038085</v>
      </c>
      <c r="F58" s="549">
        <v>0.4587736522038085</v>
      </c>
      <c r="G58" s="549">
        <v>0.4587736522038085</v>
      </c>
      <c r="H58" s="549">
        <v>1.3763209566114254</v>
      </c>
      <c r="I58" s="549">
        <v>0.94812667427335662</v>
      </c>
      <c r="J58" s="549" t="s">
        <v>741</v>
      </c>
    </row>
    <row r="59" spans="1:10" ht="135">
      <c r="A59" s="548">
        <v>57</v>
      </c>
      <c r="B59" s="549" t="s">
        <v>39</v>
      </c>
      <c r="C59" s="549" t="s">
        <v>112</v>
      </c>
      <c r="D59" s="549" t="s">
        <v>740</v>
      </c>
      <c r="E59" s="549">
        <v>3288.086214407957</v>
      </c>
      <c r="F59" s="549">
        <v>3288.086214407957</v>
      </c>
      <c r="G59" s="549">
        <v>3288.086214407957</v>
      </c>
      <c r="H59" s="549">
        <v>9864.2586432238713</v>
      </c>
      <c r="I59" s="549">
        <v>6795.3384685782694</v>
      </c>
      <c r="J59" s="549" t="s">
        <v>741</v>
      </c>
    </row>
    <row r="60" spans="1:10" ht="135">
      <c r="A60" s="548">
        <v>58</v>
      </c>
      <c r="B60" s="549" t="s">
        <v>39</v>
      </c>
      <c r="C60" s="549" t="s">
        <v>114</v>
      </c>
      <c r="D60" s="549" t="s">
        <v>740</v>
      </c>
      <c r="E60" s="549">
        <v>-5.4602621085363587</v>
      </c>
      <c r="F60" s="549">
        <v>-5.4602621085363587</v>
      </c>
      <c r="G60" s="549">
        <v>-5.4602621085363587</v>
      </c>
      <c r="H60" s="549">
        <v>-16.380786325609076</v>
      </c>
      <c r="I60" s="549">
        <v>-11.284475751296048</v>
      </c>
      <c r="J60" s="549" t="s">
        <v>741</v>
      </c>
    </row>
    <row r="61" spans="1:10" ht="135">
      <c r="A61" s="548">
        <v>59</v>
      </c>
      <c r="B61" s="549" t="s">
        <v>39</v>
      </c>
      <c r="C61" s="549" t="s">
        <v>108</v>
      </c>
      <c r="D61" s="549" t="s">
        <v>742</v>
      </c>
      <c r="E61" s="549" t="s">
        <v>743</v>
      </c>
      <c r="F61" s="549" t="s">
        <v>743</v>
      </c>
      <c r="G61" s="549" t="s">
        <v>743</v>
      </c>
      <c r="H61" s="549"/>
      <c r="I61" s="549"/>
      <c r="J61" s="549" t="s">
        <v>744</v>
      </c>
    </row>
    <row r="62" spans="1:10" ht="135">
      <c r="A62" s="548">
        <v>60</v>
      </c>
      <c r="B62" s="549" t="s">
        <v>39</v>
      </c>
      <c r="C62" s="549" t="s">
        <v>112</v>
      </c>
      <c r="D62" s="549" t="s">
        <v>742</v>
      </c>
      <c r="E62" s="549" t="s">
        <v>743</v>
      </c>
      <c r="F62" s="549" t="s">
        <v>743</v>
      </c>
      <c r="G62" s="549" t="s">
        <v>743</v>
      </c>
      <c r="H62" s="549"/>
      <c r="I62" s="549"/>
      <c r="J62" s="549" t="s">
        <v>744</v>
      </c>
    </row>
    <row r="63" spans="1:10" ht="135">
      <c r="A63" s="548">
        <v>61</v>
      </c>
      <c r="B63" s="549" t="s">
        <v>39</v>
      </c>
      <c r="C63" s="549" t="s">
        <v>114</v>
      </c>
      <c r="D63" s="549" t="s">
        <v>742</v>
      </c>
      <c r="E63" s="549" t="s">
        <v>743</v>
      </c>
      <c r="F63" s="549" t="s">
        <v>743</v>
      </c>
      <c r="G63" s="549" t="s">
        <v>743</v>
      </c>
      <c r="H63" s="549"/>
      <c r="I63" s="549"/>
      <c r="J63" s="549" t="s">
        <v>744</v>
      </c>
    </row>
    <row r="64" spans="1:10" ht="120">
      <c r="A64" s="548">
        <v>62</v>
      </c>
      <c r="B64" s="549" t="s">
        <v>39</v>
      </c>
      <c r="C64" s="549" t="s">
        <v>108</v>
      </c>
      <c r="D64" s="549" t="s">
        <v>745</v>
      </c>
      <c r="E64" s="549">
        <v>1.47</v>
      </c>
      <c r="F64" s="549">
        <v>1.47</v>
      </c>
      <c r="G64" s="549">
        <v>1.47</v>
      </c>
      <c r="H64" s="549">
        <v>4.41</v>
      </c>
      <c r="I64" s="549">
        <v>2.96</v>
      </c>
      <c r="J64" s="549" t="s">
        <v>131</v>
      </c>
    </row>
    <row r="65" spans="1:10" ht="120">
      <c r="A65" s="548">
        <v>63</v>
      </c>
      <c r="B65" s="549" t="s">
        <v>39</v>
      </c>
      <c r="C65" s="549" t="s">
        <v>112</v>
      </c>
      <c r="D65" s="549" t="s">
        <v>745</v>
      </c>
      <c r="E65" s="549">
        <v>70.650000000000006</v>
      </c>
      <c r="F65" s="549">
        <v>70.650000000000006</v>
      </c>
      <c r="G65" s="549">
        <v>70.650000000000006</v>
      </c>
      <c r="H65" s="549">
        <v>211.95000000000002</v>
      </c>
      <c r="I65" s="549">
        <v>153.78</v>
      </c>
      <c r="J65" s="549" t="s">
        <v>131</v>
      </c>
    </row>
    <row r="66" spans="1:10" ht="120">
      <c r="A66" s="548">
        <v>64</v>
      </c>
      <c r="B66" s="549" t="s">
        <v>39</v>
      </c>
      <c r="C66" s="549" t="s">
        <v>114</v>
      </c>
      <c r="D66" s="549" t="s">
        <v>745</v>
      </c>
      <c r="E66" s="549">
        <v>2.06</v>
      </c>
      <c r="F66" s="549">
        <v>2.06</v>
      </c>
      <c r="G66" s="549">
        <v>2.06</v>
      </c>
      <c r="H66" s="549">
        <v>6.18</v>
      </c>
      <c r="I66" s="549">
        <v>4.32</v>
      </c>
      <c r="J66" s="549" t="s">
        <v>131</v>
      </c>
    </row>
    <row r="67" spans="1:10" ht="135">
      <c r="A67" s="548">
        <v>65</v>
      </c>
      <c r="B67" s="549" t="s">
        <v>39</v>
      </c>
      <c r="C67" s="549" t="s">
        <v>108</v>
      </c>
      <c r="D67" s="549" t="s">
        <v>746</v>
      </c>
      <c r="E67" s="549" t="s">
        <v>743</v>
      </c>
      <c r="F67" s="549" t="s">
        <v>743</v>
      </c>
      <c r="G67" s="549" t="s">
        <v>743</v>
      </c>
      <c r="H67" s="549"/>
      <c r="I67" s="549"/>
      <c r="J67" s="549" t="s">
        <v>747</v>
      </c>
    </row>
    <row r="68" spans="1:10" ht="135">
      <c r="A68" s="548">
        <v>66</v>
      </c>
      <c r="B68" s="549" t="s">
        <v>39</v>
      </c>
      <c r="C68" s="549" t="s">
        <v>112</v>
      </c>
      <c r="D68" s="549" t="s">
        <v>746</v>
      </c>
      <c r="E68" s="549" t="s">
        <v>743</v>
      </c>
      <c r="F68" s="549" t="s">
        <v>743</v>
      </c>
      <c r="G68" s="549" t="s">
        <v>743</v>
      </c>
      <c r="H68" s="549"/>
      <c r="I68" s="549"/>
      <c r="J68" s="549" t="s">
        <v>747</v>
      </c>
    </row>
    <row r="69" spans="1:10" ht="135">
      <c r="A69" s="548">
        <v>67</v>
      </c>
      <c r="B69" s="549" t="s">
        <v>39</v>
      </c>
      <c r="C69" s="549" t="s">
        <v>114</v>
      </c>
      <c r="D69" s="549" t="s">
        <v>746</v>
      </c>
      <c r="E69" s="549" t="s">
        <v>743</v>
      </c>
      <c r="F69" s="549" t="s">
        <v>743</v>
      </c>
      <c r="G69" s="549" t="s">
        <v>743</v>
      </c>
      <c r="H69" s="549"/>
      <c r="I69" s="549"/>
      <c r="J69" s="549" t="s">
        <v>747</v>
      </c>
    </row>
    <row r="70" spans="1:10" ht="210">
      <c r="A70" s="548">
        <v>68</v>
      </c>
      <c r="B70" s="549" t="s">
        <v>39</v>
      </c>
      <c r="C70" s="549" t="s">
        <v>142</v>
      </c>
      <c r="D70" s="549" t="s">
        <v>748</v>
      </c>
      <c r="E70" s="549">
        <v>0.7</v>
      </c>
      <c r="F70" s="549">
        <v>0.7</v>
      </c>
      <c r="G70" s="549">
        <v>0.7</v>
      </c>
      <c r="H70" s="549">
        <v>2.0999999999999996</v>
      </c>
      <c r="I70" s="549">
        <v>1.42</v>
      </c>
      <c r="J70" s="549" t="s">
        <v>749</v>
      </c>
    </row>
    <row r="71" spans="1:10" ht="165">
      <c r="A71" s="548">
        <v>69</v>
      </c>
      <c r="B71" s="549" t="s">
        <v>39</v>
      </c>
      <c r="C71" s="549" t="s">
        <v>142</v>
      </c>
      <c r="D71" s="549" t="s">
        <v>149</v>
      </c>
      <c r="E71" s="549">
        <v>8.1084387646647351E-3</v>
      </c>
      <c r="F71" s="549">
        <v>8.1084387646647351E-3</v>
      </c>
      <c r="G71" s="549">
        <v>8.1084387646647351E-3</v>
      </c>
      <c r="H71" s="549">
        <v>2.4325316293994204E-2</v>
      </c>
      <c r="I71" s="549">
        <v>1.6757342193826446E-2</v>
      </c>
      <c r="J71" s="549" t="s">
        <v>750</v>
      </c>
    </row>
    <row r="72" spans="1:10" ht="150">
      <c r="A72" s="548">
        <v>70</v>
      </c>
      <c r="B72" s="549" t="s">
        <v>39</v>
      </c>
      <c r="C72" s="549" t="s">
        <v>142</v>
      </c>
      <c r="D72" s="549" t="s">
        <v>154</v>
      </c>
      <c r="E72" s="549">
        <v>8.1084387646647351E-3</v>
      </c>
      <c r="F72" s="549">
        <v>8.1084387646647351E-3</v>
      </c>
      <c r="G72" s="549">
        <v>8.1084387646647351E-3</v>
      </c>
      <c r="H72" s="549">
        <v>2.4325316293994204E-2</v>
      </c>
      <c r="I72" s="549">
        <v>1.6757342193826446E-2</v>
      </c>
      <c r="J72" s="549" t="s">
        <v>751</v>
      </c>
    </row>
    <row r="73" spans="1:10" ht="60">
      <c r="A73" s="548">
        <v>71</v>
      </c>
      <c r="B73" s="549" t="s">
        <v>39</v>
      </c>
      <c r="C73" s="549" t="s">
        <v>92</v>
      </c>
      <c r="D73" s="549" t="s">
        <v>93</v>
      </c>
      <c r="E73" s="549">
        <v>233.49104225851681</v>
      </c>
      <c r="F73" s="549">
        <v>233.49104225851681</v>
      </c>
      <c r="G73" s="549">
        <v>233.49104225851681</v>
      </c>
      <c r="H73" s="549">
        <v>700.47312677555044</v>
      </c>
      <c r="I73" s="549">
        <v>464.64717409444847</v>
      </c>
      <c r="J73" s="549" t="s">
        <v>738</v>
      </c>
    </row>
    <row r="74" spans="1:10" ht="60">
      <c r="A74" s="548">
        <v>72</v>
      </c>
      <c r="B74" s="549" t="s">
        <v>39</v>
      </c>
      <c r="C74" s="549" t="s">
        <v>95</v>
      </c>
      <c r="D74" s="549" t="s">
        <v>93</v>
      </c>
      <c r="E74" s="549">
        <v>5.1659215319599487E-2</v>
      </c>
      <c r="F74" s="549">
        <v>5.1659215319599487E-2</v>
      </c>
      <c r="G74" s="549">
        <v>5.1659215319599487E-2</v>
      </c>
      <c r="H74" s="549">
        <v>0.15497764595879845</v>
      </c>
      <c r="I74" s="549">
        <v>0.10280183848600298</v>
      </c>
      <c r="J74" s="549" t="s">
        <v>738</v>
      </c>
    </row>
    <row r="75" spans="1:10" ht="75">
      <c r="A75" s="548">
        <v>73</v>
      </c>
      <c r="B75" s="549" t="s">
        <v>39</v>
      </c>
      <c r="C75" s="549" t="s">
        <v>96</v>
      </c>
      <c r="D75" s="549" t="s">
        <v>93</v>
      </c>
      <c r="E75" s="549">
        <v>0.13266795330321654</v>
      </c>
      <c r="F75" s="549">
        <v>0.13266795330321654</v>
      </c>
      <c r="G75" s="549">
        <v>0.13266795330321654</v>
      </c>
      <c r="H75" s="549">
        <v>0.39800385990964959</v>
      </c>
      <c r="I75" s="549">
        <v>0.26400922707340091</v>
      </c>
      <c r="J75" s="549" t="s">
        <v>738</v>
      </c>
    </row>
    <row r="76" spans="1:10" ht="60">
      <c r="A76" s="548">
        <v>74</v>
      </c>
      <c r="B76" s="549" t="s">
        <v>39</v>
      </c>
      <c r="C76" s="549" t="s">
        <v>97</v>
      </c>
      <c r="D76" s="549" t="s">
        <v>93</v>
      </c>
      <c r="E76" s="549">
        <v>357.02014108757282</v>
      </c>
      <c r="F76" s="549">
        <v>357.02014108757282</v>
      </c>
      <c r="G76" s="549">
        <v>357.02014108757282</v>
      </c>
      <c r="H76" s="549">
        <v>1071.0604232627184</v>
      </c>
      <c r="I76" s="549">
        <v>710.47008076426994</v>
      </c>
      <c r="J76" s="549" t="s">
        <v>738</v>
      </c>
    </row>
    <row r="77" spans="1:10" ht="60">
      <c r="A77" s="548">
        <v>75</v>
      </c>
      <c r="B77" s="549" t="s">
        <v>39</v>
      </c>
      <c r="C77" s="549" t="s">
        <v>98</v>
      </c>
      <c r="D77" s="549" t="s">
        <v>93</v>
      </c>
      <c r="E77" s="549">
        <v>7.8989669854043293E-2</v>
      </c>
      <c r="F77" s="549">
        <v>7.8989669854043293E-2</v>
      </c>
      <c r="G77" s="549">
        <v>7.8989669854043293E-2</v>
      </c>
      <c r="H77" s="549">
        <v>0.23696900956212988</v>
      </c>
      <c r="I77" s="549">
        <v>0.15718944300954615</v>
      </c>
      <c r="J77" s="549" t="s">
        <v>738</v>
      </c>
    </row>
    <row r="78" spans="1:10" ht="75">
      <c r="A78" s="548">
        <v>76</v>
      </c>
      <c r="B78" s="549" t="s">
        <v>39</v>
      </c>
      <c r="C78" s="549" t="s">
        <v>99</v>
      </c>
      <c r="D78" s="549" t="s">
        <v>93</v>
      </c>
      <c r="E78" s="549">
        <v>0.20285631066596607</v>
      </c>
      <c r="F78" s="549">
        <v>0.20285631066596607</v>
      </c>
      <c r="G78" s="549">
        <v>0.20285631066596607</v>
      </c>
      <c r="H78" s="549">
        <v>0.60856893199789819</v>
      </c>
      <c r="I78" s="549">
        <v>0.40368405822527248</v>
      </c>
      <c r="J78" s="549" t="s">
        <v>738</v>
      </c>
    </row>
    <row r="79" spans="1:10" ht="75">
      <c r="A79" s="548">
        <v>77</v>
      </c>
      <c r="B79" s="549" t="s">
        <v>39</v>
      </c>
      <c r="C79" s="549" t="s">
        <v>752</v>
      </c>
      <c r="D79" s="549" t="s">
        <v>163</v>
      </c>
      <c r="E79" s="549" t="s">
        <v>1881</v>
      </c>
      <c r="F79" s="549" t="s">
        <v>1881</v>
      </c>
      <c r="G79" s="549" t="s">
        <v>1881</v>
      </c>
      <c r="H79" s="549"/>
      <c r="I79" s="549"/>
      <c r="J79" s="549" t="s">
        <v>753</v>
      </c>
    </row>
    <row r="80" spans="1:10" ht="45">
      <c r="A80" s="548">
        <v>78</v>
      </c>
      <c r="B80" s="549" t="s">
        <v>39</v>
      </c>
      <c r="C80" s="549" t="s">
        <v>52</v>
      </c>
      <c r="D80" s="549" t="s">
        <v>53</v>
      </c>
      <c r="E80" s="549">
        <v>2045.6073286677167</v>
      </c>
      <c r="F80" s="549">
        <v>2045.6073286677167</v>
      </c>
      <c r="G80" s="549">
        <v>2045.6073286677167</v>
      </c>
      <c r="H80" s="549">
        <v>6136.8219860031504</v>
      </c>
      <c r="I80" s="549">
        <v>4278.0271282258254</v>
      </c>
      <c r="J80" s="549" t="s">
        <v>766</v>
      </c>
    </row>
    <row r="81" spans="1:10" ht="45">
      <c r="A81" s="548">
        <v>79</v>
      </c>
      <c r="B81" s="549" t="s">
        <v>39</v>
      </c>
      <c r="C81" s="549" t="s">
        <v>55</v>
      </c>
      <c r="D81" s="549" t="s">
        <v>53</v>
      </c>
      <c r="E81" s="549">
        <v>1879.2156065807903</v>
      </c>
      <c r="F81" s="549">
        <v>1879.2156065807903</v>
      </c>
      <c r="G81" s="549">
        <v>1879.2156065807903</v>
      </c>
      <c r="H81" s="549">
        <v>5637.646819742371</v>
      </c>
      <c r="I81" s="549">
        <v>3939.3452955908119</v>
      </c>
      <c r="J81" s="549" t="s">
        <v>766</v>
      </c>
    </row>
    <row r="82" spans="1:10" ht="60">
      <c r="A82" s="548">
        <v>80</v>
      </c>
      <c r="B82" s="549" t="s">
        <v>39</v>
      </c>
      <c r="C82" s="549" t="s">
        <v>56</v>
      </c>
      <c r="D82" s="549" t="s">
        <v>53</v>
      </c>
      <c r="E82" s="549">
        <v>4163975.6682137055</v>
      </c>
      <c r="F82" s="549">
        <v>4163975.6682137055</v>
      </c>
      <c r="G82" s="549">
        <v>4163975.6682137055</v>
      </c>
      <c r="H82" s="549">
        <v>12491927.004641116</v>
      </c>
      <c r="I82" s="549">
        <v>8605499.4289531801</v>
      </c>
      <c r="J82" s="549" t="s">
        <v>766</v>
      </c>
    </row>
    <row r="83" spans="1:10" ht="45">
      <c r="A83" s="548">
        <v>81</v>
      </c>
      <c r="B83" s="549" t="s">
        <v>39</v>
      </c>
      <c r="C83" s="549" t="s">
        <v>57</v>
      </c>
      <c r="D83" s="549" t="s">
        <v>53</v>
      </c>
      <c r="E83" s="549">
        <v>3152613.0685632708</v>
      </c>
      <c r="F83" s="549">
        <v>3152613.0685632708</v>
      </c>
      <c r="G83" s="549">
        <v>3152613.0685632708</v>
      </c>
      <c r="H83" s="549">
        <v>9457839.2056898121</v>
      </c>
      <c r="I83" s="549">
        <v>6519380.6454094453</v>
      </c>
      <c r="J83" s="549" t="s">
        <v>766</v>
      </c>
    </row>
    <row r="84" spans="1:10" ht="60">
      <c r="A84" s="548">
        <v>82</v>
      </c>
      <c r="B84" s="549" t="s">
        <v>39</v>
      </c>
      <c r="C84" s="549" t="s">
        <v>58</v>
      </c>
      <c r="D84" s="549" t="s">
        <v>53</v>
      </c>
      <c r="E84" s="549">
        <v>50326.729533214566</v>
      </c>
      <c r="F84" s="549">
        <v>50326.729533214566</v>
      </c>
      <c r="G84" s="549">
        <v>50326.729533214566</v>
      </c>
      <c r="H84" s="549">
        <v>150980.1885996437</v>
      </c>
      <c r="I84" s="549">
        <v>108814.75295155354</v>
      </c>
      <c r="J84" s="549" t="s">
        <v>766</v>
      </c>
    </row>
    <row r="85" spans="1:10" ht="60">
      <c r="A85" s="548">
        <v>83</v>
      </c>
      <c r="B85" s="549" t="s">
        <v>39</v>
      </c>
      <c r="C85" s="549" t="s">
        <v>60</v>
      </c>
      <c r="D85" s="549" t="s">
        <v>53</v>
      </c>
      <c r="E85" s="549">
        <v>39616.648223838019</v>
      </c>
      <c r="F85" s="549">
        <v>39616.648223838019</v>
      </c>
      <c r="G85" s="549">
        <v>39616.648223838019</v>
      </c>
      <c r="H85" s="549">
        <v>118849.94467151407</v>
      </c>
      <c r="I85" s="549">
        <v>84029.650585349285</v>
      </c>
      <c r="J85" s="549" t="s">
        <v>766</v>
      </c>
    </row>
    <row r="86" spans="1:10" ht="45">
      <c r="A86" s="548">
        <v>84</v>
      </c>
      <c r="B86" s="549" t="s">
        <v>39</v>
      </c>
      <c r="C86" s="549" t="s">
        <v>61</v>
      </c>
      <c r="D86" s="549" t="s">
        <v>53</v>
      </c>
      <c r="E86" s="549">
        <v>7306.4063528787756</v>
      </c>
      <c r="F86" s="549">
        <v>7306.4063528787756</v>
      </c>
      <c r="G86" s="549">
        <v>7306.4063528787756</v>
      </c>
      <c r="H86" s="549">
        <v>21919.219058636329</v>
      </c>
      <c r="I86" s="549">
        <v>15280.060913652613</v>
      </c>
      <c r="J86" s="549" t="s">
        <v>766</v>
      </c>
    </row>
    <row r="87" spans="1:10" ht="45">
      <c r="A87" s="548">
        <v>85</v>
      </c>
      <c r="B87" s="549" t="s">
        <v>39</v>
      </c>
      <c r="C87" s="549" t="s">
        <v>62</v>
      </c>
      <c r="D87" s="549" t="s">
        <v>53</v>
      </c>
      <c r="E87" s="549">
        <v>5396.1399023338818</v>
      </c>
      <c r="F87" s="549">
        <v>5396.1399023338818</v>
      </c>
      <c r="G87" s="549">
        <v>5396.1399023338818</v>
      </c>
      <c r="H87" s="549">
        <v>16188.419707001645</v>
      </c>
      <c r="I87" s="549">
        <v>11311.771924503202</v>
      </c>
      <c r="J87" s="549" t="s">
        <v>766</v>
      </c>
    </row>
    <row r="88" spans="1:10" ht="60">
      <c r="A88" s="548">
        <v>86</v>
      </c>
      <c r="B88" s="549" t="s">
        <v>39</v>
      </c>
      <c r="C88" s="549" t="s">
        <v>63</v>
      </c>
      <c r="D88" s="549" t="s">
        <v>53</v>
      </c>
      <c r="E88" s="549">
        <v>34835587.671396069</v>
      </c>
      <c r="F88" s="549">
        <v>34835587.671396069</v>
      </c>
      <c r="G88" s="549">
        <v>34835587.671396069</v>
      </c>
      <c r="H88" s="549">
        <v>104506763.0141882</v>
      </c>
      <c r="I88" s="549">
        <v>71993127.169748381</v>
      </c>
      <c r="J88" s="549" t="s">
        <v>766</v>
      </c>
    </row>
    <row r="89" spans="1:10" ht="45">
      <c r="A89" s="548">
        <v>87</v>
      </c>
      <c r="B89" s="549" t="s">
        <v>39</v>
      </c>
      <c r="C89" s="549" t="s">
        <v>64</v>
      </c>
      <c r="D89" s="549" t="s">
        <v>53</v>
      </c>
      <c r="E89" s="549">
        <v>21815455.059507266</v>
      </c>
      <c r="F89" s="549">
        <v>21815455.059507266</v>
      </c>
      <c r="G89" s="549">
        <v>21815455.059507266</v>
      </c>
      <c r="H89" s="549">
        <v>65446365.178521797</v>
      </c>
      <c r="I89" s="549">
        <v>45112816.699248835</v>
      </c>
      <c r="J89" s="549" t="s">
        <v>766</v>
      </c>
    </row>
    <row r="90" spans="1:10" ht="60">
      <c r="A90" s="548">
        <v>88</v>
      </c>
      <c r="B90" s="549" t="s">
        <v>39</v>
      </c>
      <c r="C90" s="549" t="s">
        <v>65</v>
      </c>
      <c r="D90" s="549" t="s">
        <v>53</v>
      </c>
      <c r="E90" s="549">
        <v>195129.59938028964</v>
      </c>
      <c r="F90" s="549">
        <v>195129.59938028964</v>
      </c>
      <c r="G90" s="549">
        <v>195129.59938028964</v>
      </c>
      <c r="H90" s="549">
        <v>585388.79814086889</v>
      </c>
      <c r="I90" s="549">
        <v>421902.62206663995</v>
      </c>
      <c r="J90" s="549" t="s">
        <v>766</v>
      </c>
    </row>
    <row r="91" spans="1:10" ht="60">
      <c r="A91" s="548">
        <v>89</v>
      </c>
      <c r="B91" s="549" t="s">
        <v>39</v>
      </c>
      <c r="C91" s="549" t="s">
        <v>66</v>
      </c>
      <c r="D91" s="549" t="s">
        <v>53</v>
      </c>
      <c r="E91" s="549">
        <v>120004.51135934365</v>
      </c>
      <c r="F91" s="549">
        <v>120004.51135934365</v>
      </c>
      <c r="G91" s="549">
        <v>120004.51135934365</v>
      </c>
      <c r="H91" s="549">
        <v>360013.53407803096</v>
      </c>
      <c r="I91" s="549">
        <v>254537.86754538078</v>
      </c>
      <c r="J91" s="549" t="s">
        <v>766</v>
      </c>
    </row>
    <row r="92" spans="1:10" ht="45">
      <c r="A92" s="548">
        <v>90</v>
      </c>
      <c r="B92" s="549" t="s">
        <v>39</v>
      </c>
      <c r="C92" s="549" t="s">
        <v>52</v>
      </c>
      <c r="D92" s="549" t="s">
        <v>53</v>
      </c>
      <c r="E92" s="549">
        <v>174.5346430703155</v>
      </c>
      <c r="F92" s="549">
        <v>174.5346430703155</v>
      </c>
      <c r="G92" s="549">
        <v>174.5346430703155</v>
      </c>
      <c r="H92" s="549">
        <v>523.60392921094649</v>
      </c>
      <c r="I92" s="549">
        <v>365.00843901273851</v>
      </c>
      <c r="J92" s="549" t="s">
        <v>766</v>
      </c>
    </row>
    <row r="93" spans="1:10" ht="45">
      <c r="A93" s="548">
        <v>91</v>
      </c>
      <c r="B93" s="549" t="s">
        <v>39</v>
      </c>
      <c r="C93" s="549" t="s">
        <v>55</v>
      </c>
      <c r="D93" s="549" t="s">
        <v>53</v>
      </c>
      <c r="E93" s="549">
        <v>160.33782268484541</v>
      </c>
      <c r="F93" s="549">
        <v>160.33782268484541</v>
      </c>
      <c r="G93" s="549">
        <v>160.33782268484541</v>
      </c>
      <c r="H93" s="549">
        <v>481.01346805453625</v>
      </c>
      <c r="I93" s="549">
        <v>336.11153786023272</v>
      </c>
      <c r="J93" s="549" t="s">
        <v>766</v>
      </c>
    </row>
    <row r="94" spans="1:10" ht="60">
      <c r="A94" s="548">
        <v>92</v>
      </c>
      <c r="B94" s="549" t="s">
        <v>39</v>
      </c>
      <c r="C94" s="549" t="s">
        <v>56</v>
      </c>
      <c r="D94" s="549" t="s">
        <v>53</v>
      </c>
      <c r="E94" s="549">
        <v>355277.37744197831</v>
      </c>
      <c r="F94" s="549">
        <v>355277.37744197831</v>
      </c>
      <c r="G94" s="549">
        <v>355277.37744197831</v>
      </c>
      <c r="H94" s="549">
        <v>1065832.1323259349</v>
      </c>
      <c r="I94" s="549">
        <v>734235.62294937449</v>
      </c>
      <c r="J94" s="549" t="s">
        <v>766</v>
      </c>
    </row>
    <row r="95" spans="1:10" ht="45">
      <c r="A95" s="548">
        <v>93</v>
      </c>
      <c r="B95" s="549" t="s">
        <v>39</v>
      </c>
      <c r="C95" s="549" t="s">
        <v>57</v>
      </c>
      <c r="D95" s="549" t="s">
        <v>53</v>
      </c>
      <c r="E95" s="549">
        <v>268986.22670601611</v>
      </c>
      <c r="F95" s="549">
        <v>268986.22670601611</v>
      </c>
      <c r="G95" s="549">
        <v>268986.22670601611</v>
      </c>
      <c r="H95" s="549">
        <v>806958.68011804833</v>
      </c>
      <c r="I95" s="549">
        <v>556244.47470430972</v>
      </c>
      <c r="J95" s="549" t="s">
        <v>766</v>
      </c>
    </row>
    <row r="96" spans="1:10" ht="60">
      <c r="A96" s="548">
        <v>94</v>
      </c>
      <c r="B96" s="549" t="s">
        <v>39</v>
      </c>
      <c r="C96" s="549" t="s">
        <v>58</v>
      </c>
      <c r="D96" s="549" t="s">
        <v>53</v>
      </c>
      <c r="E96" s="549">
        <v>4293.9608461887365</v>
      </c>
      <c r="F96" s="549">
        <v>4293.9608461887365</v>
      </c>
      <c r="G96" s="549">
        <v>4293.9608461887365</v>
      </c>
      <c r="H96" s="549">
        <v>12881.882538566209</v>
      </c>
      <c r="I96" s="549">
        <v>9284.2569544142261</v>
      </c>
      <c r="J96" s="549" t="s">
        <v>766</v>
      </c>
    </row>
    <row r="97" spans="1:10" ht="60">
      <c r="A97" s="548">
        <v>95</v>
      </c>
      <c r="B97" s="549" t="s">
        <v>39</v>
      </c>
      <c r="C97" s="549" t="s">
        <v>60</v>
      </c>
      <c r="D97" s="549" t="s">
        <v>53</v>
      </c>
      <c r="E97" s="549">
        <v>3380.1587726482899</v>
      </c>
      <c r="F97" s="549">
        <v>3380.1587726482899</v>
      </c>
      <c r="G97" s="549">
        <v>3380.1587726482899</v>
      </c>
      <c r="H97" s="549">
        <v>10140.476317944869</v>
      </c>
      <c r="I97" s="549">
        <v>7169.5505128000968</v>
      </c>
      <c r="J97" s="549" t="s">
        <v>766</v>
      </c>
    </row>
    <row r="98" spans="1:10" ht="45">
      <c r="A98" s="548">
        <v>96</v>
      </c>
      <c r="B98" s="549" t="s">
        <v>39</v>
      </c>
      <c r="C98" s="549" t="s">
        <v>61</v>
      </c>
      <c r="D98" s="549" t="s">
        <v>53</v>
      </c>
      <c r="E98" s="549">
        <v>623.39482610131301</v>
      </c>
      <c r="F98" s="549">
        <v>623.39482610131301</v>
      </c>
      <c r="G98" s="549">
        <v>623.39482610131301</v>
      </c>
      <c r="H98" s="549">
        <v>1870.1844783039392</v>
      </c>
      <c r="I98" s="549">
        <v>1303.7203867440007</v>
      </c>
      <c r="J98" s="549" t="s">
        <v>766</v>
      </c>
    </row>
    <row r="99" spans="1:10" ht="45">
      <c r="A99" s="548">
        <v>97</v>
      </c>
      <c r="B99" s="549" t="s">
        <v>39</v>
      </c>
      <c r="C99" s="549" t="s">
        <v>62</v>
      </c>
      <c r="D99" s="549" t="s">
        <v>53</v>
      </c>
      <c r="E99" s="549">
        <v>460.40769340845327</v>
      </c>
      <c r="F99" s="549">
        <v>460.40769340845327</v>
      </c>
      <c r="G99" s="549">
        <v>460.40769340845327</v>
      </c>
      <c r="H99" s="549">
        <v>1381.2230802253598</v>
      </c>
      <c r="I99" s="549">
        <v>965.13932447720617</v>
      </c>
      <c r="J99" s="549" t="s">
        <v>766</v>
      </c>
    </row>
    <row r="100" spans="1:10" ht="60">
      <c r="A100" s="548">
        <v>98</v>
      </c>
      <c r="B100" s="549" t="s">
        <v>39</v>
      </c>
      <c r="C100" s="549" t="s">
        <v>63</v>
      </c>
      <c r="D100" s="549" t="s">
        <v>53</v>
      </c>
      <c r="E100" s="549">
        <v>2972230.6794489478</v>
      </c>
      <c r="F100" s="549">
        <v>2972230.6794489478</v>
      </c>
      <c r="G100" s="549">
        <v>2972230.6794489478</v>
      </c>
      <c r="H100" s="549">
        <v>8916692.0383468438</v>
      </c>
      <c r="I100" s="549">
        <v>6142574.1773576429</v>
      </c>
      <c r="J100" s="549" t="s">
        <v>766</v>
      </c>
    </row>
    <row r="101" spans="1:10" ht="45">
      <c r="A101" s="548">
        <v>99</v>
      </c>
      <c r="B101" s="549" t="s">
        <v>39</v>
      </c>
      <c r="C101" s="549" t="s">
        <v>64</v>
      </c>
      <c r="D101" s="549" t="s">
        <v>53</v>
      </c>
      <c r="E101" s="549">
        <v>1861331.1601241818</v>
      </c>
      <c r="F101" s="549">
        <v>1861331.1601241818</v>
      </c>
      <c r="G101" s="549">
        <v>1861331.1601241818</v>
      </c>
      <c r="H101" s="549">
        <v>5583993.4803725453</v>
      </c>
      <c r="I101" s="549">
        <v>3849101.0714299981</v>
      </c>
      <c r="J101" s="549" t="s">
        <v>766</v>
      </c>
    </row>
    <row r="102" spans="1:10" ht="60">
      <c r="A102" s="548">
        <v>100</v>
      </c>
      <c r="B102" s="549" t="s">
        <v>39</v>
      </c>
      <c r="C102" s="549" t="s">
        <v>65</v>
      </c>
      <c r="D102" s="549" t="s">
        <v>53</v>
      </c>
      <c r="E102" s="549">
        <v>16648.784203600502</v>
      </c>
      <c r="F102" s="549">
        <v>16648.784203600502</v>
      </c>
      <c r="G102" s="549">
        <v>16648.784203600502</v>
      </c>
      <c r="H102" s="549">
        <v>49946.352610801507</v>
      </c>
      <c r="I102" s="549">
        <v>35997.438277066591</v>
      </c>
      <c r="J102" s="549" t="s">
        <v>766</v>
      </c>
    </row>
    <row r="103" spans="1:10" ht="60">
      <c r="A103" s="548">
        <v>101</v>
      </c>
      <c r="B103" s="549" t="s">
        <v>39</v>
      </c>
      <c r="C103" s="549" t="s">
        <v>66</v>
      </c>
      <c r="D103" s="549" t="s">
        <v>53</v>
      </c>
      <c r="E103" s="549">
        <v>10238.98588130885</v>
      </c>
      <c r="F103" s="549">
        <v>10238.98588130885</v>
      </c>
      <c r="G103" s="549">
        <v>10238.98588130885</v>
      </c>
      <c r="H103" s="549">
        <v>30716.957643926551</v>
      </c>
      <c r="I103" s="549">
        <v>21717.597134757172</v>
      </c>
      <c r="J103" s="549" t="s">
        <v>766</v>
      </c>
    </row>
    <row r="104" spans="1:10" ht="45">
      <c r="A104" s="548">
        <v>102</v>
      </c>
      <c r="B104" s="549" t="s">
        <v>39</v>
      </c>
      <c r="C104" s="549" t="s">
        <v>52</v>
      </c>
      <c r="D104" s="549" t="s">
        <v>53</v>
      </c>
      <c r="E104" s="549">
        <v>2220.1419717380322</v>
      </c>
      <c r="F104" s="549">
        <v>2220.1419717380322</v>
      </c>
      <c r="G104" s="549">
        <v>2220.1419717380322</v>
      </c>
      <c r="H104" s="549">
        <v>6660.4259152140967</v>
      </c>
      <c r="I104" s="549">
        <v>4643.035567238564</v>
      </c>
      <c r="J104" s="549" t="s">
        <v>766</v>
      </c>
    </row>
    <row r="105" spans="1:10" ht="45">
      <c r="A105" s="548">
        <v>103</v>
      </c>
      <c r="B105" s="549" t="s">
        <v>39</v>
      </c>
      <c r="C105" s="549" t="s">
        <v>55</v>
      </c>
      <c r="D105" s="549" t="s">
        <v>53</v>
      </c>
      <c r="E105" s="549">
        <v>2039.5534292656355</v>
      </c>
      <c r="F105" s="549">
        <v>2039.5534292656355</v>
      </c>
      <c r="G105" s="549">
        <v>2039.5534292656355</v>
      </c>
      <c r="H105" s="549">
        <v>6118.6602877969062</v>
      </c>
      <c r="I105" s="549">
        <v>4275.4568334510441</v>
      </c>
      <c r="J105" s="549" t="s">
        <v>766</v>
      </c>
    </row>
    <row r="106" spans="1:10" ht="60">
      <c r="A106" s="548">
        <v>104</v>
      </c>
      <c r="B106" s="549" t="s">
        <v>39</v>
      </c>
      <c r="C106" s="549" t="s">
        <v>56</v>
      </c>
      <c r="D106" s="549" t="s">
        <v>53</v>
      </c>
      <c r="E106" s="549">
        <v>4519253.0456556836</v>
      </c>
      <c r="F106" s="549">
        <v>4519253.0456556836</v>
      </c>
      <c r="G106" s="549">
        <v>4519253.0456556836</v>
      </c>
      <c r="H106" s="549">
        <v>13557759.136967052</v>
      </c>
      <c r="I106" s="549">
        <v>9339735.0519025531</v>
      </c>
      <c r="J106" s="549" t="s">
        <v>766</v>
      </c>
    </row>
    <row r="107" spans="1:10" ht="45">
      <c r="A107" s="548">
        <v>105</v>
      </c>
      <c r="B107" s="549" t="s">
        <v>39</v>
      </c>
      <c r="C107" s="549" t="s">
        <v>57</v>
      </c>
      <c r="D107" s="549" t="s">
        <v>53</v>
      </c>
      <c r="E107" s="549">
        <v>3421599.2952692867</v>
      </c>
      <c r="F107" s="549">
        <v>3421599.2952692867</v>
      </c>
      <c r="G107" s="549">
        <v>3421599.2952692867</v>
      </c>
      <c r="H107" s="549">
        <v>10264797.885807861</v>
      </c>
      <c r="I107" s="549">
        <v>7075625.1201137546</v>
      </c>
      <c r="J107" s="549" t="s">
        <v>766</v>
      </c>
    </row>
    <row r="108" spans="1:10" ht="60">
      <c r="A108" s="548">
        <v>106</v>
      </c>
      <c r="B108" s="549" t="s">
        <v>39</v>
      </c>
      <c r="C108" s="549" t="s">
        <v>58</v>
      </c>
      <c r="D108" s="549" t="s">
        <v>53</v>
      </c>
      <c r="E108" s="549">
        <v>54620.690379403299</v>
      </c>
      <c r="F108" s="549">
        <v>54620.690379403299</v>
      </c>
      <c r="G108" s="549">
        <v>54620.690379403299</v>
      </c>
      <c r="H108" s="549">
        <v>163862.0711382099</v>
      </c>
      <c r="I108" s="549">
        <v>118099.00990596776</v>
      </c>
      <c r="J108" s="549" t="s">
        <v>766</v>
      </c>
    </row>
    <row r="109" spans="1:10" ht="60">
      <c r="A109" s="548">
        <v>107</v>
      </c>
      <c r="B109" s="549" t="s">
        <v>39</v>
      </c>
      <c r="C109" s="549" t="s">
        <v>60</v>
      </c>
      <c r="D109" s="549" t="s">
        <v>53</v>
      </c>
      <c r="E109" s="549">
        <v>42996.806996486303</v>
      </c>
      <c r="F109" s="549">
        <v>42996.806996486303</v>
      </c>
      <c r="G109" s="549">
        <v>42996.806996486303</v>
      </c>
      <c r="H109" s="549">
        <v>128990.42098945891</v>
      </c>
      <c r="I109" s="549">
        <v>91199.201098149366</v>
      </c>
      <c r="J109" s="549" t="s">
        <v>766</v>
      </c>
    </row>
    <row r="110" spans="1:10" ht="45">
      <c r="A110" s="548">
        <v>108</v>
      </c>
      <c r="B110" s="549" t="s">
        <v>39</v>
      </c>
      <c r="C110" s="549" t="s">
        <v>61</v>
      </c>
      <c r="D110" s="549" t="s">
        <v>53</v>
      </c>
      <c r="E110" s="549">
        <v>7929.8011789800885</v>
      </c>
      <c r="F110" s="549">
        <v>7929.8011789800885</v>
      </c>
      <c r="G110" s="549">
        <v>7929.8011789800885</v>
      </c>
      <c r="H110" s="549">
        <v>23789.403536940266</v>
      </c>
      <c r="I110" s="549">
        <v>16583.781300396615</v>
      </c>
      <c r="J110" s="549" t="s">
        <v>766</v>
      </c>
    </row>
    <row r="111" spans="1:10" ht="45">
      <c r="A111" s="548">
        <v>109</v>
      </c>
      <c r="B111" s="549" t="s">
        <v>39</v>
      </c>
      <c r="C111" s="549" t="s">
        <v>62</v>
      </c>
      <c r="D111" s="549" t="s">
        <v>53</v>
      </c>
      <c r="E111" s="549">
        <v>5856.5475957423359</v>
      </c>
      <c r="F111" s="549">
        <v>5856.5475957423359</v>
      </c>
      <c r="G111" s="549">
        <v>5856.5475957423359</v>
      </c>
      <c r="H111" s="549">
        <v>17569.642787227007</v>
      </c>
      <c r="I111" s="549">
        <v>12276.91124898041</v>
      </c>
      <c r="J111" s="549" t="s">
        <v>766</v>
      </c>
    </row>
    <row r="112" spans="1:10" ht="60">
      <c r="A112" s="548">
        <v>110</v>
      </c>
      <c r="B112" s="549" t="s">
        <v>39</v>
      </c>
      <c r="C112" s="549" t="s">
        <v>63</v>
      </c>
      <c r="D112" s="549" t="s">
        <v>53</v>
      </c>
      <c r="E112" s="549">
        <v>3419490.3110347735</v>
      </c>
      <c r="F112" s="549">
        <v>3419490.3110347735</v>
      </c>
      <c r="G112" s="549">
        <v>3419490.3110347735</v>
      </c>
      <c r="H112" s="549">
        <v>10258470.933104321</v>
      </c>
      <c r="I112" s="549">
        <v>7066905.3480670908</v>
      </c>
      <c r="J112" s="549" t="s">
        <v>766</v>
      </c>
    </row>
    <row r="113" spans="1:10" ht="45">
      <c r="A113" s="548">
        <v>111</v>
      </c>
      <c r="B113" s="549" t="s">
        <v>39</v>
      </c>
      <c r="C113" s="549" t="s">
        <v>64</v>
      </c>
      <c r="D113" s="549" t="s">
        <v>53</v>
      </c>
      <c r="E113" s="549">
        <v>23676786.219631448</v>
      </c>
      <c r="F113" s="549">
        <v>23676786.219631448</v>
      </c>
      <c r="G113" s="549">
        <v>23676786.219631448</v>
      </c>
      <c r="H113" s="549">
        <v>71030358.658894345</v>
      </c>
      <c r="I113" s="549">
        <v>48961917.770678833</v>
      </c>
      <c r="J113" s="549" t="s">
        <v>766</v>
      </c>
    </row>
    <row r="114" spans="1:10" ht="60">
      <c r="A114" s="548">
        <v>112</v>
      </c>
      <c r="B114" s="549" t="s">
        <v>39</v>
      </c>
      <c r="C114" s="549" t="s">
        <v>65</v>
      </c>
      <c r="D114" s="549" t="s">
        <v>53</v>
      </c>
      <c r="E114" s="549">
        <v>211778.38358389013</v>
      </c>
      <c r="F114" s="549">
        <v>211778.38358389013</v>
      </c>
      <c r="G114" s="549">
        <v>211778.38358389013</v>
      </c>
      <c r="H114" s="549">
        <v>635335.15075167036</v>
      </c>
      <c r="I114" s="549">
        <v>457900.06034370651</v>
      </c>
      <c r="J114" s="549" t="s">
        <v>766</v>
      </c>
    </row>
    <row r="115" spans="1:10" ht="60">
      <c r="A115" s="548">
        <v>113</v>
      </c>
      <c r="B115" s="549" t="s">
        <v>39</v>
      </c>
      <c r="C115" s="549" t="s">
        <v>66</v>
      </c>
      <c r="D115" s="549" t="s">
        <v>53</v>
      </c>
      <c r="E115" s="549">
        <v>130243.4972406525</v>
      </c>
      <c r="F115" s="549">
        <v>130243.4972406525</v>
      </c>
      <c r="G115" s="549">
        <v>130243.4972406525</v>
      </c>
      <c r="H115" s="549">
        <v>390730.49172195751</v>
      </c>
      <c r="I115" s="549">
        <v>276255.46468013799</v>
      </c>
      <c r="J115" s="549" t="s">
        <v>766</v>
      </c>
    </row>
    <row r="116" spans="1:10" ht="30">
      <c r="A116" s="548">
        <v>114</v>
      </c>
      <c r="B116" s="549" t="s">
        <v>39</v>
      </c>
      <c r="C116" s="549" t="s">
        <v>43</v>
      </c>
      <c r="D116" s="549" t="s">
        <v>44</v>
      </c>
      <c r="E116" s="549">
        <v>1756.6706579150623</v>
      </c>
      <c r="F116" s="549">
        <v>1756.6706579150623</v>
      </c>
      <c r="G116" s="549">
        <v>1756.6706579150623</v>
      </c>
      <c r="H116" s="549">
        <v>5270.0119737451869</v>
      </c>
      <c r="I116" s="549">
        <v>3630.4314789696873</v>
      </c>
      <c r="J116" s="549" t="s">
        <v>48</v>
      </c>
    </row>
    <row r="117" spans="1:10" ht="120">
      <c r="A117" s="548">
        <v>115</v>
      </c>
      <c r="B117" s="549" t="s">
        <v>39</v>
      </c>
      <c r="C117" s="549" t="s">
        <v>108</v>
      </c>
      <c r="D117" s="549" t="s">
        <v>219</v>
      </c>
      <c r="E117" s="549">
        <v>5.9191732809693987</v>
      </c>
      <c r="F117" s="549">
        <v>5.9191732809693987</v>
      </c>
      <c r="G117" s="549">
        <v>5.9191732809693987</v>
      </c>
      <c r="H117" s="549">
        <v>17.757519842908195</v>
      </c>
      <c r="I117" s="549">
        <v>12.232886632382417</v>
      </c>
      <c r="J117" s="549" t="s">
        <v>762</v>
      </c>
    </row>
    <row r="118" spans="1:10" ht="120">
      <c r="A118" s="548">
        <v>116</v>
      </c>
      <c r="B118" s="549" t="s">
        <v>39</v>
      </c>
      <c r="C118" s="549" t="s">
        <v>112</v>
      </c>
      <c r="D118" s="549" t="s">
        <v>219</v>
      </c>
      <c r="E118" s="549">
        <v>22756.948852021575</v>
      </c>
      <c r="F118" s="549">
        <v>22756.948852021575</v>
      </c>
      <c r="G118" s="549">
        <v>22756.948852021575</v>
      </c>
      <c r="H118" s="549">
        <v>68270.846556064731</v>
      </c>
      <c r="I118" s="549">
        <v>47030.752808120793</v>
      </c>
      <c r="J118" s="549" t="s">
        <v>762</v>
      </c>
    </row>
    <row r="119" spans="1:10" ht="120">
      <c r="A119" s="548">
        <v>117</v>
      </c>
      <c r="B119" s="549" t="s">
        <v>39</v>
      </c>
      <c r="C119" s="549" t="s">
        <v>114</v>
      </c>
      <c r="D119" s="549" t="s">
        <v>219</v>
      </c>
      <c r="E119" s="549">
        <v>227.57675605417438</v>
      </c>
      <c r="F119" s="549">
        <v>227.57675605417438</v>
      </c>
      <c r="G119" s="549">
        <v>227.57675605417438</v>
      </c>
      <c r="H119" s="549">
        <v>682.73026816252309</v>
      </c>
      <c r="I119" s="549">
        <v>470.32254756362431</v>
      </c>
      <c r="J119" s="549" t="s">
        <v>762</v>
      </c>
    </row>
    <row r="120" spans="1:10" ht="105">
      <c r="A120" s="548">
        <v>118</v>
      </c>
      <c r="B120" s="549" t="s">
        <v>39</v>
      </c>
      <c r="C120" s="549" t="s">
        <v>108</v>
      </c>
      <c r="D120" s="549" t="s">
        <v>227</v>
      </c>
      <c r="E120" s="549">
        <v>10.789542905182435</v>
      </c>
      <c r="F120" s="549">
        <v>10.789542905182435</v>
      </c>
      <c r="G120" s="549">
        <v>10.789542905182435</v>
      </c>
      <c r="H120" s="549">
        <v>32.368628715547302</v>
      </c>
      <c r="I120" s="549">
        <v>22.298258373119776</v>
      </c>
      <c r="J120" s="549" t="s">
        <v>763</v>
      </c>
    </row>
    <row r="121" spans="1:10" ht="105">
      <c r="A121" s="548">
        <v>119</v>
      </c>
      <c r="B121" s="549" t="s">
        <v>39</v>
      </c>
      <c r="C121" s="549" t="s">
        <v>112</v>
      </c>
      <c r="D121" s="549" t="s">
        <v>227</v>
      </c>
      <c r="E121" s="549">
        <v>41669.508633721016</v>
      </c>
      <c r="F121" s="549">
        <v>41669.508633721016</v>
      </c>
      <c r="G121" s="549">
        <v>41669.508633721016</v>
      </c>
      <c r="H121" s="549">
        <v>125008.52590116306</v>
      </c>
      <c r="I121" s="549">
        <v>86116.48129684561</v>
      </c>
      <c r="J121" s="549" t="s">
        <v>763</v>
      </c>
    </row>
    <row r="122" spans="1:10" ht="105">
      <c r="A122" s="548">
        <v>120</v>
      </c>
      <c r="B122" s="549" t="s">
        <v>39</v>
      </c>
      <c r="C122" s="549" t="s">
        <v>114</v>
      </c>
      <c r="D122" s="549" t="s">
        <v>227</v>
      </c>
      <c r="E122" s="549">
        <v>274.11790952173322</v>
      </c>
      <c r="F122" s="549">
        <v>274.11790952173322</v>
      </c>
      <c r="G122" s="549">
        <v>274.11790952173322</v>
      </c>
      <c r="H122" s="549">
        <v>822.35372856519962</v>
      </c>
      <c r="I122" s="549">
        <v>566.50703601903206</v>
      </c>
      <c r="J122" s="549" t="s">
        <v>763</v>
      </c>
    </row>
    <row r="123" spans="1:10" ht="120">
      <c r="A123" s="548">
        <v>121</v>
      </c>
      <c r="B123" s="549" t="s">
        <v>39</v>
      </c>
      <c r="C123" s="549" t="s">
        <v>108</v>
      </c>
      <c r="D123" s="549" t="s">
        <v>764</v>
      </c>
      <c r="E123" s="549">
        <v>6.9596880192404446E-4</v>
      </c>
      <c r="F123" s="549">
        <v>6.9596880192404446E-4</v>
      </c>
      <c r="G123" s="549">
        <v>6.9596880192404446E-4</v>
      </c>
      <c r="H123" s="549">
        <v>2.0879064057721334E-3</v>
      </c>
      <c r="I123" s="549">
        <v>1.4383271192590491E-3</v>
      </c>
      <c r="J123" s="549" t="s">
        <v>765</v>
      </c>
    </row>
    <row r="124" spans="1:10" ht="120">
      <c r="A124" s="548">
        <v>122</v>
      </c>
      <c r="B124" s="549" t="s">
        <v>39</v>
      </c>
      <c r="C124" s="549" t="s">
        <v>112</v>
      </c>
      <c r="D124" s="549" t="s">
        <v>764</v>
      </c>
      <c r="E124" s="549">
        <v>2.687850472946804</v>
      </c>
      <c r="F124" s="549">
        <v>2.687850472946804</v>
      </c>
      <c r="G124" s="549">
        <v>2.687850472946804</v>
      </c>
      <c r="H124" s="549">
        <v>8.0635514188404116</v>
      </c>
      <c r="I124" s="549">
        <v>5.5548585181761796</v>
      </c>
      <c r="J124" s="549" t="s">
        <v>765</v>
      </c>
    </row>
    <row r="125" spans="1:10" ht="120">
      <c r="A125" s="548">
        <v>123</v>
      </c>
      <c r="B125" s="549" t="s">
        <v>39</v>
      </c>
      <c r="C125" s="549" t="s">
        <v>114</v>
      </c>
      <c r="D125" s="549" t="s">
        <v>764</v>
      </c>
      <c r="E125" s="549">
        <v>1.7681704846285007E-2</v>
      </c>
      <c r="F125" s="549">
        <v>1.7681704846285007E-2</v>
      </c>
      <c r="G125" s="549">
        <v>1.7681704846285007E-2</v>
      </c>
      <c r="H125" s="549">
        <v>5.304511453885502E-2</v>
      </c>
      <c r="I125" s="549">
        <v>3.654197648635614E-2</v>
      </c>
      <c r="J125" s="549" t="s">
        <v>765</v>
      </c>
    </row>
    <row r="126" spans="1:10" ht="210">
      <c r="A126" s="548">
        <v>124</v>
      </c>
      <c r="B126" s="549" t="s">
        <v>39</v>
      </c>
      <c r="C126" s="549" t="s">
        <v>142</v>
      </c>
      <c r="D126" s="549" t="s">
        <v>748</v>
      </c>
      <c r="E126" s="549">
        <v>3.7685926059003345E-2</v>
      </c>
      <c r="F126" s="549">
        <v>3.7685926059003345E-2</v>
      </c>
      <c r="G126" s="549">
        <v>3.7685926059003345E-2</v>
      </c>
      <c r="H126" s="549">
        <v>0.11305777817701004</v>
      </c>
      <c r="I126" s="549">
        <v>7.7883792082639236E-2</v>
      </c>
      <c r="J126" s="549" t="s">
        <v>758</v>
      </c>
    </row>
    <row r="127" spans="1:10" ht="210">
      <c r="A127" s="548">
        <v>125</v>
      </c>
      <c r="B127" s="549" t="s">
        <v>39</v>
      </c>
      <c r="C127" s="549" t="s">
        <v>142</v>
      </c>
      <c r="D127" s="549" t="s">
        <v>748</v>
      </c>
      <c r="E127" s="549">
        <v>3.7685926059003345E-2</v>
      </c>
      <c r="F127" s="549">
        <v>3.7685926059003345E-2</v>
      </c>
      <c r="G127" s="549">
        <v>3.7685926059003345E-2</v>
      </c>
      <c r="H127" s="549">
        <v>0.11305777817701004</v>
      </c>
      <c r="I127" s="549">
        <v>7.7883792082639236E-2</v>
      </c>
      <c r="J127" s="549" t="s">
        <v>759</v>
      </c>
    </row>
    <row r="128" spans="1:10" ht="210">
      <c r="A128" s="548">
        <v>126</v>
      </c>
      <c r="B128" s="549" t="s">
        <v>39</v>
      </c>
      <c r="C128" s="549" t="s">
        <v>142</v>
      </c>
      <c r="D128" s="549" t="s">
        <v>760</v>
      </c>
      <c r="E128" s="549">
        <v>3.7685926059003345E-2</v>
      </c>
      <c r="F128" s="549">
        <v>3.7685926059003345E-2</v>
      </c>
      <c r="G128" s="549">
        <v>3.7685926059003345E-2</v>
      </c>
      <c r="H128" s="549">
        <v>0.11305777817701004</v>
      </c>
      <c r="I128" s="549">
        <v>7.7883792082639236E-2</v>
      </c>
      <c r="J128" s="549" t="s">
        <v>761</v>
      </c>
    </row>
    <row r="129" spans="1:10" ht="165">
      <c r="A129" s="548">
        <v>127</v>
      </c>
      <c r="B129" s="549" t="s">
        <v>39</v>
      </c>
      <c r="C129" s="549" t="s">
        <v>142</v>
      </c>
      <c r="D129" s="549" t="s">
        <v>149</v>
      </c>
      <c r="E129" s="549">
        <v>2.563167023549051E-3</v>
      </c>
      <c r="F129" s="549">
        <v>2.563167023549051E-3</v>
      </c>
      <c r="G129" s="549">
        <v>2.563167023549051E-3</v>
      </c>
      <c r="H129" s="549">
        <v>7.6895010706471527E-3</v>
      </c>
      <c r="I129" s="549">
        <v>5.297180895133642E-3</v>
      </c>
      <c r="J129" s="549" t="s">
        <v>750</v>
      </c>
    </row>
    <row r="130" spans="1:10" ht="150">
      <c r="A130" s="548">
        <v>128</v>
      </c>
      <c r="B130" s="549" t="s">
        <v>39</v>
      </c>
      <c r="C130" s="549" t="s">
        <v>142</v>
      </c>
      <c r="D130" s="549" t="s">
        <v>154</v>
      </c>
      <c r="E130" s="549">
        <v>2.563167023549051E-3</v>
      </c>
      <c r="F130" s="549">
        <v>2.563167023549051E-3</v>
      </c>
      <c r="G130" s="549">
        <v>2.563167023549051E-3</v>
      </c>
      <c r="H130" s="549">
        <v>7.6895010706471527E-3</v>
      </c>
      <c r="I130" s="549">
        <v>5.297180895133642E-3</v>
      </c>
      <c r="J130" s="549" t="s">
        <v>751</v>
      </c>
    </row>
    <row r="131" spans="1:10" ht="225">
      <c r="A131" s="548">
        <v>129</v>
      </c>
      <c r="B131" s="549" t="s">
        <v>39</v>
      </c>
      <c r="C131" s="549" t="s">
        <v>142</v>
      </c>
      <c r="D131" s="549" t="s">
        <v>266</v>
      </c>
      <c r="E131" s="549">
        <v>1.0628323603292654E-2</v>
      </c>
      <c r="F131" s="549">
        <v>1.0628323603292654E-2</v>
      </c>
      <c r="G131" s="549">
        <v>1.0628323603292654E-2</v>
      </c>
      <c r="H131" s="549">
        <v>3.1884970809877962E-2</v>
      </c>
      <c r="I131" s="549">
        <v>2.1965073762811062E-2</v>
      </c>
      <c r="J131" s="549" t="s">
        <v>756</v>
      </c>
    </row>
    <row r="132" spans="1:10" ht="120">
      <c r="A132" s="548">
        <v>130</v>
      </c>
      <c r="B132" s="549" t="s">
        <v>39</v>
      </c>
      <c r="C132" s="549" t="s">
        <v>142</v>
      </c>
      <c r="D132" s="549" t="s">
        <v>271</v>
      </c>
      <c r="E132" s="549">
        <v>1.8235122434762659E-2</v>
      </c>
      <c r="F132" s="549">
        <v>1.8235122434762659E-2</v>
      </c>
      <c r="G132" s="549">
        <v>1.8235122434762659E-2</v>
      </c>
      <c r="H132" s="549">
        <v>5.4705367304287975E-2</v>
      </c>
      <c r="I132" s="549">
        <v>3.7685699485981661E-2</v>
      </c>
      <c r="J132" s="549" t="s">
        <v>757</v>
      </c>
    </row>
    <row r="133" spans="1:10" ht="60">
      <c r="A133" s="548">
        <v>131</v>
      </c>
      <c r="B133" s="549" t="s">
        <v>39</v>
      </c>
      <c r="C133" s="549" t="s">
        <v>92</v>
      </c>
      <c r="D133" s="549" t="s">
        <v>93</v>
      </c>
      <c r="E133" s="549">
        <v>587.08961251266157</v>
      </c>
      <c r="F133" s="549">
        <v>587.08961251266157</v>
      </c>
      <c r="G133" s="549">
        <v>587.08961251266157</v>
      </c>
      <c r="H133" s="549">
        <v>1761.2688375379848</v>
      </c>
      <c r="I133" s="549">
        <v>1168.3083289001966</v>
      </c>
      <c r="J133" s="549" t="s">
        <v>738</v>
      </c>
    </row>
    <row r="134" spans="1:10" ht="60">
      <c r="A134" s="548">
        <v>132</v>
      </c>
      <c r="B134" s="549" t="s">
        <v>39</v>
      </c>
      <c r="C134" s="549" t="s">
        <v>95</v>
      </c>
      <c r="D134" s="549" t="s">
        <v>93</v>
      </c>
      <c r="E134" s="549">
        <v>0.1527043528777331</v>
      </c>
      <c r="F134" s="549">
        <v>0.1527043528777331</v>
      </c>
      <c r="G134" s="549">
        <v>0.1527043528777331</v>
      </c>
      <c r="H134" s="549">
        <v>0.45811305863319929</v>
      </c>
      <c r="I134" s="549">
        <v>0.30388166222668889</v>
      </c>
      <c r="J134" s="549" t="s">
        <v>738</v>
      </c>
    </row>
    <row r="135" spans="1:10" ht="75">
      <c r="A135" s="548">
        <v>133</v>
      </c>
      <c r="B135" s="549" t="s">
        <v>39</v>
      </c>
      <c r="C135" s="549" t="s">
        <v>96</v>
      </c>
      <c r="D135" s="549" t="s">
        <v>93</v>
      </c>
      <c r="E135" s="549">
        <v>0.98469522173561042</v>
      </c>
      <c r="F135" s="549">
        <v>0.98469522173561042</v>
      </c>
      <c r="G135" s="549">
        <v>0.98469522173561042</v>
      </c>
      <c r="H135" s="549">
        <v>2.954085665206831</v>
      </c>
      <c r="I135" s="549">
        <v>1.9595434912538647</v>
      </c>
      <c r="J135" s="549" t="s">
        <v>738</v>
      </c>
    </row>
    <row r="136" spans="1:10" ht="60">
      <c r="A136" s="548">
        <v>134</v>
      </c>
      <c r="B136" s="549" t="s">
        <v>39</v>
      </c>
      <c r="C136" s="549" t="s">
        <v>97</v>
      </c>
      <c r="D136" s="549" t="s">
        <v>93</v>
      </c>
      <c r="E136" s="549">
        <v>716.45269077123089</v>
      </c>
      <c r="F136" s="549">
        <v>716.45269077123089</v>
      </c>
      <c r="G136" s="549">
        <v>716.45269077123089</v>
      </c>
      <c r="H136" s="549">
        <v>2149.3580723136929</v>
      </c>
      <c r="I136" s="549">
        <v>1425.7408546347494</v>
      </c>
      <c r="J136" s="549" t="s">
        <v>738</v>
      </c>
    </row>
    <row r="137" spans="1:10" ht="60">
      <c r="A137" s="548">
        <v>135</v>
      </c>
      <c r="B137" s="549" t="s">
        <v>39</v>
      </c>
      <c r="C137" s="549" t="s">
        <v>98</v>
      </c>
      <c r="D137" s="549" t="s">
        <v>93</v>
      </c>
      <c r="E137" s="549">
        <v>0.18635220617086276</v>
      </c>
      <c r="F137" s="549">
        <v>0.18635220617086276</v>
      </c>
      <c r="G137" s="549">
        <v>0.18635220617086276</v>
      </c>
      <c r="H137" s="549">
        <v>0.55905661851258825</v>
      </c>
      <c r="I137" s="549">
        <v>0.37084089028001688</v>
      </c>
      <c r="J137" s="549" t="s">
        <v>738</v>
      </c>
    </row>
    <row r="138" spans="1:10" ht="75">
      <c r="A138" s="548">
        <v>136</v>
      </c>
      <c r="B138" s="549" t="s">
        <v>39</v>
      </c>
      <c r="C138" s="549" t="s">
        <v>99</v>
      </c>
      <c r="D138" s="549" t="s">
        <v>93</v>
      </c>
      <c r="E138" s="549">
        <v>1.2016692616697195</v>
      </c>
      <c r="F138" s="549">
        <v>1.2016692616697195</v>
      </c>
      <c r="G138" s="549">
        <v>1.2016692616697195</v>
      </c>
      <c r="H138" s="549">
        <v>3.6050077850091586</v>
      </c>
      <c r="I138" s="549">
        <v>2.3913218307227417</v>
      </c>
      <c r="J138" s="549" t="s">
        <v>738</v>
      </c>
    </row>
    <row r="139" spans="1:10" ht="60">
      <c r="A139" s="548">
        <v>137</v>
      </c>
      <c r="B139" s="549" t="s">
        <v>39</v>
      </c>
      <c r="C139" s="549" t="s">
        <v>752</v>
      </c>
      <c r="D139" s="549" t="s">
        <v>280</v>
      </c>
      <c r="E139" s="549" t="s">
        <v>1881</v>
      </c>
      <c r="F139" s="549" t="s">
        <v>1881</v>
      </c>
      <c r="G139" s="549" t="s">
        <v>1881</v>
      </c>
      <c r="H139" s="549"/>
      <c r="I139" s="549"/>
      <c r="J139" s="549" t="s">
        <v>754</v>
      </c>
    </row>
    <row r="140" spans="1:10" ht="90">
      <c r="A140" s="548">
        <v>138</v>
      </c>
      <c r="B140" s="549" t="s">
        <v>39</v>
      </c>
      <c r="C140" s="549" t="s">
        <v>752</v>
      </c>
      <c r="D140" s="549" t="s">
        <v>286</v>
      </c>
      <c r="E140" s="549" t="s">
        <v>1881</v>
      </c>
      <c r="F140" s="549" t="s">
        <v>1881</v>
      </c>
      <c r="G140" s="549" t="s">
        <v>1881</v>
      </c>
      <c r="H140" s="549"/>
      <c r="I140" s="549"/>
      <c r="J140" s="549" t="s">
        <v>755</v>
      </c>
    </row>
    <row r="141" spans="1:10" ht="45">
      <c r="A141" s="548">
        <v>139</v>
      </c>
      <c r="B141" s="549" t="s">
        <v>39</v>
      </c>
      <c r="C141" s="549" t="s">
        <v>52</v>
      </c>
      <c r="D141" s="549" t="s">
        <v>53</v>
      </c>
      <c r="E141" s="549">
        <v>20052.897097934729</v>
      </c>
      <c r="F141" s="549">
        <v>20052.897097934729</v>
      </c>
      <c r="G141" s="549">
        <v>20052.897097934729</v>
      </c>
      <c r="H141" s="549">
        <v>60158.691293804186</v>
      </c>
      <c r="I141" s="549">
        <v>41937.099355406484</v>
      </c>
      <c r="J141" s="549" t="s">
        <v>738</v>
      </c>
    </row>
    <row r="142" spans="1:10" ht="45">
      <c r="A142" s="548">
        <v>140</v>
      </c>
      <c r="B142" s="549" t="s">
        <v>39</v>
      </c>
      <c r="C142" s="549" t="s">
        <v>55</v>
      </c>
      <c r="D142" s="549" t="s">
        <v>53</v>
      </c>
      <c r="E142" s="549">
        <v>12754.842387079609</v>
      </c>
      <c r="F142" s="549">
        <v>12754.842387079609</v>
      </c>
      <c r="G142" s="549">
        <v>12754.842387079609</v>
      </c>
      <c r="H142" s="549">
        <v>38264.527161238824</v>
      </c>
      <c r="I142" s="549">
        <v>26737.606998148458</v>
      </c>
      <c r="J142" s="549" t="s">
        <v>738</v>
      </c>
    </row>
    <row r="143" spans="1:10" ht="60">
      <c r="A143" s="548">
        <v>141</v>
      </c>
      <c r="B143" s="549" t="s">
        <v>39</v>
      </c>
      <c r="C143" s="549" t="s">
        <v>56</v>
      </c>
      <c r="D143" s="549" t="s">
        <v>53</v>
      </c>
      <c r="E143" s="549">
        <v>94291378.792599902</v>
      </c>
      <c r="F143" s="549">
        <v>94291378.792599902</v>
      </c>
      <c r="G143" s="549">
        <v>94291378.792599902</v>
      </c>
      <c r="H143" s="549">
        <v>282874136.37779969</v>
      </c>
      <c r="I143" s="549">
        <v>194867710.81518292</v>
      </c>
      <c r="J143" s="549" t="s">
        <v>738</v>
      </c>
    </row>
    <row r="144" spans="1:10" ht="45">
      <c r="A144" s="548">
        <v>142</v>
      </c>
      <c r="B144" s="549" t="s">
        <v>39</v>
      </c>
      <c r="C144" s="549" t="s">
        <v>57</v>
      </c>
      <c r="D144" s="549" t="s">
        <v>53</v>
      </c>
      <c r="E144" s="549">
        <v>58318476.793748207</v>
      </c>
      <c r="F144" s="549">
        <v>58318476.793748207</v>
      </c>
      <c r="G144" s="549">
        <v>58318476.793748207</v>
      </c>
      <c r="H144" s="549">
        <v>174955430.38124463</v>
      </c>
      <c r="I144" s="549">
        <v>120598481.51685461</v>
      </c>
      <c r="J144" s="549" t="s">
        <v>738</v>
      </c>
    </row>
    <row r="145" spans="1:10" ht="60">
      <c r="A145" s="548">
        <v>143</v>
      </c>
      <c r="B145" s="549" t="s">
        <v>39</v>
      </c>
      <c r="C145" s="549" t="s">
        <v>58</v>
      </c>
      <c r="D145" s="549" t="s">
        <v>53</v>
      </c>
      <c r="E145" s="549">
        <v>1067270.5304584501</v>
      </c>
      <c r="F145" s="549">
        <v>1067270.5304584501</v>
      </c>
      <c r="G145" s="549">
        <v>1067270.5304584501</v>
      </c>
      <c r="H145" s="549">
        <v>3201811.59137535</v>
      </c>
      <c r="I145" s="549">
        <v>2307616.2544530788</v>
      </c>
      <c r="J145" s="549" t="s">
        <v>738</v>
      </c>
    </row>
    <row r="146" spans="1:10" ht="60">
      <c r="A146" s="548">
        <v>144</v>
      </c>
      <c r="B146" s="549" t="s">
        <v>39</v>
      </c>
      <c r="C146" s="549" t="s">
        <v>60</v>
      </c>
      <c r="D146" s="549" t="s">
        <v>53</v>
      </c>
      <c r="E146" s="549">
        <v>582666.69684346463</v>
      </c>
      <c r="F146" s="549">
        <v>582666.69684346463</v>
      </c>
      <c r="G146" s="549">
        <v>582666.69684346463</v>
      </c>
      <c r="H146" s="549">
        <v>1748000.0905303939</v>
      </c>
      <c r="I146" s="549">
        <v>1235876.3585157397</v>
      </c>
      <c r="J146" s="549" t="s">
        <v>738</v>
      </c>
    </row>
    <row r="147" spans="1:10" ht="45">
      <c r="A147" s="548">
        <v>145</v>
      </c>
      <c r="B147" s="549" t="s">
        <v>39</v>
      </c>
      <c r="C147" s="549" t="s">
        <v>61</v>
      </c>
      <c r="D147" s="549" t="s">
        <v>53</v>
      </c>
      <c r="E147" s="549">
        <v>219568.99472999151</v>
      </c>
      <c r="F147" s="549">
        <v>219568.99472999151</v>
      </c>
      <c r="G147" s="549">
        <v>219568.99472999151</v>
      </c>
      <c r="H147" s="549">
        <v>658706.98418997449</v>
      </c>
      <c r="I147" s="549">
        <v>459189.84685293824</v>
      </c>
      <c r="J147" s="549" t="s">
        <v>738</v>
      </c>
    </row>
    <row r="148" spans="1:10" ht="45">
      <c r="A148" s="548">
        <v>146</v>
      </c>
      <c r="B148" s="549" t="s">
        <v>39</v>
      </c>
      <c r="C148" s="549" t="s">
        <v>62</v>
      </c>
      <c r="D148" s="549" t="s">
        <v>53</v>
      </c>
      <c r="E148" s="549">
        <v>138643.0601826249</v>
      </c>
      <c r="F148" s="549">
        <v>138643.0601826249</v>
      </c>
      <c r="G148" s="549">
        <v>138643.0601826249</v>
      </c>
      <c r="H148" s="549">
        <v>415929.18054787471</v>
      </c>
      <c r="I148" s="549">
        <v>290633.43502690142</v>
      </c>
      <c r="J148" s="549" t="s">
        <v>738</v>
      </c>
    </row>
    <row r="149" spans="1:10" ht="60">
      <c r="A149" s="548">
        <v>147</v>
      </c>
      <c r="B149" s="549" t="s">
        <v>39</v>
      </c>
      <c r="C149" s="549" t="s">
        <v>63</v>
      </c>
      <c r="D149" s="549" t="s">
        <v>53</v>
      </c>
      <c r="E149" s="549">
        <v>1031060456.3078518</v>
      </c>
      <c r="F149" s="549">
        <v>1031060456.3078518</v>
      </c>
      <c r="G149" s="549">
        <v>1031060456.3078518</v>
      </c>
      <c r="H149" s="549">
        <v>3093181368.9235554</v>
      </c>
      <c r="I149" s="549">
        <v>2130845824.990073</v>
      </c>
      <c r="J149" s="549" t="s">
        <v>738</v>
      </c>
    </row>
    <row r="150" spans="1:10" ht="45">
      <c r="A150" s="548">
        <v>148</v>
      </c>
      <c r="B150" s="549" t="s">
        <v>39</v>
      </c>
      <c r="C150" s="549" t="s">
        <v>64</v>
      </c>
      <c r="D150" s="549" t="s">
        <v>53</v>
      </c>
      <c r="E150" s="549">
        <v>635527368.02568662</v>
      </c>
      <c r="F150" s="549">
        <v>635527368.02568662</v>
      </c>
      <c r="G150" s="549">
        <v>635527368.02568662</v>
      </c>
      <c r="H150" s="549">
        <v>1906582104.0770597</v>
      </c>
      <c r="I150" s="549">
        <v>1314225606.7037282</v>
      </c>
      <c r="J150" s="549" t="s">
        <v>738</v>
      </c>
    </row>
    <row r="151" spans="1:10" ht="60">
      <c r="A151" s="548">
        <v>149</v>
      </c>
      <c r="B151" s="549" t="s">
        <v>39</v>
      </c>
      <c r="C151" s="549" t="s">
        <v>65</v>
      </c>
      <c r="D151" s="549" t="s">
        <v>53</v>
      </c>
      <c r="E151" s="549">
        <v>12146941.391164841</v>
      </c>
      <c r="F151" s="549">
        <v>12146941.391164841</v>
      </c>
      <c r="G151" s="549">
        <v>12146941.391164841</v>
      </c>
      <c r="H151" s="549">
        <v>36440824.173494525</v>
      </c>
      <c r="I151" s="549">
        <v>26263705.964129154</v>
      </c>
      <c r="J151" s="549" t="s">
        <v>738</v>
      </c>
    </row>
    <row r="152" spans="1:10" ht="60">
      <c r="A152" s="548">
        <v>150</v>
      </c>
      <c r="B152" s="549" t="s">
        <v>39</v>
      </c>
      <c r="C152" s="549" t="s">
        <v>66</v>
      </c>
      <c r="D152" s="549" t="s">
        <v>53</v>
      </c>
      <c r="E152" s="549">
        <v>6637439.1637243759</v>
      </c>
      <c r="F152" s="549">
        <v>6637439.1637243759</v>
      </c>
      <c r="G152" s="549">
        <v>6637439.1637243759</v>
      </c>
      <c r="H152" s="549">
        <v>19912317.491173126</v>
      </c>
      <c r="I152" s="549">
        <v>14078467.480589878</v>
      </c>
      <c r="J152" s="549" t="s">
        <v>738</v>
      </c>
    </row>
    <row r="153" spans="1:10" ht="75">
      <c r="A153" s="548">
        <v>151</v>
      </c>
      <c r="B153" s="549" t="s">
        <v>39</v>
      </c>
      <c r="C153" s="549" t="s">
        <v>297</v>
      </c>
      <c r="D153" s="549" t="s">
        <v>298</v>
      </c>
      <c r="E153" s="549">
        <v>1.4509873965698979E-2</v>
      </c>
      <c r="F153" s="549">
        <v>1.4509873965698979E-2</v>
      </c>
      <c r="G153" s="549">
        <v>1.4509873965698979E-2</v>
      </c>
      <c r="H153" s="549">
        <v>4.3529621897096936E-2</v>
      </c>
      <c r="I153" s="549">
        <v>2.9986897637077358E-2</v>
      </c>
      <c r="J153" s="549" t="s">
        <v>767</v>
      </c>
    </row>
    <row r="154" spans="1:10" ht="75">
      <c r="A154" s="548">
        <v>152</v>
      </c>
      <c r="B154" s="549" t="s">
        <v>39</v>
      </c>
      <c r="C154" s="549" t="s">
        <v>300</v>
      </c>
      <c r="D154" s="549" t="s">
        <v>298</v>
      </c>
      <c r="E154" s="549">
        <v>9.2073666006794209E-3</v>
      </c>
      <c r="F154" s="549">
        <v>9.2073666006794209E-3</v>
      </c>
      <c r="G154" s="549">
        <v>9.2073666006794209E-3</v>
      </c>
      <c r="H154" s="549">
        <v>2.7622099802038301E-2</v>
      </c>
      <c r="I154" s="549">
        <v>1.9028446450624858E-2</v>
      </c>
      <c r="J154" s="549" t="s">
        <v>767</v>
      </c>
    </row>
    <row r="155" spans="1:10" ht="75">
      <c r="A155" s="548">
        <v>153</v>
      </c>
      <c r="B155" s="549" t="s">
        <v>39</v>
      </c>
      <c r="C155" s="549" t="s">
        <v>301</v>
      </c>
      <c r="D155" s="549" t="s">
        <v>298</v>
      </c>
      <c r="E155" s="549">
        <v>1.2685712635121599E-2</v>
      </c>
      <c r="F155" s="549">
        <v>1.2685712635121599E-2</v>
      </c>
      <c r="G155" s="549">
        <v>1.2685712635121599E-2</v>
      </c>
      <c r="H155" s="549">
        <v>3.8057137905364802E-2</v>
      </c>
      <c r="I155" s="549">
        <v>2.6216986249642117E-2</v>
      </c>
      <c r="J155" s="549" t="s">
        <v>767</v>
      </c>
    </row>
    <row r="156" spans="1:10" ht="75">
      <c r="A156" s="548">
        <v>154</v>
      </c>
      <c r="B156" s="549" t="s">
        <v>39</v>
      </c>
      <c r="C156" s="549" t="s">
        <v>302</v>
      </c>
      <c r="D156" s="549" t="s">
        <v>298</v>
      </c>
      <c r="E156" s="549">
        <v>7.8411774966861674E-3</v>
      </c>
      <c r="F156" s="549">
        <v>7.8411774966861674E-3</v>
      </c>
      <c r="G156" s="549">
        <v>7.8411774966861674E-3</v>
      </c>
      <c r="H156" s="549">
        <v>2.35235324900585E-2</v>
      </c>
      <c r="I156" s="549">
        <v>1.6205005467527202E-2</v>
      </c>
      <c r="J156" s="549" t="s">
        <v>767</v>
      </c>
    </row>
    <row r="157" spans="1:10" ht="75">
      <c r="A157" s="548">
        <v>155</v>
      </c>
      <c r="B157" s="549" t="s">
        <v>39</v>
      </c>
      <c r="C157" s="549" t="s">
        <v>303</v>
      </c>
      <c r="D157" s="549" t="s">
        <v>298</v>
      </c>
      <c r="E157" s="549">
        <v>5.2914865898880054E-3</v>
      </c>
      <c r="F157" s="549">
        <v>5.2914865898880054E-3</v>
      </c>
      <c r="G157" s="549">
        <v>5.2914865898880054E-3</v>
      </c>
      <c r="H157" s="549">
        <v>1.5874459769664017E-2</v>
      </c>
      <c r="I157" s="549">
        <v>1.0935675050937311E-2</v>
      </c>
      <c r="J157" s="549" t="s">
        <v>767</v>
      </c>
    </row>
    <row r="158" spans="1:10" ht="75">
      <c r="A158" s="548">
        <v>156</v>
      </c>
      <c r="B158" s="549" t="s">
        <v>39</v>
      </c>
      <c r="C158" s="549" t="s">
        <v>305</v>
      </c>
      <c r="D158" s="549" t="s">
        <v>298</v>
      </c>
      <c r="E158" s="549">
        <v>2.9448123186480548E-3</v>
      </c>
      <c r="F158" s="549">
        <v>2.9448123186480548E-3</v>
      </c>
      <c r="G158" s="549">
        <v>2.9448123186480548E-3</v>
      </c>
      <c r="H158" s="549">
        <v>8.8344369559441652E-3</v>
      </c>
      <c r="I158" s="549">
        <v>6.0859098961477242E-3</v>
      </c>
      <c r="J158" s="549" t="s">
        <v>767</v>
      </c>
    </row>
    <row r="159" spans="1:10" ht="75">
      <c r="A159" s="548">
        <v>157</v>
      </c>
      <c r="B159" s="549" t="s">
        <v>39</v>
      </c>
      <c r="C159" s="549" t="s">
        <v>306</v>
      </c>
      <c r="D159" s="549" t="s">
        <v>298</v>
      </c>
      <c r="E159" s="549">
        <v>0.158875718792549</v>
      </c>
      <c r="F159" s="549">
        <v>0.158875718792549</v>
      </c>
      <c r="G159" s="549">
        <v>0.158875718792549</v>
      </c>
      <c r="H159" s="549">
        <v>0.47662715637764697</v>
      </c>
      <c r="I159" s="549">
        <v>0.32834123354287525</v>
      </c>
      <c r="J159" s="549" t="s">
        <v>767</v>
      </c>
    </row>
    <row r="160" spans="1:10" ht="75">
      <c r="A160" s="548">
        <v>158</v>
      </c>
      <c r="B160" s="549" t="s">
        <v>39</v>
      </c>
      <c r="C160" s="549" t="s">
        <v>307</v>
      </c>
      <c r="D160" s="549" t="s">
        <v>298</v>
      </c>
      <c r="E160" s="549">
        <v>0.10008257593481465</v>
      </c>
      <c r="F160" s="549">
        <v>0.10008257593481465</v>
      </c>
      <c r="G160" s="549">
        <v>0.10008257593481465</v>
      </c>
      <c r="H160" s="549">
        <v>0.30024772780444398</v>
      </c>
      <c r="I160" s="549">
        <v>0.20683611497294865</v>
      </c>
      <c r="J160" s="549" t="s">
        <v>767</v>
      </c>
    </row>
    <row r="161" spans="1:10" ht="75">
      <c r="A161" s="548">
        <v>159</v>
      </c>
      <c r="B161" s="549" t="s">
        <v>39</v>
      </c>
      <c r="C161" s="549" t="s">
        <v>308</v>
      </c>
      <c r="D161" s="549" t="s">
        <v>298</v>
      </c>
      <c r="E161" s="549">
        <v>0.13871614590479686</v>
      </c>
      <c r="F161" s="549">
        <v>0.13871614590479686</v>
      </c>
      <c r="G161" s="549">
        <v>0.13871614590479686</v>
      </c>
      <c r="H161" s="549">
        <v>0.41614843771439058</v>
      </c>
      <c r="I161" s="549">
        <v>0.28667835969426003</v>
      </c>
      <c r="J161" s="549" t="s">
        <v>767</v>
      </c>
    </row>
    <row r="162" spans="1:10" ht="75">
      <c r="A162" s="548">
        <v>160</v>
      </c>
      <c r="B162" s="549" t="s">
        <v>39</v>
      </c>
      <c r="C162" s="549" t="s">
        <v>309</v>
      </c>
      <c r="D162" s="549" t="s">
        <v>298</v>
      </c>
      <c r="E162" s="549">
        <v>8.5449469373408152E-2</v>
      </c>
      <c r="F162" s="549">
        <v>8.5449469373408152E-2</v>
      </c>
      <c r="G162" s="549">
        <v>8.5449469373408152E-2</v>
      </c>
      <c r="H162" s="549">
        <v>0.25634840812022447</v>
      </c>
      <c r="I162" s="549">
        <v>0.17659453812626769</v>
      </c>
      <c r="J162" s="549" t="s">
        <v>767</v>
      </c>
    </row>
    <row r="163" spans="1:10" ht="75">
      <c r="A163" s="548">
        <v>161</v>
      </c>
      <c r="B163" s="549" t="s">
        <v>39</v>
      </c>
      <c r="C163" s="549" t="s">
        <v>310</v>
      </c>
      <c r="D163" s="549" t="s">
        <v>298</v>
      </c>
      <c r="E163" s="549">
        <v>6.0224072196479156E-2</v>
      </c>
      <c r="F163" s="549">
        <v>6.0224072196479156E-2</v>
      </c>
      <c r="G163" s="549">
        <v>6.0224072196479156E-2</v>
      </c>
      <c r="H163" s="549">
        <v>0.18067221658943747</v>
      </c>
      <c r="I163" s="549">
        <v>0.12446235525635597</v>
      </c>
      <c r="J163" s="549" t="s">
        <v>767</v>
      </c>
    </row>
    <row r="164" spans="1:10" ht="75">
      <c r="A164" s="548">
        <v>162</v>
      </c>
      <c r="B164" s="549" t="s">
        <v>39</v>
      </c>
      <c r="C164" s="549" t="s">
        <v>311</v>
      </c>
      <c r="D164" s="549" t="s">
        <v>298</v>
      </c>
      <c r="E164" s="549">
        <v>3.3545786501100967E-2</v>
      </c>
      <c r="F164" s="549">
        <v>3.3545786501100967E-2</v>
      </c>
      <c r="G164" s="549">
        <v>3.3545786501100967E-2</v>
      </c>
      <c r="H164" s="549">
        <v>0.10063735950330291</v>
      </c>
      <c r="I164" s="549">
        <v>6.9327553660477825E-2</v>
      </c>
      <c r="J164" s="549" t="s">
        <v>767</v>
      </c>
    </row>
    <row r="165" spans="1:10" ht="30">
      <c r="A165" s="548">
        <v>163</v>
      </c>
      <c r="B165" s="549" t="s">
        <v>39</v>
      </c>
      <c r="C165" s="549" t="s">
        <v>768</v>
      </c>
      <c r="D165" s="549" t="s">
        <v>44</v>
      </c>
      <c r="E165" s="549">
        <v>38121.456776673527</v>
      </c>
      <c r="F165" s="549">
        <v>38121.456776673527</v>
      </c>
      <c r="G165" s="549">
        <v>38121.456776673527</v>
      </c>
      <c r="H165" s="549">
        <v>114364.37033002058</v>
      </c>
      <c r="I165" s="549">
        <v>78783.883639564723</v>
      </c>
      <c r="J165" s="549"/>
    </row>
    <row r="166" spans="1:10" ht="120">
      <c r="A166" s="548">
        <v>164</v>
      </c>
      <c r="B166" s="549" t="s">
        <v>39</v>
      </c>
      <c r="C166" s="549" t="s">
        <v>142</v>
      </c>
      <c r="D166" s="549" t="s">
        <v>318</v>
      </c>
      <c r="E166" s="549">
        <v>1.5275889405384697E-2</v>
      </c>
      <c r="F166" s="549">
        <v>1.5275889405384697E-2</v>
      </c>
      <c r="G166" s="549">
        <v>1.5275889405384697E-2</v>
      </c>
      <c r="H166" s="549">
        <v>4.582766821615409E-2</v>
      </c>
      <c r="I166" s="549">
        <v>3.1569986961807399E-2</v>
      </c>
      <c r="J166" s="549" t="s">
        <v>322</v>
      </c>
    </row>
    <row r="167" spans="1:10" ht="120">
      <c r="A167" s="548">
        <v>165</v>
      </c>
      <c r="B167" s="549" t="s">
        <v>39</v>
      </c>
      <c r="C167" s="549" t="s">
        <v>142</v>
      </c>
      <c r="D167" s="549" t="s">
        <v>318</v>
      </c>
      <c r="E167" s="549">
        <v>7.7179816548662586E-2</v>
      </c>
      <c r="F167" s="549">
        <v>7.7179816548662586E-2</v>
      </c>
      <c r="G167" s="549">
        <v>7.7179816548662586E-2</v>
      </c>
      <c r="H167" s="549">
        <v>0.23153944964598777</v>
      </c>
      <c r="I167" s="549">
        <v>0.15950402215514103</v>
      </c>
      <c r="J167" s="549" t="s">
        <v>322</v>
      </c>
    </row>
    <row r="168" spans="1:10" ht="210">
      <c r="A168" s="548">
        <v>167</v>
      </c>
      <c r="B168" s="549" t="s">
        <v>39</v>
      </c>
      <c r="C168" s="549" t="s">
        <v>142</v>
      </c>
      <c r="D168" s="549" t="s">
        <v>748</v>
      </c>
      <c r="E168" s="549"/>
      <c r="F168" s="549"/>
      <c r="G168" s="549"/>
      <c r="H168" s="549"/>
      <c r="I168" s="549"/>
      <c r="J168" s="549" t="s">
        <v>769</v>
      </c>
    </row>
    <row r="169" spans="1:10" ht="210">
      <c r="A169" s="548">
        <v>168</v>
      </c>
      <c r="B169" s="549" t="s">
        <v>39</v>
      </c>
      <c r="C169" s="549" t="s">
        <v>142</v>
      </c>
      <c r="D169" s="549" t="s">
        <v>748</v>
      </c>
      <c r="E169" s="549">
        <v>9.369689494189426E-2</v>
      </c>
      <c r="F169" s="549">
        <v>9.369689494189426E-2</v>
      </c>
      <c r="G169" s="549">
        <v>9.369689494189426E-2</v>
      </c>
      <c r="H169" s="549">
        <v>0.28109068482568278</v>
      </c>
      <c r="I169" s="549">
        <v>0.19363911803621411</v>
      </c>
      <c r="J169" s="549" t="s">
        <v>769</v>
      </c>
    </row>
    <row r="170" spans="1:10" ht="210">
      <c r="A170" s="548">
        <v>169</v>
      </c>
      <c r="B170" s="549" t="s">
        <v>39</v>
      </c>
      <c r="C170" s="549" t="s">
        <v>142</v>
      </c>
      <c r="D170" s="549" t="s">
        <v>748</v>
      </c>
      <c r="E170" s="549">
        <v>9.3696894941894288E-2</v>
      </c>
      <c r="F170" s="549">
        <v>9.3696894941894288E-2</v>
      </c>
      <c r="G170" s="549">
        <v>9.3696894941894288E-2</v>
      </c>
      <c r="H170" s="549">
        <v>0.28109068482568289</v>
      </c>
      <c r="I170" s="549">
        <v>0.19363911803621414</v>
      </c>
      <c r="J170" s="549" t="s">
        <v>769</v>
      </c>
    </row>
    <row r="171" spans="1:10" ht="210">
      <c r="A171" s="548">
        <v>170</v>
      </c>
      <c r="B171" s="549" t="s">
        <v>39</v>
      </c>
      <c r="C171" s="549" t="s">
        <v>142</v>
      </c>
      <c r="D171" s="549" t="s">
        <v>760</v>
      </c>
      <c r="E171" s="549">
        <v>9.3696894941894274E-2</v>
      </c>
      <c r="F171" s="549">
        <v>9.3696894941894274E-2</v>
      </c>
      <c r="G171" s="549">
        <v>9.3696894941894274E-2</v>
      </c>
      <c r="H171" s="549">
        <v>0.28109068482568283</v>
      </c>
      <c r="I171" s="549">
        <v>0.19363911803621409</v>
      </c>
      <c r="J171" s="549" t="s">
        <v>761</v>
      </c>
    </row>
    <row r="172" spans="1:10" ht="150">
      <c r="A172" s="548">
        <v>171</v>
      </c>
      <c r="B172" s="549" t="s">
        <v>39</v>
      </c>
      <c r="C172" s="549" t="s">
        <v>142</v>
      </c>
      <c r="D172" s="549" t="s">
        <v>154</v>
      </c>
      <c r="E172" s="549">
        <v>0.35615164741344224</v>
      </c>
      <c r="F172" s="549">
        <v>0.35615164741344224</v>
      </c>
      <c r="G172" s="549">
        <v>0.35615164741344224</v>
      </c>
      <c r="H172" s="549">
        <v>1.0684549422403267</v>
      </c>
      <c r="I172" s="549">
        <v>0.73604243699913363</v>
      </c>
      <c r="J172" s="549" t="s">
        <v>770</v>
      </c>
    </row>
    <row r="173" spans="1:10" ht="409.5">
      <c r="A173" s="548">
        <v>172</v>
      </c>
      <c r="B173" s="549" t="s">
        <v>39</v>
      </c>
      <c r="C173" s="549" t="s">
        <v>142</v>
      </c>
      <c r="D173" s="549" t="s">
        <v>771</v>
      </c>
      <c r="E173" s="549">
        <v>4.1436933762130007E-2</v>
      </c>
      <c r="F173" s="549">
        <v>4.1436933762130007E-2</v>
      </c>
      <c r="G173" s="549">
        <v>4.1436933762130007E-2</v>
      </c>
      <c r="H173" s="549">
        <v>0.12431080128639002</v>
      </c>
      <c r="I173" s="549">
        <v>8.5635829370864516E-2</v>
      </c>
      <c r="J173" s="549" t="s">
        <v>772</v>
      </c>
    </row>
    <row r="174" spans="1:10" ht="135">
      <c r="A174" s="548">
        <v>173</v>
      </c>
      <c r="B174" s="549" t="s">
        <v>39</v>
      </c>
      <c r="C174" s="549" t="s">
        <v>142</v>
      </c>
      <c r="D174" s="549" t="s">
        <v>773</v>
      </c>
      <c r="E174" s="549">
        <v>0.20301641791332467</v>
      </c>
      <c r="F174" s="549">
        <v>0.20301641791332467</v>
      </c>
      <c r="G174" s="549">
        <v>0.20301641791332467</v>
      </c>
      <c r="H174" s="549">
        <v>0.60904925373997398</v>
      </c>
      <c r="I174" s="549">
        <v>0.41956481200350093</v>
      </c>
      <c r="J174" s="549" t="s">
        <v>774</v>
      </c>
    </row>
    <row r="175" spans="1:10" ht="135">
      <c r="A175" s="548">
        <v>174</v>
      </c>
      <c r="B175" s="549" t="s">
        <v>39</v>
      </c>
      <c r="C175" s="549" t="s">
        <v>142</v>
      </c>
      <c r="D175" s="549" t="s">
        <v>773</v>
      </c>
      <c r="E175" s="549">
        <v>1.1759343232438182E-2</v>
      </c>
      <c r="F175" s="549">
        <v>1.1759343232438182E-2</v>
      </c>
      <c r="G175" s="549">
        <v>1.1759343232438182E-2</v>
      </c>
      <c r="H175" s="549">
        <v>3.5278029697314542E-2</v>
      </c>
      <c r="I175" s="549">
        <v>2.4302500671196915E-2</v>
      </c>
      <c r="J175" s="549" t="s">
        <v>775</v>
      </c>
    </row>
    <row r="176" spans="1:10" ht="135">
      <c r="A176" s="548">
        <v>175</v>
      </c>
      <c r="B176" s="549" t="s">
        <v>39</v>
      </c>
      <c r="C176" s="549" t="s">
        <v>142</v>
      </c>
      <c r="D176" s="549" t="s">
        <v>773</v>
      </c>
      <c r="E176" s="549">
        <v>1.1759343232438184E-2</v>
      </c>
      <c r="F176" s="549">
        <v>1.1759343232438184E-2</v>
      </c>
      <c r="G176" s="549">
        <v>1.1759343232438184E-2</v>
      </c>
      <c r="H176" s="549">
        <v>3.5278029697314549E-2</v>
      </c>
      <c r="I176" s="549">
        <v>2.4302500671196926E-2</v>
      </c>
      <c r="J176" s="549" t="s">
        <v>776</v>
      </c>
    </row>
    <row r="177" spans="1:11" ht="135">
      <c r="A177" s="548">
        <v>176</v>
      </c>
      <c r="B177" s="549" t="s">
        <v>39</v>
      </c>
      <c r="C177" s="549" t="s">
        <v>142</v>
      </c>
      <c r="D177" s="549" t="s">
        <v>271</v>
      </c>
      <c r="E177" s="549">
        <v>1.1759343232438184E-2</v>
      </c>
      <c r="F177" s="549">
        <v>1.1759343232438184E-2</v>
      </c>
      <c r="G177" s="549">
        <v>1.1759343232438184E-2</v>
      </c>
      <c r="H177" s="549">
        <v>3.5278029697314549E-2</v>
      </c>
      <c r="I177" s="549">
        <v>2.4302500671196922E-2</v>
      </c>
      <c r="J177" s="549" t="s">
        <v>777</v>
      </c>
    </row>
    <row r="178" spans="1:11" ht="60">
      <c r="A178" s="548">
        <v>177</v>
      </c>
      <c r="B178" s="549" t="s">
        <v>39</v>
      </c>
      <c r="C178" s="549" t="s">
        <v>92</v>
      </c>
      <c r="D178" s="549" t="s">
        <v>93</v>
      </c>
      <c r="E178" s="549">
        <v>5.6159193172643524E-3</v>
      </c>
      <c r="F178" s="549">
        <v>5.6159193172643524E-3</v>
      </c>
      <c r="G178" s="549">
        <v>5.6159193172643524E-3</v>
      </c>
      <c r="H178" s="549">
        <v>1.6847757951793059E-2</v>
      </c>
      <c r="I178" s="549">
        <v>1.1606165436239818E-2</v>
      </c>
      <c r="J178" s="549" t="s">
        <v>738</v>
      </c>
    </row>
    <row r="179" spans="1:11" ht="60">
      <c r="A179" s="548">
        <v>178</v>
      </c>
      <c r="B179" s="549" t="s">
        <v>39</v>
      </c>
      <c r="C179" s="549" t="s">
        <v>95</v>
      </c>
      <c r="D179" s="549" t="s">
        <v>93</v>
      </c>
      <c r="E179" s="549">
        <v>292.93386693769145</v>
      </c>
      <c r="F179" s="549">
        <v>292.93386693769145</v>
      </c>
      <c r="G179" s="549">
        <v>292.93386693769145</v>
      </c>
      <c r="H179" s="549">
        <v>878.8016008130744</v>
      </c>
      <c r="I179" s="549">
        <v>582.93839520600602</v>
      </c>
      <c r="J179" s="549" t="s">
        <v>738</v>
      </c>
    </row>
    <row r="180" spans="1:11" ht="75">
      <c r="A180" s="548">
        <v>179</v>
      </c>
      <c r="B180" s="549" t="s">
        <v>39</v>
      </c>
      <c r="C180" s="549" t="s">
        <v>96</v>
      </c>
      <c r="D180" s="549" t="s">
        <v>93</v>
      </c>
      <c r="E180" s="549">
        <v>6.2935963617522572E-2</v>
      </c>
      <c r="F180" s="549">
        <v>6.2935963617522572E-2</v>
      </c>
      <c r="G180" s="549">
        <v>6.2935963617522572E-2</v>
      </c>
      <c r="H180" s="549">
        <v>0.18880789085256772</v>
      </c>
      <c r="I180" s="549">
        <v>0.12524256759886992</v>
      </c>
      <c r="J180" s="549" t="s">
        <v>738</v>
      </c>
    </row>
    <row r="181" spans="1:11" ht="60">
      <c r="A181" s="548">
        <v>180</v>
      </c>
      <c r="B181" s="549" t="s">
        <v>39</v>
      </c>
      <c r="C181" s="549" t="s">
        <v>97</v>
      </c>
      <c r="D181" s="549" t="s">
        <v>93</v>
      </c>
      <c r="E181" s="549">
        <v>0.46665993497270553</v>
      </c>
      <c r="F181" s="549">
        <v>0.46665993497270553</v>
      </c>
      <c r="G181" s="549">
        <v>0.46665993497270553</v>
      </c>
      <c r="H181" s="549">
        <v>1.3999798049181167</v>
      </c>
      <c r="I181" s="549">
        <v>0.92865327059568403</v>
      </c>
      <c r="J181" s="549" t="s">
        <v>738</v>
      </c>
    </row>
    <row r="182" spans="1:11" ht="60">
      <c r="A182" s="548">
        <v>181</v>
      </c>
      <c r="B182" s="549" t="s">
        <v>39</v>
      </c>
      <c r="C182" s="549" t="s">
        <v>98</v>
      </c>
      <c r="D182" s="549" t="s">
        <v>93</v>
      </c>
      <c r="E182" s="549">
        <v>409.87968010410589</v>
      </c>
      <c r="F182" s="549">
        <v>409.87968010410589</v>
      </c>
      <c r="G182" s="549">
        <v>409.87968010410589</v>
      </c>
      <c r="H182" s="549">
        <v>1229.6390403123178</v>
      </c>
      <c r="I182" s="549">
        <v>815.66056340717068</v>
      </c>
      <c r="J182" s="549" t="s">
        <v>738</v>
      </c>
    </row>
    <row r="183" spans="1:11" ht="75">
      <c r="A183" s="548">
        <v>182</v>
      </c>
      <c r="B183" s="549" t="s">
        <v>39</v>
      </c>
      <c r="C183" s="549" t="s">
        <v>99</v>
      </c>
      <c r="D183" s="549" t="s">
        <v>93</v>
      </c>
      <c r="E183" s="549">
        <v>8.8061421181050314E-2</v>
      </c>
      <c r="F183" s="549">
        <v>8.8061421181050314E-2</v>
      </c>
      <c r="G183" s="549">
        <v>8.8061421181050314E-2</v>
      </c>
      <c r="H183" s="549">
        <v>0.26418426354315094</v>
      </c>
      <c r="I183" s="549">
        <v>0.17524222815029011</v>
      </c>
      <c r="J183" s="549" t="s">
        <v>738</v>
      </c>
    </row>
    <row r="184" spans="1:11" ht="120">
      <c r="A184" s="548">
        <v>183</v>
      </c>
      <c r="B184" s="549" t="s">
        <v>39</v>
      </c>
      <c r="C184" s="549" t="s">
        <v>142</v>
      </c>
      <c r="D184" s="549" t="s">
        <v>369</v>
      </c>
      <c r="E184" s="549">
        <v>0.65296111666289669</v>
      </c>
      <c r="F184" s="549">
        <v>0.65296111666289669</v>
      </c>
      <c r="G184" s="549">
        <v>0.65296111666289669</v>
      </c>
      <c r="H184" s="549">
        <v>1.9588833499886902</v>
      </c>
      <c r="I184" s="549">
        <v>1.2993926221591645</v>
      </c>
      <c r="J184" s="549" t="s">
        <v>778</v>
      </c>
    </row>
    <row r="185" spans="1:11" ht="75">
      <c r="A185" s="548">
        <v>184</v>
      </c>
      <c r="B185" s="549" t="s">
        <v>39</v>
      </c>
      <c r="C185" s="549" t="s">
        <v>142</v>
      </c>
      <c r="D185" s="549" t="s">
        <v>369</v>
      </c>
      <c r="E185" s="549" t="s">
        <v>59</v>
      </c>
      <c r="F185" s="549" t="s">
        <v>59</v>
      </c>
      <c r="G185" s="549" t="s">
        <v>59</v>
      </c>
      <c r="H185" s="549"/>
      <c r="I185" s="549"/>
      <c r="J185" s="549" t="s">
        <v>779</v>
      </c>
    </row>
    <row r="186" spans="1:11" ht="60">
      <c r="A186" s="548">
        <v>185</v>
      </c>
      <c r="B186" s="549" t="s">
        <v>39</v>
      </c>
      <c r="C186" s="549" t="s">
        <v>142</v>
      </c>
      <c r="D186" s="549" t="s">
        <v>379</v>
      </c>
      <c r="E186" s="549" t="s">
        <v>59</v>
      </c>
      <c r="F186" s="549" t="s">
        <v>59</v>
      </c>
      <c r="G186" s="549" t="s">
        <v>59</v>
      </c>
      <c r="H186" s="549"/>
      <c r="I186" s="549"/>
      <c r="J186" s="549" t="s">
        <v>383</v>
      </c>
    </row>
    <row r="187" spans="1:11" ht="60">
      <c r="A187" s="548">
        <v>186</v>
      </c>
      <c r="B187" s="549" t="s">
        <v>39</v>
      </c>
      <c r="C187" s="549" t="s">
        <v>142</v>
      </c>
      <c r="D187" s="549" t="s">
        <v>379</v>
      </c>
      <c r="E187" s="549" t="s">
        <v>59</v>
      </c>
      <c r="F187" s="549" t="s">
        <v>59</v>
      </c>
      <c r="G187" s="549" t="s">
        <v>59</v>
      </c>
      <c r="H187" s="549"/>
      <c r="I187" s="549"/>
      <c r="J187" s="549" t="s">
        <v>383</v>
      </c>
    </row>
    <row r="188" spans="1:11" ht="75">
      <c r="A188" s="548">
        <v>187</v>
      </c>
      <c r="B188" s="549" t="s">
        <v>39</v>
      </c>
      <c r="C188" s="549" t="s">
        <v>142</v>
      </c>
      <c r="D188" s="549" t="s">
        <v>389</v>
      </c>
      <c r="E188" s="549" t="s">
        <v>59</v>
      </c>
      <c r="F188" s="549" t="s">
        <v>59</v>
      </c>
      <c r="G188" s="549" t="s">
        <v>59</v>
      </c>
      <c r="H188" s="549"/>
      <c r="I188" s="549"/>
      <c r="J188" s="549" t="s">
        <v>780</v>
      </c>
    </row>
    <row r="189" spans="1:11" ht="45">
      <c r="A189" s="548">
        <v>188</v>
      </c>
      <c r="B189" s="549" t="s">
        <v>39</v>
      </c>
      <c r="C189" s="549" t="s">
        <v>52</v>
      </c>
      <c r="D189" s="549" t="s">
        <v>53</v>
      </c>
      <c r="E189" s="549" t="s">
        <v>59</v>
      </c>
      <c r="F189" s="549" t="s">
        <v>59</v>
      </c>
      <c r="G189" s="549" t="s">
        <v>59</v>
      </c>
      <c r="H189" s="549"/>
      <c r="I189" s="549"/>
      <c r="J189" s="549" t="s">
        <v>738</v>
      </c>
    </row>
    <row r="190" spans="1:11" ht="45">
      <c r="A190" s="548">
        <v>189</v>
      </c>
      <c r="B190" s="549" t="s">
        <v>39</v>
      </c>
      <c r="C190" s="549" t="s">
        <v>55</v>
      </c>
      <c r="D190" s="549" t="s">
        <v>53</v>
      </c>
      <c r="E190" s="549">
        <v>6596.8139663280799</v>
      </c>
      <c r="F190" s="549">
        <v>6596.8139663280799</v>
      </c>
      <c r="G190" s="549">
        <v>6596.8139663280799</v>
      </c>
      <c r="H190" s="549">
        <v>19790.441898984238</v>
      </c>
      <c r="I190" s="549">
        <v>13796.073524135645</v>
      </c>
      <c r="J190" s="549" t="s">
        <v>738</v>
      </c>
    </row>
    <row r="191" spans="1:11" ht="60">
      <c r="A191" s="548">
        <v>190</v>
      </c>
      <c r="B191" s="549" t="s">
        <v>39</v>
      </c>
      <c r="C191" s="549" t="s">
        <v>56</v>
      </c>
      <c r="D191" s="549" t="s">
        <v>53</v>
      </c>
      <c r="E191" s="549">
        <v>4195.9683923210259</v>
      </c>
      <c r="F191" s="549">
        <v>4195.9683923210259</v>
      </c>
      <c r="G191" s="549">
        <v>4195.9683923210259</v>
      </c>
      <c r="H191" s="549">
        <v>12587.905176963079</v>
      </c>
      <c r="I191" s="549">
        <v>8795.8871184624513</v>
      </c>
      <c r="J191" s="549" t="s">
        <v>738</v>
      </c>
    </row>
    <row r="192" spans="1:11" ht="45">
      <c r="A192" s="548">
        <v>191</v>
      </c>
      <c r="B192" s="549" t="s">
        <v>39</v>
      </c>
      <c r="C192" s="549" t="s">
        <v>57</v>
      </c>
      <c r="D192" s="549" t="s">
        <v>53</v>
      </c>
      <c r="E192" s="549">
        <v>31019093.225557778</v>
      </c>
      <c r="F192" s="549">
        <v>31019093.225557778</v>
      </c>
      <c r="G192" s="549">
        <v>31019093.225557778</v>
      </c>
      <c r="H192" s="549">
        <v>93057279.676673338</v>
      </c>
      <c r="I192" s="549">
        <v>64105751.404088937</v>
      </c>
      <c r="J192" s="549" t="s">
        <v>738</v>
      </c>
      <c r="K192" s="337"/>
    </row>
    <row r="193" spans="1:11" ht="60">
      <c r="A193" s="548">
        <v>192</v>
      </c>
      <c r="B193" s="549" t="s">
        <v>39</v>
      </c>
      <c r="C193" s="549" t="s">
        <v>58</v>
      </c>
      <c r="D193" s="549" t="s">
        <v>53</v>
      </c>
      <c r="E193" s="549">
        <v>19185065.396241453</v>
      </c>
      <c r="F193" s="549">
        <v>19185065.396241453</v>
      </c>
      <c r="G193" s="549">
        <v>19185065.396241453</v>
      </c>
      <c r="H193" s="549">
        <v>57555196.188724354</v>
      </c>
      <c r="I193" s="549">
        <v>39673357.086656652</v>
      </c>
      <c r="J193" s="549" t="s">
        <v>738</v>
      </c>
      <c r="K193" s="337"/>
    </row>
    <row r="194" spans="1:11" ht="60">
      <c r="A194" s="548">
        <v>193</v>
      </c>
      <c r="B194" s="549" t="s">
        <v>39</v>
      </c>
      <c r="C194" s="549" t="s">
        <v>60</v>
      </c>
      <c r="D194" s="549" t="s">
        <v>53</v>
      </c>
      <c r="E194" s="549">
        <v>351100.64679401362</v>
      </c>
      <c r="F194" s="549">
        <v>351100.64679401362</v>
      </c>
      <c r="G194" s="549">
        <v>351100.64679401362</v>
      </c>
      <c r="H194" s="549">
        <v>1053301.9403820408</v>
      </c>
      <c r="I194" s="549">
        <v>759137.9470984065</v>
      </c>
      <c r="J194" s="549" t="s">
        <v>738</v>
      </c>
      <c r="K194" s="337"/>
    </row>
    <row r="195" spans="1:11" ht="45">
      <c r="A195" s="548">
        <v>194</v>
      </c>
      <c r="B195" s="549" t="s">
        <v>39</v>
      </c>
      <c r="C195" s="549" t="s">
        <v>61</v>
      </c>
      <c r="D195" s="549" t="s">
        <v>53</v>
      </c>
      <c r="E195" s="549">
        <v>191680.22379405162</v>
      </c>
      <c r="F195" s="549">
        <v>191680.22379405162</v>
      </c>
      <c r="G195" s="549">
        <v>191680.22379405162</v>
      </c>
      <c r="H195" s="549">
        <v>575040.6713821548</v>
      </c>
      <c r="I195" s="549">
        <v>406567.01037731807</v>
      </c>
      <c r="J195" s="549" t="s">
        <v>738</v>
      </c>
      <c r="K195" s="337"/>
    </row>
    <row r="196" spans="1:11" ht="45">
      <c r="A196" s="548">
        <v>195</v>
      </c>
      <c r="B196" s="549" t="s">
        <v>39</v>
      </c>
      <c r="C196" s="549" t="s">
        <v>62</v>
      </c>
      <c r="D196" s="549" t="s">
        <v>53</v>
      </c>
      <c r="E196" s="549">
        <v>72231.748057820674</v>
      </c>
      <c r="F196" s="549">
        <v>72231.748057820674</v>
      </c>
      <c r="G196" s="549">
        <v>72231.748057820674</v>
      </c>
      <c r="H196" s="549">
        <v>216695.24417346204</v>
      </c>
      <c r="I196" s="549">
        <v>151059.96804957898</v>
      </c>
      <c r="J196" s="549" t="s">
        <v>738</v>
      </c>
      <c r="K196" s="337"/>
    </row>
    <row r="197" spans="1:11" ht="60">
      <c r="A197" s="548">
        <v>196</v>
      </c>
      <c r="B197" s="549" t="s">
        <v>39</v>
      </c>
      <c r="C197" s="549" t="s">
        <v>63</v>
      </c>
      <c r="D197" s="549" t="s">
        <v>53</v>
      </c>
      <c r="E197" s="549">
        <v>45609.493295679466</v>
      </c>
      <c r="F197" s="549">
        <v>45609.493295679466</v>
      </c>
      <c r="G197" s="549">
        <v>45609.493295679466</v>
      </c>
      <c r="H197" s="549">
        <v>136828.47988703841</v>
      </c>
      <c r="I197" s="549">
        <v>95609.860954446704</v>
      </c>
      <c r="J197" s="549" t="s">
        <v>738</v>
      </c>
      <c r="K197" s="337"/>
    </row>
    <row r="198" spans="1:11" ht="45">
      <c r="A198" s="548">
        <v>197</v>
      </c>
      <c r="B198" s="549" t="s">
        <v>39</v>
      </c>
      <c r="C198" s="549" t="s">
        <v>64</v>
      </c>
      <c r="D198" s="549" t="s">
        <v>53</v>
      </c>
      <c r="E198" s="549">
        <v>339188596.29518348</v>
      </c>
      <c r="F198" s="549">
        <v>339188596.29518348</v>
      </c>
      <c r="G198" s="549">
        <v>339188596.29518348</v>
      </c>
      <c r="H198" s="549">
        <v>1017565788.8855505</v>
      </c>
      <c r="I198" s="549">
        <v>700985669.53869808</v>
      </c>
      <c r="J198" s="549" t="s">
        <v>738</v>
      </c>
      <c r="K198" s="337"/>
    </row>
    <row r="199" spans="1:11" ht="60">
      <c r="A199" s="548">
        <v>198</v>
      </c>
      <c r="B199" s="549" t="s">
        <v>39</v>
      </c>
      <c r="C199" s="549" t="s">
        <v>65</v>
      </c>
      <c r="D199" s="549" t="s">
        <v>53</v>
      </c>
      <c r="E199" s="549">
        <v>209069831.50117296</v>
      </c>
      <c r="F199" s="549">
        <v>209069831.50117296</v>
      </c>
      <c r="G199" s="549">
        <v>209069831.50117296</v>
      </c>
      <c r="H199" s="549">
        <v>627209494.50351882</v>
      </c>
      <c r="I199" s="549">
        <v>432341611.03345257</v>
      </c>
      <c r="J199" s="549" t="s">
        <v>738</v>
      </c>
      <c r="K199" s="337"/>
    </row>
    <row r="200" spans="1:11" ht="60">
      <c r="A200" s="548">
        <v>199</v>
      </c>
      <c r="B200" s="549" t="s">
        <v>39</v>
      </c>
      <c r="C200" s="549" t="s">
        <v>66</v>
      </c>
      <c r="D200" s="549" t="s">
        <v>53</v>
      </c>
      <c r="E200" s="549">
        <v>3995986.8255473995</v>
      </c>
      <c r="F200" s="549">
        <v>3995986.8255473995</v>
      </c>
      <c r="G200" s="549">
        <v>3995986.8255473995</v>
      </c>
      <c r="H200" s="549">
        <v>11987960.476642199</v>
      </c>
      <c r="I200" s="549">
        <v>8639987.6020679921</v>
      </c>
      <c r="J200" s="549" t="s">
        <v>738</v>
      </c>
      <c r="K200" s="337"/>
    </row>
    <row r="201" spans="1:11" ht="30">
      <c r="A201" s="548">
        <v>200</v>
      </c>
      <c r="B201" s="549" t="s">
        <v>39</v>
      </c>
      <c r="C201" s="549" t="s">
        <v>43</v>
      </c>
      <c r="D201" s="549" t="s">
        <v>44</v>
      </c>
      <c r="E201" s="549">
        <v>2183522.4687020159</v>
      </c>
      <c r="F201" s="549">
        <v>2183522.4687020159</v>
      </c>
      <c r="G201" s="549">
        <v>2183522.4687020159</v>
      </c>
      <c r="H201" s="549">
        <v>6550567.4061060473</v>
      </c>
      <c r="I201" s="549">
        <v>4631402.1583452942</v>
      </c>
      <c r="J201" s="549" t="s">
        <v>48</v>
      </c>
      <c r="K201" s="337"/>
    </row>
    <row r="202" spans="1:11" ht="120">
      <c r="A202" s="548">
        <v>201</v>
      </c>
      <c r="B202" s="549" t="s">
        <v>39</v>
      </c>
      <c r="C202" s="549" t="s">
        <v>399</v>
      </c>
      <c r="D202" s="549" t="s">
        <v>219</v>
      </c>
      <c r="E202" s="549">
        <v>9436.5060046885974</v>
      </c>
      <c r="F202" s="549">
        <v>9436.5060046885974</v>
      </c>
      <c r="G202" s="549">
        <v>9436.5060046885974</v>
      </c>
      <c r="H202" s="549">
        <v>28309.51801406579</v>
      </c>
      <c r="I202" s="549">
        <v>19501.998451757834</v>
      </c>
      <c r="J202" s="549" t="s">
        <v>781</v>
      </c>
      <c r="K202" s="337"/>
    </row>
    <row r="203" spans="1:11" ht="120">
      <c r="A203" s="548">
        <v>202</v>
      </c>
      <c r="B203" s="549" t="s">
        <v>39</v>
      </c>
      <c r="C203" s="549" t="s">
        <v>402</v>
      </c>
      <c r="D203" s="549" t="s">
        <v>219</v>
      </c>
      <c r="E203" s="549" t="s">
        <v>1881</v>
      </c>
      <c r="F203" s="549" t="s">
        <v>1881</v>
      </c>
      <c r="G203" s="549" t="s">
        <v>1881</v>
      </c>
      <c r="H203" s="549"/>
      <c r="I203" s="549"/>
      <c r="J203" s="549" t="s">
        <v>781</v>
      </c>
      <c r="K203" s="551" t="s">
        <v>782</v>
      </c>
    </row>
    <row r="204" spans="1:11" ht="120">
      <c r="A204" s="548">
        <v>203</v>
      </c>
      <c r="B204" s="549" t="s">
        <v>39</v>
      </c>
      <c r="C204" s="549" t="s">
        <v>404</v>
      </c>
      <c r="D204" s="549" t="s">
        <v>219</v>
      </c>
      <c r="E204" s="549" t="s">
        <v>1881</v>
      </c>
      <c r="F204" s="549" t="s">
        <v>1881</v>
      </c>
      <c r="G204" s="549" t="s">
        <v>1881</v>
      </c>
      <c r="H204" s="549"/>
      <c r="I204" s="549"/>
      <c r="J204" s="549" t="s">
        <v>781</v>
      </c>
      <c r="K204" s="337"/>
    </row>
    <row r="205" spans="1:11" ht="108.95" customHeight="1">
      <c r="A205" s="548">
        <v>204</v>
      </c>
      <c r="B205" s="549" t="s">
        <v>39</v>
      </c>
      <c r="C205" s="549" t="s">
        <v>408</v>
      </c>
      <c r="D205" s="549" t="s">
        <v>764</v>
      </c>
      <c r="E205" s="549" t="s">
        <v>1881</v>
      </c>
      <c r="F205" s="549" t="s">
        <v>1881</v>
      </c>
      <c r="G205" s="549" t="s">
        <v>1881</v>
      </c>
      <c r="H205" s="549"/>
      <c r="I205" s="549"/>
      <c r="J205" s="549" t="s">
        <v>783</v>
      </c>
      <c r="K205" s="337"/>
    </row>
    <row r="206" spans="1:11" ht="114.95" customHeight="1">
      <c r="A206" s="548">
        <v>205</v>
      </c>
      <c r="B206" s="549" t="s">
        <v>39</v>
      </c>
      <c r="C206" s="549" t="s">
        <v>411</v>
      </c>
      <c r="D206" s="549" t="s">
        <v>764</v>
      </c>
      <c r="E206" s="549" t="s">
        <v>1882</v>
      </c>
      <c r="F206" s="549" t="s">
        <v>1882</v>
      </c>
      <c r="G206" s="549" t="s">
        <v>1882</v>
      </c>
      <c r="H206" s="549"/>
      <c r="I206" s="549"/>
      <c r="J206" s="549" t="s">
        <v>783</v>
      </c>
      <c r="K206" s="337"/>
    </row>
    <row r="207" spans="1:11" ht="117" customHeight="1">
      <c r="A207" s="548">
        <v>206</v>
      </c>
      <c r="B207" s="549" t="s">
        <v>39</v>
      </c>
      <c r="C207" s="549" t="s">
        <v>412</v>
      </c>
      <c r="D207" s="549" t="s">
        <v>764</v>
      </c>
      <c r="E207" s="549" t="s">
        <v>1882</v>
      </c>
      <c r="F207" s="549" t="s">
        <v>1882</v>
      </c>
      <c r="G207" s="549" t="s">
        <v>1882</v>
      </c>
      <c r="H207" s="549"/>
      <c r="I207" s="549"/>
      <c r="J207" s="549" t="s">
        <v>783</v>
      </c>
      <c r="K207" s="337"/>
    </row>
    <row r="208" spans="1:11" ht="111" customHeight="1">
      <c r="A208" s="548">
        <v>207</v>
      </c>
      <c r="B208" s="549" t="s">
        <v>39</v>
      </c>
      <c r="C208" s="549" t="s">
        <v>408</v>
      </c>
      <c r="D208" s="549" t="s">
        <v>416</v>
      </c>
      <c r="E208" s="549" t="s">
        <v>1882</v>
      </c>
      <c r="F208" s="549" t="s">
        <v>1882</v>
      </c>
      <c r="G208" s="549" t="s">
        <v>1882</v>
      </c>
      <c r="H208" s="549"/>
      <c r="I208" s="549"/>
      <c r="J208" s="549" t="s">
        <v>784</v>
      </c>
    </row>
    <row r="209" spans="1:10" ht="138" customHeight="1">
      <c r="A209" s="548">
        <v>208</v>
      </c>
      <c r="B209" s="549" t="s">
        <v>39</v>
      </c>
      <c r="C209" s="549" t="s">
        <v>411</v>
      </c>
      <c r="D209" s="549" t="s">
        <v>416</v>
      </c>
      <c r="E209" s="549" t="s">
        <v>1882</v>
      </c>
      <c r="F209" s="549" t="s">
        <v>1882</v>
      </c>
      <c r="G209" s="549" t="s">
        <v>1882</v>
      </c>
      <c r="H209" s="549"/>
      <c r="I209" s="549"/>
      <c r="J209" s="549" t="s">
        <v>784</v>
      </c>
    </row>
    <row r="210" spans="1:10" ht="105">
      <c r="A210" s="548">
        <v>209</v>
      </c>
      <c r="B210" s="549" t="s">
        <v>39</v>
      </c>
      <c r="C210" s="549" t="s">
        <v>412</v>
      </c>
      <c r="D210" s="549" t="s">
        <v>416</v>
      </c>
      <c r="E210" s="549" t="s">
        <v>1882</v>
      </c>
      <c r="F210" s="549" t="s">
        <v>1882</v>
      </c>
      <c r="G210" s="549" t="s">
        <v>1882</v>
      </c>
      <c r="H210" s="549"/>
      <c r="I210" s="549"/>
      <c r="J210" s="549" t="s">
        <v>784</v>
      </c>
    </row>
    <row r="211" spans="1:10" ht="210">
      <c r="A211" s="548">
        <v>210</v>
      </c>
      <c r="B211" s="549" t="s">
        <v>39</v>
      </c>
      <c r="C211" s="549" t="s">
        <v>142</v>
      </c>
      <c r="D211" s="549" t="s">
        <v>748</v>
      </c>
      <c r="E211" s="549" t="s">
        <v>1882</v>
      </c>
      <c r="F211" s="549" t="s">
        <v>1882</v>
      </c>
      <c r="G211" s="549" t="s">
        <v>1882</v>
      </c>
      <c r="H211" s="549"/>
      <c r="I211" s="549"/>
      <c r="J211" s="549" t="s">
        <v>769</v>
      </c>
    </row>
    <row r="212" spans="1:10" ht="204.6" customHeight="1">
      <c r="A212" s="548">
        <v>211</v>
      </c>
      <c r="B212" s="549" t="s">
        <v>39</v>
      </c>
      <c r="C212" s="549" t="s">
        <v>142</v>
      </c>
      <c r="D212" s="549" t="s">
        <v>760</v>
      </c>
      <c r="E212" s="549">
        <v>9.3696894941894288E-2</v>
      </c>
      <c r="F212" s="549">
        <v>9.3696894941894288E-2</v>
      </c>
      <c r="G212" s="549">
        <v>9.3696894941894288E-2</v>
      </c>
      <c r="H212" s="549">
        <v>0.28109068482568289</v>
      </c>
      <c r="I212" s="549">
        <v>0.19363911803621414</v>
      </c>
      <c r="J212" s="549" t="s">
        <v>785</v>
      </c>
    </row>
    <row r="213" spans="1:10" ht="74.45" customHeight="1">
      <c r="A213" s="548">
        <v>212</v>
      </c>
      <c r="B213" s="549" t="s">
        <v>39</v>
      </c>
      <c r="C213" s="549" t="s">
        <v>142</v>
      </c>
      <c r="D213" s="549" t="s">
        <v>416</v>
      </c>
      <c r="E213" s="549" t="s">
        <v>1881</v>
      </c>
      <c r="F213" s="549" t="s">
        <v>1881</v>
      </c>
      <c r="G213" s="549" t="s">
        <v>1881</v>
      </c>
      <c r="H213" s="549"/>
      <c r="I213" s="549"/>
      <c r="J213" s="549" t="s">
        <v>786</v>
      </c>
    </row>
    <row r="214" spans="1:10" ht="60">
      <c r="A214" s="548">
        <v>213</v>
      </c>
      <c r="B214" s="549" t="s">
        <v>39</v>
      </c>
      <c r="C214" s="549" t="s">
        <v>92</v>
      </c>
      <c r="D214" s="549" t="s">
        <v>93</v>
      </c>
      <c r="E214" s="549" t="s">
        <v>1881</v>
      </c>
      <c r="F214" s="549" t="s">
        <v>1881</v>
      </c>
      <c r="G214" s="549" t="s">
        <v>1881</v>
      </c>
      <c r="H214" s="549"/>
      <c r="I214" s="549"/>
      <c r="J214" s="549" t="s">
        <v>738</v>
      </c>
    </row>
    <row r="215" spans="1:10" ht="60">
      <c r="A215" s="548">
        <v>214</v>
      </c>
      <c r="B215" s="549" t="s">
        <v>39</v>
      </c>
      <c r="C215" s="549" t="s">
        <v>95</v>
      </c>
      <c r="D215" s="549" t="s">
        <v>93</v>
      </c>
      <c r="E215" s="549">
        <v>292.93386693769145</v>
      </c>
      <c r="F215" s="549">
        <v>292.93386693769145</v>
      </c>
      <c r="G215" s="549">
        <v>292.93386693769145</v>
      </c>
      <c r="H215" s="549">
        <v>878.8016008130744</v>
      </c>
      <c r="I215" s="549">
        <v>582.93839520600602</v>
      </c>
      <c r="J215" s="549" t="s">
        <v>738</v>
      </c>
    </row>
    <row r="216" spans="1:10" ht="75">
      <c r="A216" s="548">
        <v>215</v>
      </c>
      <c r="B216" s="549" t="s">
        <v>39</v>
      </c>
      <c r="C216" s="549" t="s">
        <v>96</v>
      </c>
      <c r="D216" s="549" t="s">
        <v>93</v>
      </c>
      <c r="E216" s="549">
        <v>6.2935963617522572E-2</v>
      </c>
      <c r="F216" s="549">
        <v>6.2935963617522572E-2</v>
      </c>
      <c r="G216" s="549">
        <v>6.2935963617522572E-2</v>
      </c>
      <c r="H216" s="549">
        <v>0.18880789085256772</v>
      </c>
      <c r="I216" s="549">
        <v>0.12524256759886992</v>
      </c>
      <c r="J216" s="549" t="s">
        <v>738</v>
      </c>
    </row>
    <row r="217" spans="1:10" ht="60">
      <c r="A217" s="548">
        <v>216</v>
      </c>
      <c r="B217" s="549" t="s">
        <v>39</v>
      </c>
      <c r="C217" s="549" t="s">
        <v>97</v>
      </c>
      <c r="D217" s="549" t="s">
        <v>93</v>
      </c>
      <c r="E217" s="549">
        <v>0.46665993497270547</v>
      </c>
      <c r="F217" s="549">
        <v>0.46665993497270547</v>
      </c>
      <c r="G217" s="549">
        <v>0.46665993497270547</v>
      </c>
      <c r="H217" s="549">
        <v>1.3999798049181165</v>
      </c>
      <c r="I217" s="549">
        <v>0.92865327059568392</v>
      </c>
      <c r="J217" s="549" t="s">
        <v>738</v>
      </c>
    </row>
    <row r="218" spans="1:10" ht="60">
      <c r="A218" s="548">
        <v>217</v>
      </c>
      <c r="B218" s="549" t="s">
        <v>39</v>
      </c>
      <c r="C218" s="549" t="s">
        <v>98</v>
      </c>
      <c r="D218" s="549" t="s">
        <v>93</v>
      </c>
      <c r="E218" s="549">
        <v>409.87968010410589</v>
      </c>
      <c r="F218" s="549">
        <v>409.87968010410589</v>
      </c>
      <c r="G218" s="549">
        <v>409.87968010410589</v>
      </c>
      <c r="H218" s="549">
        <v>1229.6390403123178</v>
      </c>
      <c r="I218" s="549">
        <v>815.66056340717068</v>
      </c>
      <c r="J218" s="549" t="s">
        <v>738</v>
      </c>
    </row>
    <row r="219" spans="1:10" ht="75">
      <c r="A219" s="548">
        <v>218</v>
      </c>
      <c r="B219" s="549" t="s">
        <v>39</v>
      </c>
      <c r="C219" s="549" t="s">
        <v>99</v>
      </c>
      <c r="D219" s="549" t="s">
        <v>93</v>
      </c>
      <c r="E219" s="549">
        <v>8.8061421181050301E-2</v>
      </c>
      <c r="F219" s="549">
        <v>8.8061421181050301E-2</v>
      </c>
      <c r="G219" s="549">
        <v>8.8061421181050301E-2</v>
      </c>
      <c r="H219" s="549">
        <v>0.26418426354315089</v>
      </c>
      <c r="I219" s="549">
        <v>0.17524222815029009</v>
      </c>
      <c r="J219" s="549" t="s">
        <v>738</v>
      </c>
    </row>
    <row r="220" spans="1:10" ht="45">
      <c r="A220" s="548">
        <v>219</v>
      </c>
      <c r="B220" s="549" t="s">
        <v>39</v>
      </c>
      <c r="C220" s="549" t="s">
        <v>438</v>
      </c>
      <c r="D220" s="549" t="s">
        <v>439</v>
      </c>
      <c r="E220" s="549">
        <v>0.65296111666289658</v>
      </c>
      <c r="F220" s="549">
        <v>0.65296111666289658</v>
      </c>
      <c r="G220" s="549">
        <v>0.65296111666289658</v>
      </c>
      <c r="H220" s="549">
        <v>1.9588833499886897</v>
      </c>
      <c r="I220" s="549">
        <v>1.2993926221591643</v>
      </c>
      <c r="J220" s="549" t="s">
        <v>787</v>
      </c>
    </row>
    <row r="221" spans="1:10" ht="120">
      <c r="A221" s="548">
        <v>220</v>
      </c>
      <c r="B221" s="549" t="s">
        <v>39</v>
      </c>
      <c r="C221" s="549" t="s">
        <v>142</v>
      </c>
      <c r="D221" s="549" t="s">
        <v>446</v>
      </c>
      <c r="E221" s="549" t="s">
        <v>1882</v>
      </c>
      <c r="F221" s="549" t="s">
        <v>1882</v>
      </c>
      <c r="G221" s="549" t="s">
        <v>1882</v>
      </c>
      <c r="H221" s="549"/>
      <c r="I221" s="549"/>
      <c r="J221" s="549" t="s">
        <v>788</v>
      </c>
    </row>
    <row r="222" spans="1:10" ht="105">
      <c r="A222" s="548">
        <v>221</v>
      </c>
      <c r="B222" s="549" t="s">
        <v>39</v>
      </c>
      <c r="C222" s="549" t="s">
        <v>752</v>
      </c>
      <c r="D222" s="549" t="s">
        <v>452</v>
      </c>
      <c r="E222" s="549">
        <v>1.4186644883065102E-2</v>
      </c>
      <c r="F222" s="549">
        <v>1.4186644883065102E-2</v>
      </c>
      <c r="G222" s="549">
        <v>1.4186644883065102E-2</v>
      </c>
      <c r="H222" s="549">
        <v>4.2559934649195302E-2</v>
      </c>
      <c r="I222" s="549">
        <v>2.9318894769707064E-2</v>
      </c>
      <c r="J222" s="549" t="s">
        <v>789</v>
      </c>
    </row>
    <row r="223" spans="1:10" ht="150">
      <c r="A223" s="548">
        <v>222</v>
      </c>
      <c r="B223" s="549" t="s">
        <v>39</v>
      </c>
      <c r="C223" s="549" t="s">
        <v>142</v>
      </c>
      <c r="D223" s="549" t="s">
        <v>458</v>
      </c>
      <c r="E223" s="549">
        <v>51924.088203341635</v>
      </c>
      <c r="F223" s="549">
        <v>51924.088203341635</v>
      </c>
      <c r="G223" s="549">
        <v>51924.088203341635</v>
      </c>
      <c r="H223" s="549">
        <v>155772.2646100249</v>
      </c>
      <c r="I223" s="549">
        <v>107309.15523684045</v>
      </c>
      <c r="J223" s="549" t="s">
        <v>790</v>
      </c>
    </row>
    <row r="224" spans="1:10" ht="45">
      <c r="A224" s="548">
        <v>223</v>
      </c>
      <c r="B224" s="549" t="s">
        <v>39</v>
      </c>
      <c r="C224" s="549" t="s">
        <v>791</v>
      </c>
      <c r="D224" s="549" t="s">
        <v>53</v>
      </c>
      <c r="E224" s="549" t="s">
        <v>1881</v>
      </c>
      <c r="F224" s="549" t="s">
        <v>1881</v>
      </c>
      <c r="G224" s="549" t="s">
        <v>1881</v>
      </c>
      <c r="H224" s="549"/>
      <c r="I224" s="549"/>
      <c r="J224" s="549" t="s">
        <v>738</v>
      </c>
    </row>
    <row r="225" spans="1:10" ht="45">
      <c r="A225" s="548">
        <v>224</v>
      </c>
      <c r="B225" s="549" t="s">
        <v>39</v>
      </c>
      <c r="C225" s="549" t="s">
        <v>791</v>
      </c>
      <c r="D225" s="549" t="s">
        <v>53</v>
      </c>
      <c r="E225" s="549">
        <v>676.02408997536736</v>
      </c>
      <c r="F225" s="549">
        <v>676.02408997536736</v>
      </c>
      <c r="G225" s="549">
        <v>676.02408997536736</v>
      </c>
      <c r="H225" s="549">
        <v>2028.0722699261021</v>
      </c>
      <c r="I225" s="549">
        <v>1413.7852146493628</v>
      </c>
      <c r="J225" s="549" t="s">
        <v>738</v>
      </c>
    </row>
    <row r="226" spans="1:10" ht="45">
      <c r="A226" s="548">
        <v>225</v>
      </c>
      <c r="B226" s="549" t="s">
        <v>39</v>
      </c>
      <c r="C226" s="549" t="s">
        <v>792</v>
      </c>
      <c r="D226" s="549" t="s">
        <v>53</v>
      </c>
      <c r="E226" s="549">
        <v>406.57401239875924</v>
      </c>
      <c r="F226" s="549">
        <v>406.57401239875924</v>
      </c>
      <c r="G226" s="549">
        <v>406.57401239875924</v>
      </c>
      <c r="H226" s="549">
        <v>1219.7220371962776</v>
      </c>
      <c r="I226" s="549">
        <v>852.2893368082913</v>
      </c>
      <c r="J226" s="549" t="s">
        <v>738</v>
      </c>
    </row>
    <row r="227" spans="1:10" ht="45">
      <c r="A227" s="548">
        <v>226</v>
      </c>
      <c r="B227" s="549" t="s">
        <v>39</v>
      </c>
      <c r="C227" s="549" t="s">
        <v>792</v>
      </c>
      <c r="D227" s="549" t="s">
        <v>53</v>
      </c>
      <c r="E227" s="549">
        <v>3443987.4168884717</v>
      </c>
      <c r="F227" s="549">
        <v>3443987.4168884717</v>
      </c>
      <c r="G227" s="549">
        <v>3443987.4168884717</v>
      </c>
      <c r="H227" s="549">
        <v>10331962.250665415</v>
      </c>
      <c r="I227" s="549">
        <v>7117532.4043307127</v>
      </c>
      <c r="J227" s="549" t="s">
        <v>738</v>
      </c>
    </row>
    <row r="228" spans="1:10" ht="45">
      <c r="A228" s="548">
        <v>227</v>
      </c>
      <c r="B228" s="549" t="s">
        <v>39</v>
      </c>
      <c r="C228" s="549" t="s">
        <v>793</v>
      </c>
      <c r="D228" s="549" t="s">
        <v>53</v>
      </c>
      <c r="E228" s="549">
        <v>2067666.9880479064</v>
      </c>
      <c r="F228" s="549">
        <v>2067666.9880479064</v>
      </c>
      <c r="G228" s="549">
        <v>2067666.9880479064</v>
      </c>
      <c r="H228" s="549">
        <v>6203000.9641437195</v>
      </c>
      <c r="I228" s="549">
        <v>4275788.9566113846</v>
      </c>
      <c r="J228" s="549" t="s">
        <v>738</v>
      </c>
    </row>
    <row r="229" spans="1:10" ht="45">
      <c r="A229" s="548">
        <v>228</v>
      </c>
      <c r="B229" s="549" t="s">
        <v>39</v>
      </c>
      <c r="C229" s="549" t="s">
        <v>793</v>
      </c>
      <c r="D229" s="549" t="s">
        <v>53</v>
      </c>
      <c r="E229" s="549">
        <v>52361.373370805348</v>
      </c>
      <c r="F229" s="549">
        <v>52361.373370805348</v>
      </c>
      <c r="G229" s="549">
        <v>52361.373370805348</v>
      </c>
      <c r="H229" s="549">
        <v>157084.12011241604</v>
      </c>
      <c r="I229" s="549">
        <v>113213.99106190448</v>
      </c>
      <c r="J229" s="549" t="s">
        <v>738</v>
      </c>
    </row>
    <row r="230" spans="1:10" ht="45">
      <c r="A230" s="548">
        <v>229</v>
      </c>
      <c r="B230" s="549" t="s">
        <v>39</v>
      </c>
      <c r="C230" s="549" t="s">
        <v>791</v>
      </c>
      <c r="D230" s="549" t="s">
        <v>53</v>
      </c>
      <c r="E230" s="549">
        <v>30819.674920961261</v>
      </c>
      <c r="F230" s="549">
        <v>30819.674920961261</v>
      </c>
      <c r="G230" s="549">
        <v>30819.674920961261</v>
      </c>
      <c r="H230" s="549">
        <v>92459.024762883782</v>
      </c>
      <c r="I230" s="549">
        <v>65370.661852309859</v>
      </c>
      <c r="J230" s="549" t="s">
        <v>738</v>
      </c>
    </row>
    <row r="231" spans="1:10" ht="45">
      <c r="A231" s="548">
        <v>230</v>
      </c>
      <c r="B231" s="549" t="s">
        <v>39</v>
      </c>
      <c r="C231" s="549" t="s">
        <v>791</v>
      </c>
      <c r="D231" s="549" t="s">
        <v>53</v>
      </c>
      <c r="E231" s="549">
        <v>8081.5310417933315</v>
      </c>
      <c r="F231" s="549">
        <v>8081.5310417933315</v>
      </c>
      <c r="G231" s="549">
        <v>8081.5310417933315</v>
      </c>
      <c r="H231" s="549">
        <v>24244.593125379994</v>
      </c>
      <c r="I231" s="549">
        <v>16901.097561528604</v>
      </c>
      <c r="J231" s="549" t="s">
        <v>738</v>
      </c>
    </row>
    <row r="232" spans="1:10" ht="45">
      <c r="A232" s="548">
        <v>231</v>
      </c>
      <c r="B232" s="549" t="s">
        <v>39</v>
      </c>
      <c r="C232" s="549" t="s">
        <v>792</v>
      </c>
      <c r="D232" s="549" t="s">
        <v>53</v>
      </c>
      <c r="E232" s="549">
        <v>4860.3896676326531</v>
      </c>
      <c r="F232" s="549">
        <v>4860.3896676326531</v>
      </c>
      <c r="G232" s="549">
        <v>4860.3896676326531</v>
      </c>
      <c r="H232" s="549">
        <v>14581.169002897959</v>
      </c>
      <c r="I232" s="549">
        <v>10188.694210966119</v>
      </c>
      <c r="J232" s="549" t="s">
        <v>738</v>
      </c>
    </row>
    <row r="233" spans="1:10" ht="45">
      <c r="A233" s="548">
        <v>232</v>
      </c>
      <c r="B233" s="549" t="s">
        <v>39</v>
      </c>
      <c r="C233" s="549" t="s">
        <v>792</v>
      </c>
      <c r="D233" s="549" t="s">
        <v>53</v>
      </c>
      <c r="E233" s="549">
        <v>41799714.521067731</v>
      </c>
      <c r="F233" s="549">
        <v>41799714.521067731</v>
      </c>
      <c r="G233" s="549">
        <v>41799714.521067731</v>
      </c>
      <c r="H233" s="549">
        <v>125399143.56320319</v>
      </c>
      <c r="I233" s="549">
        <v>86385571.891625479</v>
      </c>
      <c r="J233" s="549" t="s">
        <v>738</v>
      </c>
    </row>
    <row r="234" spans="1:10" ht="45">
      <c r="A234" s="548">
        <v>233</v>
      </c>
      <c r="B234" s="549" t="s">
        <v>39</v>
      </c>
      <c r="C234" s="549" t="s">
        <v>793</v>
      </c>
      <c r="D234" s="549" t="s">
        <v>53</v>
      </c>
      <c r="E234" s="549">
        <v>25095297.793835469</v>
      </c>
      <c r="F234" s="549">
        <v>25095297.793835469</v>
      </c>
      <c r="G234" s="549">
        <v>25095297.793835469</v>
      </c>
      <c r="H234" s="549">
        <v>75285893.381506413</v>
      </c>
      <c r="I234" s="549">
        <v>51895299.286593646</v>
      </c>
      <c r="J234" s="549" t="s">
        <v>738</v>
      </c>
    </row>
    <row r="235" spans="1:10" ht="45">
      <c r="A235" s="548">
        <v>234</v>
      </c>
      <c r="B235" s="549" t="s">
        <v>39</v>
      </c>
      <c r="C235" s="549" t="s">
        <v>793</v>
      </c>
      <c r="D235" s="549" t="s">
        <v>53</v>
      </c>
      <c r="E235" s="549">
        <v>518483.77764732618</v>
      </c>
      <c r="F235" s="549">
        <v>518483.77764732618</v>
      </c>
      <c r="G235" s="549">
        <v>518483.77764732618</v>
      </c>
      <c r="H235" s="549">
        <v>1555451.3329419785</v>
      </c>
      <c r="I235" s="549">
        <v>1121048.0930783886</v>
      </c>
      <c r="J235" s="549" t="s">
        <v>738</v>
      </c>
    </row>
    <row r="236" spans="1:10" ht="30">
      <c r="A236" s="548">
        <v>235</v>
      </c>
      <c r="B236" s="549" t="s">
        <v>39</v>
      </c>
      <c r="C236" s="549" t="s">
        <v>768</v>
      </c>
      <c r="D236" s="549" t="s">
        <v>44</v>
      </c>
      <c r="E236" s="549">
        <v>305177.27955149597</v>
      </c>
      <c r="F236" s="549">
        <v>305177.27955149597</v>
      </c>
      <c r="G236" s="549">
        <v>305177.27955149597</v>
      </c>
      <c r="H236" s="549">
        <v>915531.83865448786</v>
      </c>
      <c r="I236" s="549">
        <v>647302.1145657968</v>
      </c>
      <c r="J236" s="549" t="s">
        <v>48</v>
      </c>
    </row>
    <row r="237" spans="1:10" ht="210">
      <c r="A237" s="548">
        <v>236</v>
      </c>
      <c r="B237" s="549" t="s">
        <v>39</v>
      </c>
      <c r="C237" s="549" t="s">
        <v>142</v>
      </c>
      <c r="D237" s="549" t="s">
        <v>748</v>
      </c>
      <c r="E237" s="549">
        <v>6151.0053413656969</v>
      </c>
      <c r="F237" s="549">
        <v>1046.2355046550006</v>
      </c>
      <c r="G237" s="549">
        <v>1046.2355046550006</v>
      </c>
      <c r="H237" s="549">
        <v>3138.7065139650017</v>
      </c>
      <c r="I237" s="549">
        <v>2162.2074083159782</v>
      </c>
      <c r="J237" s="549" t="s">
        <v>769</v>
      </c>
    </row>
    <row r="238" spans="1:10" ht="210">
      <c r="A238" s="548">
        <v>237</v>
      </c>
      <c r="B238" s="549" t="s">
        <v>39</v>
      </c>
      <c r="C238" s="549" t="s">
        <v>142</v>
      </c>
      <c r="D238" s="549" t="s">
        <v>748</v>
      </c>
      <c r="E238" s="549" t="s">
        <v>1881</v>
      </c>
      <c r="F238" s="549" t="s">
        <v>1881</v>
      </c>
      <c r="G238" s="549" t="s">
        <v>1881</v>
      </c>
      <c r="H238" s="549"/>
      <c r="I238" s="549"/>
      <c r="J238" s="549" t="s">
        <v>769</v>
      </c>
    </row>
    <row r="239" spans="1:10" ht="210">
      <c r="A239" s="548">
        <v>238</v>
      </c>
      <c r="B239" s="549" t="s">
        <v>39</v>
      </c>
      <c r="C239" s="549" t="s">
        <v>142</v>
      </c>
      <c r="D239" s="549" t="s">
        <v>748</v>
      </c>
      <c r="E239" s="549">
        <v>0</v>
      </c>
      <c r="F239" s="549">
        <v>0</v>
      </c>
      <c r="G239" s="549">
        <v>0</v>
      </c>
      <c r="H239" s="549">
        <v>0</v>
      </c>
      <c r="I239" s="549">
        <v>0</v>
      </c>
      <c r="J239" s="549" t="s">
        <v>769</v>
      </c>
    </row>
    <row r="240" spans="1:10" ht="180">
      <c r="A240" s="548">
        <v>239</v>
      </c>
      <c r="B240" s="549" t="s">
        <v>39</v>
      </c>
      <c r="C240" s="549" t="s">
        <v>142</v>
      </c>
      <c r="D240" s="549" t="s">
        <v>474</v>
      </c>
      <c r="E240" s="549">
        <v>0.49279394107471564</v>
      </c>
      <c r="F240" s="549">
        <v>0.49279394107471564</v>
      </c>
      <c r="G240" s="549">
        <v>0.49279394107471564</v>
      </c>
      <c r="H240" s="549">
        <v>1.4783818232241468</v>
      </c>
      <c r="I240" s="549">
        <v>1.0184348604345417</v>
      </c>
      <c r="J240" s="549" t="s">
        <v>794</v>
      </c>
    </row>
    <row r="241" spans="1:10" ht="180">
      <c r="A241" s="548">
        <v>240</v>
      </c>
      <c r="B241" s="549" t="s">
        <v>39</v>
      </c>
      <c r="C241" s="549" t="s">
        <v>142</v>
      </c>
      <c r="D241" s="549" t="s">
        <v>474</v>
      </c>
      <c r="E241" s="549" t="s">
        <v>1882</v>
      </c>
      <c r="F241" s="549" t="s">
        <v>1882</v>
      </c>
      <c r="G241" s="549" t="s">
        <v>1882</v>
      </c>
      <c r="H241" s="549"/>
      <c r="I241" s="549"/>
      <c r="J241" s="549" t="s">
        <v>795</v>
      </c>
    </row>
    <row r="242" spans="1:10" ht="180">
      <c r="A242" s="548">
        <v>241</v>
      </c>
      <c r="B242" s="549" t="s">
        <v>39</v>
      </c>
      <c r="C242" s="549" t="s">
        <v>142</v>
      </c>
      <c r="D242" s="549" t="s">
        <v>474</v>
      </c>
      <c r="E242" s="549" t="s">
        <v>1882</v>
      </c>
      <c r="F242" s="549" t="s">
        <v>1882</v>
      </c>
      <c r="G242" s="549" t="s">
        <v>1882</v>
      </c>
      <c r="H242" s="549"/>
      <c r="I242" s="549"/>
      <c r="J242" s="549" t="s">
        <v>796</v>
      </c>
    </row>
    <row r="243" spans="1:10" ht="45">
      <c r="A243" s="548">
        <v>242</v>
      </c>
      <c r="B243" s="549" t="s">
        <v>39</v>
      </c>
      <c r="C243" s="549" t="s">
        <v>797</v>
      </c>
      <c r="D243" s="549" t="s">
        <v>93</v>
      </c>
      <c r="E243" s="549" t="s">
        <v>1882</v>
      </c>
      <c r="F243" s="549" t="s">
        <v>1882</v>
      </c>
      <c r="G243" s="549" t="s">
        <v>1882</v>
      </c>
      <c r="H243" s="549"/>
      <c r="I243" s="549"/>
      <c r="J243" s="549" t="s">
        <v>738</v>
      </c>
    </row>
    <row r="244" spans="1:10" ht="45">
      <c r="A244" s="548">
        <v>243</v>
      </c>
      <c r="B244" s="549" t="s">
        <v>39</v>
      </c>
      <c r="C244" s="549" t="s">
        <v>798</v>
      </c>
      <c r="D244" s="549" t="s">
        <v>93</v>
      </c>
      <c r="E244" s="549">
        <v>645.8541665847365</v>
      </c>
      <c r="F244" s="549">
        <v>645.8541665847365</v>
      </c>
      <c r="G244" s="549">
        <v>645.8541665847365</v>
      </c>
      <c r="H244" s="549">
        <v>1937.5624997542095</v>
      </c>
      <c r="I244" s="549">
        <v>1285.2497915036256</v>
      </c>
      <c r="J244" s="549" t="s">
        <v>738</v>
      </c>
    </row>
    <row r="245" spans="1:10" ht="45">
      <c r="A245" s="548">
        <v>244</v>
      </c>
      <c r="B245" s="549" t="s">
        <v>39</v>
      </c>
      <c r="C245" s="549" t="s">
        <v>799</v>
      </c>
      <c r="D245" s="549" t="s">
        <v>93</v>
      </c>
      <c r="E245" s="549">
        <v>0.12339609867903148</v>
      </c>
      <c r="F245" s="549">
        <v>0.12339609867903148</v>
      </c>
      <c r="G245" s="549">
        <v>0.12339609867903148</v>
      </c>
      <c r="H245" s="549">
        <v>0.37018829603709447</v>
      </c>
      <c r="I245" s="549">
        <v>0.24555823637127264</v>
      </c>
      <c r="J245" s="549" t="s">
        <v>738</v>
      </c>
    </row>
    <row r="246" spans="1:10" ht="45">
      <c r="A246" s="548">
        <v>245</v>
      </c>
      <c r="B246" s="549" t="s">
        <v>39</v>
      </c>
      <c r="C246" s="549" t="s">
        <v>797</v>
      </c>
      <c r="D246" s="549" t="s">
        <v>93</v>
      </c>
      <c r="E246" s="549">
        <v>0.9242388365030243</v>
      </c>
      <c r="F246" s="549">
        <v>0.9242388365030243</v>
      </c>
      <c r="G246" s="549">
        <v>0.9242388365030243</v>
      </c>
      <c r="H246" s="549">
        <v>2.7727165095090731</v>
      </c>
      <c r="I246" s="549">
        <v>1.8392352846410183</v>
      </c>
      <c r="J246" s="549" t="s">
        <v>738</v>
      </c>
    </row>
    <row r="247" spans="1:10" ht="45">
      <c r="A247" s="548">
        <v>246</v>
      </c>
      <c r="B247" s="549" t="s">
        <v>39</v>
      </c>
      <c r="C247" s="549" t="s">
        <v>798</v>
      </c>
      <c r="D247" s="549" t="s">
        <v>93</v>
      </c>
      <c r="E247" s="549">
        <v>787.61683518185328</v>
      </c>
      <c r="F247" s="549">
        <v>787.61683518185328</v>
      </c>
      <c r="G247" s="549">
        <v>787.61683518185328</v>
      </c>
      <c r="H247" s="549">
        <v>2362.8505055455598</v>
      </c>
      <c r="I247" s="549">
        <v>1567.3575020118881</v>
      </c>
      <c r="J247" s="549" t="s">
        <v>738</v>
      </c>
    </row>
    <row r="248" spans="1:10" ht="45">
      <c r="A248" s="548">
        <v>247</v>
      </c>
      <c r="B248" s="549" t="s">
        <v>39</v>
      </c>
      <c r="C248" s="549" t="s">
        <v>799</v>
      </c>
      <c r="D248" s="549" t="s">
        <v>93</v>
      </c>
      <c r="E248" s="549">
        <v>0.15048109889775743</v>
      </c>
      <c r="F248" s="549">
        <v>0.15048109889775743</v>
      </c>
      <c r="G248" s="549">
        <v>0.15048109889775743</v>
      </c>
      <c r="H248" s="549">
        <v>0.45144329669327232</v>
      </c>
      <c r="I248" s="549">
        <v>0.29945738680653727</v>
      </c>
      <c r="J248" s="549" t="s">
        <v>738</v>
      </c>
    </row>
    <row r="249" spans="1:10" ht="75">
      <c r="A249" s="548">
        <v>248</v>
      </c>
      <c r="B249" s="549" t="s">
        <v>39</v>
      </c>
      <c r="C249" s="549" t="s">
        <v>297</v>
      </c>
      <c r="D249" s="549" t="s">
        <v>298</v>
      </c>
      <c r="E249" s="549">
        <v>1.1271059397325469</v>
      </c>
      <c r="F249" s="549">
        <v>1.1271059397325469</v>
      </c>
      <c r="G249" s="549">
        <v>1.1271059397325469</v>
      </c>
      <c r="H249" s="549">
        <v>3.3813178191976405</v>
      </c>
      <c r="I249" s="549">
        <v>2.2429408200677683</v>
      </c>
      <c r="J249" s="549" t="s">
        <v>767</v>
      </c>
    </row>
    <row r="250" spans="1:10" ht="75">
      <c r="A250" s="548">
        <v>249</v>
      </c>
      <c r="B250" s="549" t="s">
        <v>39</v>
      </c>
      <c r="C250" s="549" t="s">
        <v>300</v>
      </c>
      <c r="D250" s="549" t="s">
        <v>298</v>
      </c>
      <c r="E250" s="549">
        <v>9.9858476131225223E-4</v>
      </c>
      <c r="F250" s="549">
        <v>9.9858476131225223E-4</v>
      </c>
      <c r="G250" s="549">
        <v>9.9858476131225223E-4</v>
      </c>
      <c r="H250" s="549">
        <v>2.9957542839367567E-3</v>
      </c>
      <c r="I250" s="549">
        <v>2.0637297808515686E-3</v>
      </c>
      <c r="J250" s="549" t="s">
        <v>767</v>
      </c>
    </row>
    <row r="251" spans="1:10" ht="75">
      <c r="A251" s="548">
        <v>250</v>
      </c>
      <c r="B251" s="549" t="s">
        <v>39</v>
      </c>
      <c r="C251" s="549" t="s">
        <v>301</v>
      </c>
      <c r="D251" s="549" t="s">
        <v>298</v>
      </c>
      <c r="E251" s="549">
        <v>5.9915088059546754E-4</v>
      </c>
      <c r="F251" s="549">
        <v>5.9915088059546754E-4</v>
      </c>
      <c r="G251" s="549">
        <v>5.9915088059546754E-4</v>
      </c>
      <c r="H251" s="549">
        <v>1.7974526417864026E-3</v>
      </c>
      <c r="I251" s="549">
        <v>1.2382379177140938E-3</v>
      </c>
      <c r="J251" s="549" t="s">
        <v>767</v>
      </c>
    </row>
    <row r="252" spans="1:10" ht="75">
      <c r="A252" s="548">
        <v>251</v>
      </c>
      <c r="B252" s="549" t="s">
        <v>39</v>
      </c>
      <c r="C252" s="549" t="s">
        <v>302</v>
      </c>
      <c r="D252" s="549" t="s">
        <v>298</v>
      </c>
      <c r="E252" s="549">
        <v>7.765318394133612E-4</v>
      </c>
      <c r="F252" s="549">
        <v>7.765318394133612E-4</v>
      </c>
      <c r="G252" s="549">
        <v>7.765318394133612E-4</v>
      </c>
      <c r="H252" s="549">
        <v>2.3295955182400835E-3</v>
      </c>
      <c r="I252" s="549">
        <v>1.6048230905014698E-3</v>
      </c>
      <c r="J252" s="549" t="s">
        <v>767</v>
      </c>
    </row>
    <row r="253" spans="1:10" ht="75">
      <c r="A253" s="548">
        <v>252</v>
      </c>
      <c r="B253" s="549" t="s">
        <v>39</v>
      </c>
      <c r="C253" s="549" t="s">
        <v>303</v>
      </c>
      <c r="D253" s="549" t="s">
        <v>298</v>
      </c>
      <c r="E253" s="549">
        <v>4.6591912216197826E-4</v>
      </c>
      <c r="F253" s="549">
        <v>4.6591912216197826E-4</v>
      </c>
      <c r="G253" s="549">
        <v>4.6591912216197826E-4</v>
      </c>
      <c r="H253" s="549">
        <v>1.3977573664859348E-3</v>
      </c>
      <c r="I253" s="549">
        <v>9.628938925628455E-4</v>
      </c>
      <c r="J253" s="549" t="s">
        <v>767</v>
      </c>
    </row>
    <row r="254" spans="1:10" ht="75">
      <c r="A254" s="548">
        <v>253</v>
      </c>
      <c r="B254" s="549" t="s">
        <v>39</v>
      </c>
      <c r="C254" s="549" t="s">
        <v>305</v>
      </c>
      <c r="D254" s="549" t="s">
        <v>298</v>
      </c>
      <c r="E254" s="549">
        <v>1.8314022057511656E-4</v>
      </c>
      <c r="F254" s="549">
        <v>1.8314022057511656E-4</v>
      </c>
      <c r="G254" s="549">
        <v>1.8314022057511656E-4</v>
      </c>
      <c r="H254" s="549">
        <v>5.4942066172534965E-4</v>
      </c>
      <c r="I254" s="549">
        <v>3.7848757753515294E-4</v>
      </c>
      <c r="J254" s="549" t="s">
        <v>767</v>
      </c>
    </row>
    <row r="255" spans="1:10" ht="75">
      <c r="A255" s="548">
        <v>254</v>
      </c>
      <c r="B255" s="549" t="s">
        <v>39</v>
      </c>
      <c r="C255" s="549" t="s">
        <v>306</v>
      </c>
      <c r="D255" s="549" t="s">
        <v>298</v>
      </c>
      <c r="E255" s="549">
        <v>1.0988413671147334E-4</v>
      </c>
      <c r="F255" s="549">
        <v>1.0988413671147334E-4</v>
      </c>
      <c r="G255" s="549">
        <v>1.0988413671147334E-4</v>
      </c>
      <c r="H255" s="549">
        <v>3.2965241013442002E-4</v>
      </c>
      <c r="I255" s="549">
        <v>2.270925555449394E-4</v>
      </c>
      <c r="J255" s="549" t="s">
        <v>767</v>
      </c>
    </row>
    <row r="256" spans="1:10" ht="75">
      <c r="A256" s="548">
        <v>255</v>
      </c>
      <c r="B256" s="549" t="s">
        <v>39</v>
      </c>
      <c r="C256" s="549" t="s">
        <v>307</v>
      </c>
      <c r="D256" s="549" t="s">
        <v>298</v>
      </c>
      <c r="E256" s="549">
        <v>1.1937583092195435E-2</v>
      </c>
      <c r="F256" s="549">
        <v>1.1937583092195435E-2</v>
      </c>
      <c r="G256" s="549">
        <v>1.1937583092195435E-2</v>
      </c>
      <c r="H256" s="549">
        <v>3.5812749276586307E-2</v>
      </c>
      <c r="I256" s="549">
        <v>2.4670860895553304E-2</v>
      </c>
      <c r="J256" s="549" t="s">
        <v>767</v>
      </c>
    </row>
    <row r="257" spans="1:10" ht="75">
      <c r="A257" s="548">
        <v>256</v>
      </c>
      <c r="B257" s="549" t="s">
        <v>39</v>
      </c>
      <c r="C257" s="549" t="s">
        <v>308</v>
      </c>
      <c r="D257" s="549" t="s">
        <v>298</v>
      </c>
      <c r="E257" s="549">
        <v>7.1625501399314312E-3</v>
      </c>
      <c r="F257" s="549">
        <v>7.1625501399314312E-3</v>
      </c>
      <c r="G257" s="549">
        <v>7.1625501399314312E-3</v>
      </c>
      <c r="H257" s="549">
        <v>2.1487650419794294E-2</v>
      </c>
      <c r="I257" s="549">
        <v>1.4802517125531163E-2</v>
      </c>
      <c r="J257" s="549" t="s">
        <v>767</v>
      </c>
    </row>
    <row r="258" spans="1:10" ht="75">
      <c r="A258" s="548">
        <v>257</v>
      </c>
      <c r="B258" s="549" t="s">
        <v>39</v>
      </c>
      <c r="C258" s="549" t="s">
        <v>309</v>
      </c>
      <c r="D258" s="549" t="s">
        <v>298</v>
      </c>
      <c r="E258" s="549">
        <v>9.4247757831018922E-3</v>
      </c>
      <c r="F258" s="549">
        <v>9.4247757831018922E-3</v>
      </c>
      <c r="G258" s="549">
        <v>9.4247757831018922E-3</v>
      </c>
      <c r="H258" s="549">
        <v>2.8274327349305677E-2</v>
      </c>
      <c r="I258" s="549">
        <v>1.9477756135469471E-2</v>
      </c>
      <c r="J258" s="549" t="s">
        <v>767</v>
      </c>
    </row>
    <row r="259" spans="1:10" ht="75">
      <c r="A259" s="548">
        <v>258</v>
      </c>
      <c r="B259" s="549" t="s">
        <v>39</v>
      </c>
      <c r="C259" s="549" t="s">
        <v>310</v>
      </c>
      <c r="D259" s="549" t="s">
        <v>298</v>
      </c>
      <c r="E259" s="549">
        <v>5.6548656945652927E-3</v>
      </c>
      <c r="F259" s="549">
        <v>5.6548656945652927E-3</v>
      </c>
      <c r="G259" s="549">
        <v>5.6548656945652927E-3</v>
      </c>
      <c r="H259" s="549">
        <v>1.6964597083695878E-2</v>
      </c>
      <c r="I259" s="549">
        <v>1.1686654145667561E-2</v>
      </c>
      <c r="J259" s="549" t="s">
        <v>767</v>
      </c>
    </row>
    <row r="260" spans="1:10" ht="75">
      <c r="A260" s="548">
        <v>259</v>
      </c>
      <c r="B260" s="549" t="s">
        <v>39</v>
      </c>
      <c r="C260" s="549" t="s">
        <v>311</v>
      </c>
      <c r="D260" s="549" t="s">
        <v>298</v>
      </c>
      <c r="E260" s="549">
        <v>1.8134595655180871E-3</v>
      </c>
      <c r="F260" s="549">
        <v>1.8134595655180871E-3</v>
      </c>
      <c r="G260" s="549">
        <v>1.8134595655180871E-3</v>
      </c>
      <c r="H260" s="549">
        <v>5.4403786965542614E-3</v>
      </c>
      <c r="I260" s="549">
        <v>3.747794535550263E-3</v>
      </c>
      <c r="J260" s="549" t="s">
        <v>767</v>
      </c>
    </row>
    <row r="261" spans="1:10" ht="45">
      <c r="A261" s="548">
        <v>260</v>
      </c>
      <c r="B261" s="549" t="s">
        <v>39</v>
      </c>
      <c r="C261" s="549" t="s">
        <v>791</v>
      </c>
      <c r="D261" s="549" t="s">
        <v>53</v>
      </c>
      <c r="E261" s="549">
        <v>1.0880757825470985E-3</v>
      </c>
      <c r="F261" s="549">
        <v>1.0880757825470985E-3</v>
      </c>
      <c r="G261" s="549">
        <v>1.0880757825470985E-3</v>
      </c>
      <c r="H261" s="549">
        <v>3.2642273476412957E-3</v>
      </c>
      <c r="I261" s="549">
        <v>2.2486768106845445E-3</v>
      </c>
      <c r="J261" s="549" t="s">
        <v>738</v>
      </c>
    </row>
    <row r="262" spans="1:10" ht="45">
      <c r="A262" s="548">
        <v>261</v>
      </c>
      <c r="B262" s="549" t="s">
        <v>39</v>
      </c>
      <c r="C262" s="549" t="s">
        <v>791</v>
      </c>
      <c r="D262" s="549" t="s">
        <v>53</v>
      </c>
      <c r="E262" s="549">
        <v>68.078653473838287</v>
      </c>
      <c r="F262" s="549">
        <v>68.078653473838287</v>
      </c>
      <c r="G262" s="549">
        <v>68.078653473838287</v>
      </c>
      <c r="H262" s="549">
        <v>204.23596042151485</v>
      </c>
      <c r="I262" s="549">
        <v>148.21470265499826</v>
      </c>
      <c r="J262" s="549" t="s">
        <v>738</v>
      </c>
    </row>
    <row r="263" spans="1:10" ht="45">
      <c r="A263" s="548">
        <v>262</v>
      </c>
      <c r="B263" s="549" t="s">
        <v>39</v>
      </c>
      <c r="C263" s="549" t="s">
        <v>792</v>
      </c>
      <c r="D263" s="549" t="s">
        <v>53</v>
      </c>
      <c r="E263" s="549">
        <v>40.943823913984609</v>
      </c>
      <c r="F263" s="549">
        <v>40.943823913984609</v>
      </c>
      <c r="G263" s="549">
        <v>40.943823913984609</v>
      </c>
      <c r="H263" s="549">
        <v>122.83147174195383</v>
      </c>
      <c r="I263" s="549">
        <v>89.249896612492691</v>
      </c>
      <c r="J263" s="549" t="s">
        <v>738</v>
      </c>
    </row>
    <row r="264" spans="1:10" ht="45">
      <c r="A264" s="548">
        <v>263</v>
      </c>
      <c r="B264" s="549" t="s">
        <v>39</v>
      </c>
      <c r="C264" s="549" t="s">
        <v>792</v>
      </c>
      <c r="D264" s="549" t="s">
        <v>53</v>
      </c>
      <c r="E264" s="549">
        <v>332009.16967821243</v>
      </c>
      <c r="F264" s="549">
        <v>332009.16967821243</v>
      </c>
      <c r="G264" s="549">
        <v>332009.16967821243</v>
      </c>
      <c r="H264" s="549">
        <v>996027.50903463736</v>
      </c>
      <c r="I264" s="549">
        <v>702989.38755218836</v>
      </c>
      <c r="J264" s="549" t="s">
        <v>738</v>
      </c>
    </row>
    <row r="265" spans="1:10" ht="45">
      <c r="A265" s="548">
        <v>264</v>
      </c>
      <c r="B265" s="549" t="s">
        <v>39</v>
      </c>
      <c r="C265" s="549" t="s">
        <v>793</v>
      </c>
      <c r="D265" s="549" t="s">
        <v>53</v>
      </c>
      <c r="E265" s="549">
        <v>200452.24778073607</v>
      </c>
      <c r="F265" s="549">
        <v>200452.24778073607</v>
      </c>
      <c r="G265" s="549">
        <v>200452.24778073607</v>
      </c>
      <c r="H265" s="549">
        <v>601356.74334220821</v>
      </c>
      <c r="I265" s="549">
        <v>423250.44733447523</v>
      </c>
      <c r="J265" s="549" t="s">
        <v>738</v>
      </c>
    </row>
    <row r="266" spans="1:10" ht="45">
      <c r="A266" s="548">
        <v>265</v>
      </c>
      <c r="B266" s="549" t="s">
        <v>39</v>
      </c>
      <c r="C266" s="549" t="s">
        <v>793</v>
      </c>
      <c r="D266" s="549" t="s">
        <v>53</v>
      </c>
      <c r="E266" s="549">
        <v>128951.32745688046</v>
      </c>
      <c r="F266" s="549">
        <v>128951.32745688046</v>
      </c>
      <c r="G266" s="549">
        <v>128951.32745688046</v>
      </c>
      <c r="H266" s="549">
        <v>386853.98237064137</v>
      </c>
      <c r="I266" s="549">
        <v>274571.47507425369</v>
      </c>
      <c r="J266" s="549" t="s">
        <v>738</v>
      </c>
    </row>
    <row r="267" spans="1:10" ht="45">
      <c r="A267" s="548">
        <v>266</v>
      </c>
      <c r="B267" s="549" t="s">
        <v>39</v>
      </c>
      <c r="C267" s="549" t="s">
        <v>791</v>
      </c>
      <c r="D267" s="549" t="s">
        <v>53</v>
      </c>
      <c r="E267" s="549">
        <v>76793.762680266504</v>
      </c>
      <c r="F267" s="549">
        <v>76793.762680266504</v>
      </c>
      <c r="G267" s="549">
        <v>76793.762680266504</v>
      </c>
      <c r="H267" s="549">
        <v>230381.2880407995</v>
      </c>
      <c r="I267" s="549">
        <v>162838.2830469413</v>
      </c>
      <c r="J267" s="549" t="s">
        <v>738</v>
      </c>
    </row>
    <row r="268" spans="1:10" ht="45">
      <c r="A268" s="548">
        <v>267</v>
      </c>
      <c r="B268" s="549" t="s">
        <v>39</v>
      </c>
      <c r="C268" s="549" t="s">
        <v>791</v>
      </c>
      <c r="D268" s="549" t="s">
        <v>53</v>
      </c>
      <c r="E268" s="549">
        <v>753.56745623509482</v>
      </c>
      <c r="F268" s="549">
        <v>753.56745623509482</v>
      </c>
      <c r="G268" s="549">
        <v>753.56745623509482</v>
      </c>
      <c r="H268" s="549">
        <v>2260.7023687052842</v>
      </c>
      <c r="I268" s="549">
        <v>1640.59908293117</v>
      </c>
      <c r="J268" s="549" t="s">
        <v>738</v>
      </c>
    </row>
    <row r="269" spans="1:10" ht="45">
      <c r="A269" s="548">
        <v>268</v>
      </c>
      <c r="B269" s="549" t="s">
        <v>39</v>
      </c>
      <c r="C269" s="549" t="s">
        <v>792</v>
      </c>
      <c r="D269" s="549" t="s">
        <v>53</v>
      </c>
      <c r="E269" s="549">
        <v>453.21009833509379</v>
      </c>
      <c r="F269" s="549">
        <v>453.21009833509379</v>
      </c>
      <c r="G269" s="549">
        <v>453.21009833509379</v>
      </c>
      <c r="H269" s="549">
        <v>1359.6302950052814</v>
      </c>
      <c r="I269" s="549">
        <v>987.91345198046304</v>
      </c>
      <c r="J269" s="549" t="s">
        <v>738</v>
      </c>
    </row>
    <row r="270" spans="1:10" ht="45">
      <c r="A270" s="548">
        <v>269</v>
      </c>
      <c r="B270" s="549" t="s">
        <v>39</v>
      </c>
      <c r="C270" s="549" t="s">
        <v>792</v>
      </c>
      <c r="D270" s="549" t="s">
        <v>53</v>
      </c>
      <c r="E270" s="549">
        <v>3416127.574048162</v>
      </c>
      <c r="F270" s="549">
        <v>3416127.574048162</v>
      </c>
      <c r="G270" s="549">
        <v>3416127.574048162</v>
      </c>
      <c r="H270" s="549">
        <v>10248382.722144486</v>
      </c>
      <c r="I270" s="549">
        <v>7233238.2669063825</v>
      </c>
      <c r="J270" s="549" t="s">
        <v>738</v>
      </c>
    </row>
    <row r="271" spans="1:10" ht="45">
      <c r="A271" s="548">
        <v>270</v>
      </c>
      <c r="B271" s="549" t="s">
        <v>39</v>
      </c>
      <c r="C271" s="549" t="s">
        <v>793</v>
      </c>
      <c r="D271" s="549" t="s">
        <v>53</v>
      </c>
      <c r="E271" s="549">
        <v>2056560.1584205988</v>
      </c>
      <c r="F271" s="549">
        <v>2056560.1584205988</v>
      </c>
      <c r="G271" s="549">
        <v>2056560.1584205988</v>
      </c>
      <c r="H271" s="549">
        <v>6169680.4752617963</v>
      </c>
      <c r="I271" s="549">
        <v>4342380.8745407797</v>
      </c>
      <c r="J271" s="549" t="s">
        <v>738</v>
      </c>
    </row>
    <row r="272" spans="1:10" ht="45">
      <c r="A272" s="548">
        <v>271</v>
      </c>
      <c r="B272" s="549" t="s">
        <v>39</v>
      </c>
      <c r="C272" s="549" t="s">
        <v>793</v>
      </c>
      <c r="D272" s="549" t="s">
        <v>53</v>
      </c>
      <c r="E272" s="549">
        <v>639024.85504376807</v>
      </c>
      <c r="F272" s="549">
        <v>639024.85504376807</v>
      </c>
      <c r="G272" s="549">
        <v>639024.85504376807</v>
      </c>
      <c r="H272" s="549">
        <v>1917074.5651313043</v>
      </c>
      <c r="I272" s="549">
        <v>1360652.8953115994</v>
      </c>
      <c r="J272" s="549" t="s">
        <v>738</v>
      </c>
    </row>
    <row r="273" spans="1:10" ht="45">
      <c r="A273" s="548">
        <v>272</v>
      </c>
      <c r="B273" s="549" t="s">
        <v>39</v>
      </c>
      <c r="C273" s="549" t="s">
        <v>768</v>
      </c>
      <c r="D273" s="549" t="s">
        <v>44</v>
      </c>
      <c r="E273" s="549">
        <v>380595.1114908976</v>
      </c>
      <c r="F273" s="549">
        <v>380595.1114908976</v>
      </c>
      <c r="G273" s="549">
        <v>380595.1114908976</v>
      </c>
      <c r="H273" s="549">
        <v>1141785.3344726928</v>
      </c>
      <c r="I273" s="549">
        <v>807037.60732852644</v>
      </c>
      <c r="J273" s="549" t="s">
        <v>800</v>
      </c>
    </row>
    <row r="274" spans="1:10" ht="210">
      <c r="A274" s="548">
        <v>273</v>
      </c>
      <c r="B274" s="549" t="s">
        <v>39</v>
      </c>
      <c r="C274" s="549" t="s">
        <v>142</v>
      </c>
      <c r="D274" s="549" t="s">
        <v>748</v>
      </c>
      <c r="E274" s="549">
        <v>101.67043606130515</v>
      </c>
      <c r="F274" s="549">
        <v>101.67043606130515</v>
      </c>
      <c r="G274" s="549">
        <v>101.67043606130515</v>
      </c>
      <c r="H274" s="549">
        <v>305.01130818391545</v>
      </c>
      <c r="I274" s="549">
        <v>210.11767339224494</v>
      </c>
      <c r="J274" s="549" t="s">
        <v>801</v>
      </c>
    </row>
    <row r="275" spans="1:10" ht="210">
      <c r="A275" s="548">
        <v>274</v>
      </c>
      <c r="B275" s="549" t="s">
        <v>39</v>
      </c>
      <c r="C275" s="549" t="s">
        <v>142</v>
      </c>
      <c r="D275" s="549" t="s">
        <v>748</v>
      </c>
      <c r="E275" s="549">
        <v>1.0432380567299792E-2</v>
      </c>
      <c r="F275" s="549">
        <v>1.0432380567299792E-2</v>
      </c>
      <c r="G275" s="549">
        <v>1.0432380567299792E-2</v>
      </c>
      <c r="H275" s="549">
        <v>3.1297141701899373E-2</v>
      </c>
      <c r="I275" s="549">
        <v>2.1560127188023016E-2</v>
      </c>
      <c r="J275" s="549" t="s">
        <v>802</v>
      </c>
    </row>
    <row r="276" spans="1:10" ht="210">
      <c r="A276" s="548">
        <v>275</v>
      </c>
      <c r="B276" s="549" t="s">
        <v>39</v>
      </c>
      <c r="C276" s="549" t="s">
        <v>142</v>
      </c>
      <c r="D276" s="549" t="s">
        <v>748</v>
      </c>
      <c r="E276" s="549">
        <v>1.0432380567299792E-2</v>
      </c>
      <c r="F276" s="549">
        <v>1.0432380567299792E-2</v>
      </c>
      <c r="G276" s="549">
        <v>1.0432380567299792E-2</v>
      </c>
      <c r="H276" s="549">
        <v>3.1297141701899373E-2</v>
      </c>
      <c r="I276" s="549">
        <v>2.1560127188023016E-2</v>
      </c>
      <c r="J276" s="549" t="s">
        <v>803</v>
      </c>
    </row>
    <row r="277" spans="1:10" ht="45">
      <c r="A277" s="548">
        <v>276</v>
      </c>
      <c r="B277" s="549" t="s">
        <v>39</v>
      </c>
      <c r="C277" s="549" t="s">
        <v>797</v>
      </c>
      <c r="D277" s="549" t="s">
        <v>93</v>
      </c>
      <c r="E277" s="549">
        <v>1.0432380567299792E-2</v>
      </c>
      <c r="F277" s="549">
        <v>1.0432380567299792E-2</v>
      </c>
      <c r="G277" s="549">
        <v>1.0432380567299792E-2</v>
      </c>
      <c r="H277" s="549">
        <v>3.1297141701899373E-2</v>
      </c>
      <c r="I277" s="549">
        <v>2.1560127188023012E-2</v>
      </c>
      <c r="J277" s="549" t="s">
        <v>738</v>
      </c>
    </row>
    <row r="278" spans="1:10" ht="45">
      <c r="A278" s="548">
        <v>277</v>
      </c>
      <c r="B278" s="549" t="s">
        <v>39</v>
      </c>
      <c r="C278" s="549" t="s">
        <v>798</v>
      </c>
      <c r="D278" s="549" t="s">
        <v>93</v>
      </c>
      <c r="E278" s="549">
        <v>560.7661096516083</v>
      </c>
      <c r="F278" s="549">
        <v>560.7661096516083</v>
      </c>
      <c r="G278" s="549">
        <v>560.7661096516083</v>
      </c>
      <c r="H278" s="549">
        <v>1682.2983289548249</v>
      </c>
      <c r="I278" s="549">
        <v>1115.9245582067006</v>
      </c>
      <c r="J278" s="549" t="s">
        <v>738</v>
      </c>
    </row>
    <row r="279" spans="1:10" ht="45">
      <c r="A279" s="548">
        <v>278</v>
      </c>
      <c r="B279" s="549" t="s">
        <v>39</v>
      </c>
      <c r="C279" s="549" t="s">
        <v>799</v>
      </c>
      <c r="D279" s="549" t="s">
        <v>93</v>
      </c>
      <c r="E279" s="549">
        <v>0.12193248907846088</v>
      </c>
      <c r="F279" s="549">
        <v>0.12193248907846088</v>
      </c>
      <c r="G279" s="549">
        <v>0.12193248907846088</v>
      </c>
      <c r="H279" s="549">
        <v>0.36579746723538265</v>
      </c>
      <c r="I279" s="549">
        <v>0.24264565326613716</v>
      </c>
      <c r="J279" s="549" t="s">
        <v>738</v>
      </c>
    </row>
    <row r="280" spans="1:10" ht="45">
      <c r="A280" s="548">
        <v>279</v>
      </c>
      <c r="B280" s="549" t="s">
        <v>39</v>
      </c>
      <c r="C280" s="549" t="s">
        <v>797</v>
      </c>
      <c r="D280" s="549" t="s">
        <v>93</v>
      </c>
      <c r="E280" s="549">
        <v>0.95029347729776137</v>
      </c>
      <c r="F280" s="549">
        <v>0.95029347729776137</v>
      </c>
      <c r="G280" s="549">
        <v>0.95029347729776137</v>
      </c>
      <c r="H280" s="549">
        <v>2.8508804318932839</v>
      </c>
      <c r="I280" s="549">
        <v>1.8910840198225451</v>
      </c>
      <c r="J280" s="549" t="s">
        <v>738</v>
      </c>
    </row>
    <row r="281" spans="1:10" ht="45">
      <c r="A281" s="548">
        <v>280</v>
      </c>
      <c r="B281" s="549" t="s">
        <v>39</v>
      </c>
      <c r="C281" s="549" t="s">
        <v>798</v>
      </c>
      <c r="D281" s="549" t="s">
        <v>93</v>
      </c>
      <c r="E281" s="549">
        <v>455.63153795905856</v>
      </c>
      <c r="F281" s="549">
        <v>455.63153795905856</v>
      </c>
      <c r="G281" s="549">
        <v>455.63153795905856</v>
      </c>
      <c r="H281" s="549">
        <v>1366.8946138771757</v>
      </c>
      <c r="I281" s="549">
        <v>906.70676053852651</v>
      </c>
      <c r="J281" s="549" t="s">
        <v>738</v>
      </c>
    </row>
    <row r="282" spans="1:10" ht="45">
      <c r="A282" s="548">
        <v>281</v>
      </c>
      <c r="B282" s="549" t="s">
        <v>39</v>
      </c>
      <c r="C282" s="549" t="s">
        <v>799</v>
      </c>
      <c r="D282" s="549" t="s">
        <v>93</v>
      </c>
      <c r="E282" s="549">
        <v>9.9072120389927174E-2</v>
      </c>
      <c r="F282" s="549">
        <v>9.9072120389927174E-2</v>
      </c>
      <c r="G282" s="549">
        <v>9.9072120389927174E-2</v>
      </c>
      <c r="H282" s="549">
        <v>0.29721636116978151</v>
      </c>
      <c r="I282" s="549">
        <v>0.19715351957595506</v>
      </c>
      <c r="J282" s="549" t="s">
        <v>738</v>
      </c>
    </row>
    <row r="283" spans="1:10" ht="45">
      <c r="A283" s="548">
        <v>282</v>
      </c>
      <c r="B283" s="549" t="s">
        <v>804</v>
      </c>
      <c r="C283" s="549" t="s">
        <v>511</v>
      </c>
      <c r="D283" s="549" t="s">
        <v>53</v>
      </c>
      <c r="E283" s="549">
        <v>0.77212882719079434</v>
      </c>
      <c r="F283" s="549">
        <v>0.77212882719079434</v>
      </c>
      <c r="G283" s="549">
        <v>0.77212882719079434</v>
      </c>
      <c r="H283" s="549">
        <v>2.3163864815723829</v>
      </c>
      <c r="I283" s="549">
        <v>1.5365363661096807</v>
      </c>
      <c r="J283" s="549" t="s">
        <v>515</v>
      </c>
    </row>
    <row r="284" spans="1:10" ht="45">
      <c r="A284" s="548">
        <v>283</v>
      </c>
      <c r="B284" s="549" t="s">
        <v>804</v>
      </c>
      <c r="C284" s="549" t="s">
        <v>517</v>
      </c>
      <c r="D284" s="549" t="s">
        <v>53</v>
      </c>
      <c r="E284" s="549">
        <v>1212</v>
      </c>
      <c r="F284" s="549">
        <v>1212</v>
      </c>
      <c r="G284" s="549">
        <v>1212</v>
      </c>
      <c r="H284" s="549">
        <v>3636</v>
      </c>
      <c r="I284" s="549">
        <v>2514</v>
      </c>
      <c r="J284" s="549" t="s">
        <v>515</v>
      </c>
    </row>
    <row r="285" spans="1:10" ht="45">
      <c r="A285" s="548">
        <v>284</v>
      </c>
      <c r="B285" s="549" t="s">
        <v>804</v>
      </c>
      <c r="C285" s="549" t="s">
        <v>520</v>
      </c>
      <c r="D285" s="549" t="s">
        <v>53</v>
      </c>
      <c r="E285" s="549">
        <v>42</v>
      </c>
      <c r="F285" s="549">
        <v>42</v>
      </c>
      <c r="G285" s="549">
        <v>42</v>
      </c>
      <c r="H285" s="549">
        <v>126</v>
      </c>
      <c r="I285" s="549">
        <v>84</v>
      </c>
      <c r="J285" s="549" t="s">
        <v>515</v>
      </c>
    </row>
    <row r="286" spans="1:10" ht="45">
      <c r="A286" s="548">
        <v>285</v>
      </c>
      <c r="B286" s="549" t="s">
        <v>804</v>
      </c>
      <c r="C286" s="549" t="s">
        <v>523</v>
      </c>
      <c r="D286" s="549" t="s">
        <v>524</v>
      </c>
      <c r="E286" s="549">
        <v>272</v>
      </c>
      <c r="F286" s="549">
        <v>272</v>
      </c>
      <c r="G286" s="549">
        <v>272</v>
      </c>
      <c r="H286" s="549">
        <v>816</v>
      </c>
      <c r="I286" s="549">
        <v>550</v>
      </c>
      <c r="J286" s="549" t="s">
        <v>526</v>
      </c>
    </row>
    <row r="287" spans="1:10" ht="45">
      <c r="A287" s="548">
        <v>286</v>
      </c>
      <c r="B287" s="549" t="s">
        <v>804</v>
      </c>
      <c r="C287" s="549" t="s">
        <v>523</v>
      </c>
      <c r="D287" s="549" t="s">
        <v>524</v>
      </c>
      <c r="E287" s="549">
        <v>12</v>
      </c>
      <c r="F287" s="549">
        <v>12</v>
      </c>
      <c r="G287" s="549">
        <v>12</v>
      </c>
      <c r="H287" s="549">
        <v>36</v>
      </c>
      <c r="I287" s="549">
        <v>24</v>
      </c>
      <c r="J287" s="549" t="s">
        <v>529</v>
      </c>
    </row>
    <row r="288" spans="1:10" ht="60">
      <c r="A288" s="548">
        <v>287</v>
      </c>
      <c r="B288" s="549" t="s">
        <v>804</v>
      </c>
      <c r="C288" s="549" t="s">
        <v>523</v>
      </c>
      <c r="D288" s="549" t="s">
        <v>531</v>
      </c>
      <c r="E288" s="549">
        <v>12</v>
      </c>
      <c r="F288" s="549">
        <v>12</v>
      </c>
      <c r="G288" s="549">
        <v>12</v>
      </c>
      <c r="H288" s="549">
        <v>36</v>
      </c>
      <c r="I288" s="549">
        <v>24</v>
      </c>
      <c r="J288" s="549" t="s">
        <v>533</v>
      </c>
    </row>
    <row r="289" spans="1:10" ht="60">
      <c r="A289" s="548">
        <v>288</v>
      </c>
      <c r="B289" s="549" t="s">
        <v>804</v>
      </c>
      <c r="C289" s="549" t="s">
        <v>523</v>
      </c>
      <c r="D289" s="549" t="s">
        <v>531</v>
      </c>
      <c r="E289" s="549">
        <v>10</v>
      </c>
      <c r="F289" s="549">
        <v>10</v>
      </c>
      <c r="G289" s="549">
        <v>10</v>
      </c>
      <c r="H289" s="549">
        <v>30</v>
      </c>
      <c r="I289" s="549">
        <v>20</v>
      </c>
      <c r="J289" s="549" t="s">
        <v>529</v>
      </c>
    </row>
    <row r="290" spans="1:10" ht="45">
      <c r="A290" s="548">
        <v>289</v>
      </c>
      <c r="B290" s="549" t="s">
        <v>804</v>
      </c>
      <c r="C290" s="549" t="s">
        <v>523</v>
      </c>
      <c r="D290" s="549" t="s">
        <v>538</v>
      </c>
      <c r="E290" s="549">
        <v>10</v>
      </c>
      <c r="F290" s="549">
        <v>10</v>
      </c>
      <c r="G290" s="549">
        <v>10</v>
      </c>
      <c r="H290" s="549">
        <v>30</v>
      </c>
      <c r="I290" s="549">
        <v>20</v>
      </c>
      <c r="J290" s="549" t="s">
        <v>540</v>
      </c>
    </row>
    <row r="291" spans="1:10" ht="45">
      <c r="A291" s="548">
        <v>290</v>
      </c>
      <c r="B291" s="549" t="s">
        <v>804</v>
      </c>
      <c r="C291" s="549" t="s">
        <v>523</v>
      </c>
      <c r="D291" s="549" t="s">
        <v>538</v>
      </c>
      <c r="E291" s="549">
        <v>21</v>
      </c>
      <c r="F291" s="549">
        <v>21</v>
      </c>
      <c r="G291" s="549">
        <v>21</v>
      </c>
      <c r="H291" s="549">
        <v>63</v>
      </c>
      <c r="I291" s="549">
        <v>42</v>
      </c>
      <c r="J291" s="549" t="s">
        <v>543</v>
      </c>
    </row>
    <row r="292" spans="1:10" ht="30">
      <c r="A292" s="548">
        <v>291</v>
      </c>
      <c r="B292" s="549" t="s">
        <v>804</v>
      </c>
      <c r="C292" s="549" t="s">
        <v>523</v>
      </c>
      <c r="D292" s="549" t="s">
        <v>546</v>
      </c>
      <c r="E292" s="549">
        <v>1</v>
      </c>
      <c r="F292" s="549">
        <v>1</v>
      </c>
      <c r="G292" s="549">
        <v>1</v>
      </c>
      <c r="H292" s="549">
        <v>3</v>
      </c>
      <c r="I292" s="549">
        <v>2</v>
      </c>
      <c r="J292" s="549" t="s">
        <v>548</v>
      </c>
    </row>
    <row r="293" spans="1:10" ht="60">
      <c r="A293" s="548">
        <v>292</v>
      </c>
      <c r="B293" s="549" t="s">
        <v>804</v>
      </c>
      <c r="C293" s="549" t="s">
        <v>523</v>
      </c>
      <c r="D293" s="549" t="s">
        <v>552</v>
      </c>
      <c r="E293" s="549">
        <v>25</v>
      </c>
      <c r="F293" s="549">
        <v>25</v>
      </c>
      <c r="G293" s="549">
        <v>25</v>
      </c>
      <c r="H293" s="549">
        <v>75</v>
      </c>
      <c r="I293" s="549">
        <v>50</v>
      </c>
      <c r="J293" s="549" t="s">
        <v>805</v>
      </c>
    </row>
    <row r="294" spans="1:10" ht="60">
      <c r="A294" s="548">
        <v>293</v>
      </c>
      <c r="B294" s="549" t="s">
        <v>804</v>
      </c>
      <c r="C294" s="549" t="s">
        <v>523</v>
      </c>
      <c r="D294" s="549" t="s">
        <v>552</v>
      </c>
      <c r="E294" s="549">
        <v>138</v>
      </c>
      <c r="F294" s="549">
        <v>138</v>
      </c>
      <c r="G294" s="549">
        <v>138</v>
      </c>
      <c r="H294" s="549">
        <v>414</v>
      </c>
      <c r="I294" s="549">
        <v>276</v>
      </c>
      <c r="J294" s="549" t="s">
        <v>806</v>
      </c>
    </row>
    <row r="295" spans="1:10" ht="60">
      <c r="A295" s="548">
        <v>294</v>
      </c>
      <c r="B295" s="549" t="s">
        <v>804</v>
      </c>
      <c r="C295" s="549" t="s">
        <v>559</v>
      </c>
      <c r="D295" s="549" t="s">
        <v>552</v>
      </c>
      <c r="E295" s="549">
        <v>3600</v>
      </c>
      <c r="F295" s="549">
        <v>3600</v>
      </c>
      <c r="G295" s="549">
        <v>3600</v>
      </c>
      <c r="H295" s="549">
        <v>10800</v>
      </c>
      <c r="I295" s="549">
        <v>7200</v>
      </c>
      <c r="J295" s="549" t="s">
        <v>561</v>
      </c>
    </row>
    <row r="296" spans="1:10" ht="30">
      <c r="A296" s="548">
        <v>301</v>
      </c>
      <c r="B296" s="549" t="s">
        <v>39</v>
      </c>
      <c r="C296" s="549" t="s">
        <v>523</v>
      </c>
      <c r="D296" s="549" t="s">
        <v>574</v>
      </c>
      <c r="E296" s="549">
        <v>0.2</v>
      </c>
      <c r="F296" s="549">
        <v>0.2</v>
      </c>
      <c r="G296" s="549">
        <v>0.2</v>
      </c>
      <c r="H296" s="549">
        <v>0.60000000000000009</v>
      </c>
      <c r="I296" s="549">
        <v>0.4</v>
      </c>
      <c r="J296" s="549" t="s">
        <v>577</v>
      </c>
    </row>
    <row r="297" spans="1:10" ht="30">
      <c r="A297" s="548">
        <v>302</v>
      </c>
      <c r="B297" s="549" t="s">
        <v>39</v>
      </c>
      <c r="C297" s="549" t="s">
        <v>523</v>
      </c>
      <c r="D297" s="549" t="s">
        <v>580</v>
      </c>
      <c r="E297" s="549">
        <v>7000</v>
      </c>
      <c r="F297" s="549">
        <v>7000</v>
      </c>
      <c r="G297" s="549">
        <v>7000</v>
      </c>
      <c r="H297" s="549">
        <v>21000</v>
      </c>
      <c r="I297" s="549">
        <v>14000</v>
      </c>
      <c r="J297" s="549">
        <v>7000</v>
      </c>
    </row>
    <row r="298" spans="1:10" ht="30">
      <c r="A298" s="548">
        <v>303</v>
      </c>
      <c r="B298" s="549" t="s">
        <v>39</v>
      </c>
      <c r="C298" s="549" t="s">
        <v>584</v>
      </c>
      <c r="D298" s="549" t="s">
        <v>580</v>
      </c>
      <c r="E298" s="549">
        <v>8.9300000000000004E-2</v>
      </c>
      <c r="F298" s="549">
        <v>0.13</v>
      </c>
      <c r="G298" s="549">
        <v>0.13</v>
      </c>
      <c r="H298" s="549">
        <v>0.39</v>
      </c>
      <c r="I298" s="549">
        <v>0.26</v>
      </c>
      <c r="J298" s="549">
        <v>0.13</v>
      </c>
    </row>
    <row r="299" spans="1:10" ht="180">
      <c r="A299" s="548">
        <v>304</v>
      </c>
      <c r="B299" s="549" t="s">
        <v>39</v>
      </c>
      <c r="C299" s="549" t="s">
        <v>584</v>
      </c>
      <c r="D299" s="549" t="s">
        <v>589</v>
      </c>
      <c r="E299" s="549">
        <v>4.7E-2</v>
      </c>
      <c r="F299" s="549">
        <v>4.7E-2</v>
      </c>
      <c r="G299" s="549">
        <v>4.7E-2</v>
      </c>
      <c r="H299" s="549">
        <v>0.14100000000000001</v>
      </c>
      <c r="I299" s="549">
        <v>0.114</v>
      </c>
      <c r="J299" s="549" t="s">
        <v>591</v>
      </c>
    </row>
    <row r="300" spans="1:10" ht="60">
      <c r="A300" s="548">
        <v>305</v>
      </c>
      <c r="B300" s="549" t="s">
        <v>39</v>
      </c>
      <c r="C300" s="549" t="s">
        <v>584</v>
      </c>
      <c r="D300" s="549" t="s">
        <v>589</v>
      </c>
      <c r="E300" s="549">
        <v>0</v>
      </c>
      <c r="F300" s="549">
        <v>0</v>
      </c>
      <c r="G300" s="549">
        <v>0</v>
      </c>
      <c r="H300" s="549">
        <v>0</v>
      </c>
      <c r="I300" s="549">
        <v>0</v>
      </c>
      <c r="J300" s="549" t="s">
        <v>594</v>
      </c>
    </row>
    <row r="301" spans="1:10" ht="30">
      <c r="A301" s="548">
        <v>306</v>
      </c>
      <c r="B301" s="549" t="s">
        <v>39</v>
      </c>
      <c r="C301" s="549" t="s">
        <v>523</v>
      </c>
      <c r="D301" s="549" t="s">
        <v>589</v>
      </c>
      <c r="E301" s="549" t="s">
        <v>1881</v>
      </c>
      <c r="F301" s="549" t="s">
        <v>1881</v>
      </c>
      <c r="G301" s="549" t="s">
        <v>1881</v>
      </c>
      <c r="H301" s="549" t="s">
        <v>1881</v>
      </c>
      <c r="I301" s="549" t="s">
        <v>1881</v>
      </c>
      <c r="J301" s="549" t="s">
        <v>598</v>
      </c>
    </row>
  </sheetData>
  <autoFilter ref="A1:K301" xr:uid="{C736433C-7DE4-4585-BC9D-3157BE5901C4}">
    <sortState xmlns:xlrd2="http://schemas.microsoft.com/office/spreadsheetml/2017/richdata2" ref="A2:K301">
      <sortCondition ref="A1:A301"/>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105C-DF9B-40E9-9592-1420BB0A3530}">
  <sheetPr>
    <tabColor rgb="FF00B0F0"/>
    <pageSetUpPr fitToPage="1"/>
  </sheetPr>
  <dimension ref="A1:Y332"/>
  <sheetViews>
    <sheetView showGridLines="0" zoomScale="80" zoomScaleNormal="80" zoomScaleSheetLayoutView="70" workbookViewId="0">
      <pane xSplit="9" ySplit="2" topLeftCell="S277" activePane="bottomRight" state="frozen"/>
      <selection activeCell="Q4" sqref="Q4"/>
      <selection pane="topRight" activeCell="Q4" sqref="Q4"/>
      <selection pane="bottomLeft" activeCell="Q4" sqref="Q4"/>
      <selection pane="bottomRight" activeCell="Q4" sqref="Q4"/>
    </sheetView>
  </sheetViews>
  <sheetFormatPr defaultColWidth="49.7109375" defaultRowHeight="15"/>
  <cols>
    <col min="1" max="1" width="13.85546875" style="15" customWidth="1"/>
    <col min="2" max="2" width="6.7109375" style="13" customWidth="1"/>
    <col min="3" max="3" width="5.28515625" style="13" customWidth="1"/>
    <col min="4" max="4" width="6.85546875" style="13" customWidth="1"/>
    <col min="5" max="5" width="7.28515625" style="15" customWidth="1"/>
    <col min="6" max="6" width="14.7109375" style="15" customWidth="1"/>
    <col min="7" max="7" width="20.7109375" style="13" customWidth="1"/>
    <col min="8" max="8" width="13.5703125" style="13" customWidth="1"/>
    <col min="9" max="9" width="49.7109375" style="13" customWidth="1"/>
    <col min="10" max="10" width="32.85546875" style="13" customWidth="1"/>
    <col min="11" max="11" width="15.42578125" style="516" customWidth="1"/>
    <col min="12" max="12" width="13.140625" style="520" bestFit="1" customWidth="1"/>
    <col min="13" max="13" width="12.42578125" style="520" bestFit="1" customWidth="1"/>
    <col min="14" max="14" width="13.42578125" style="520" bestFit="1" customWidth="1"/>
    <col min="15" max="15" width="21.85546875" style="13" customWidth="1"/>
    <col min="16" max="16" width="20.42578125" style="427" customWidth="1"/>
    <col min="17" max="17" width="20.42578125" style="528" customWidth="1"/>
    <col min="18" max="19" width="20.42578125" style="527" customWidth="1"/>
    <col min="20" max="20" width="45.28515625" style="16" hidden="1" customWidth="1"/>
    <col min="21" max="21" width="57.28515625" style="13" hidden="1" customWidth="1"/>
    <col min="22" max="22" width="15.7109375" style="13" hidden="1" customWidth="1"/>
    <col min="23" max="23" width="6.7109375" style="13" hidden="1" customWidth="1"/>
    <col min="24" max="24" width="15.42578125" style="488" hidden="1" customWidth="1"/>
    <col min="25" max="25" width="17.5703125" style="14" customWidth="1"/>
    <col min="26" max="16384" width="49.7109375" style="14"/>
  </cols>
  <sheetData>
    <row r="1" spans="1:25">
      <c r="A1" s="834" t="s">
        <v>16</v>
      </c>
      <c r="P1" s="845"/>
      <c r="Q1" s="846"/>
      <c r="R1" s="847"/>
      <c r="S1" s="848"/>
    </row>
    <row r="2" spans="1:25" s="18" customFormat="1" ht="50.45" customHeight="1">
      <c r="A2" s="834"/>
      <c r="B2" s="554" t="s">
        <v>22</v>
      </c>
      <c r="C2" s="554" t="s">
        <v>23</v>
      </c>
      <c r="D2" s="554" t="s">
        <v>24</v>
      </c>
      <c r="E2" s="333" t="s">
        <v>25</v>
      </c>
      <c r="F2" s="333" t="s">
        <v>26</v>
      </c>
      <c r="G2" s="333" t="s">
        <v>27</v>
      </c>
      <c r="H2" s="333" t="s">
        <v>28</v>
      </c>
      <c r="I2" s="333" t="s">
        <v>29</v>
      </c>
      <c r="J2" s="333" t="s">
        <v>30</v>
      </c>
      <c r="K2" s="517" t="s">
        <v>807</v>
      </c>
      <c r="L2" s="517" t="s">
        <v>808</v>
      </c>
      <c r="M2" s="517" t="s">
        <v>809</v>
      </c>
      <c r="N2" s="517" t="s">
        <v>810</v>
      </c>
      <c r="O2" s="413" t="s">
        <v>31</v>
      </c>
      <c r="P2" s="555" t="s">
        <v>32</v>
      </c>
      <c r="Q2" s="524" t="s">
        <v>811</v>
      </c>
      <c r="R2" s="524" t="s">
        <v>33</v>
      </c>
      <c r="S2" s="525" t="s">
        <v>34</v>
      </c>
      <c r="T2" s="333" t="s">
        <v>35</v>
      </c>
      <c r="U2" s="333" t="s">
        <v>36</v>
      </c>
      <c r="V2" s="333" t="s">
        <v>37</v>
      </c>
      <c r="W2" s="334" t="s">
        <v>38</v>
      </c>
      <c r="X2" s="489"/>
    </row>
    <row r="3" spans="1:25" s="18" customFormat="1" ht="30">
      <c r="A3" s="30">
        <v>0</v>
      </c>
      <c r="B3" s="19" t="s">
        <v>39</v>
      </c>
      <c r="C3" s="19" t="s">
        <v>40</v>
      </c>
      <c r="D3" s="19" t="s">
        <v>41</v>
      </c>
      <c r="E3" s="20" t="s">
        <v>42</v>
      </c>
      <c r="F3" s="19" t="s">
        <v>43</v>
      </c>
      <c r="G3" s="19" t="s">
        <v>44</v>
      </c>
      <c r="H3" s="19" t="s">
        <v>30</v>
      </c>
      <c r="I3" s="19" t="s">
        <v>45</v>
      </c>
      <c r="J3" s="19" t="s">
        <v>46</v>
      </c>
      <c r="K3" s="518" t="s">
        <v>812</v>
      </c>
      <c r="L3" s="521" t="s">
        <v>813</v>
      </c>
      <c r="M3" s="521" t="s">
        <v>814</v>
      </c>
      <c r="N3" s="521" t="s">
        <v>815</v>
      </c>
      <c r="O3" s="19" t="s">
        <v>47</v>
      </c>
      <c r="P3" s="426">
        <v>2016</v>
      </c>
      <c r="Q3" s="414">
        <f ca="1">SUMIF(INDIRECT("'"&amp;K3&amp;"'!c:c"),A3,INDIRECT("'"&amp;K3&amp;"'!d:d"))</f>
        <v>239527.02912665569</v>
      </c>
      <c r="R3" s="335" t="str">
        <f t="shared" ref="R3:R66" ca="1" si="0">IF($N3 = "N","N/A",SUMIF(INDIRECT("'"&amp;K3&amp;"'!i:i"),L3,INDIRECT("'"&amp;K3&amp;"'!k:k")))</f>
        <v>N/A</v>
      </c>
      <c r="S3" s="335" t="str">
        <f t="shared" ref="S3:S66" ca="1" si="1">IF($N3 = "N","N/A",SUMIF(INDIRECT("'"&amp;K3&amp;"'!i:i"),M3,INDIRECT("'"&amp;K3&amp;"'!k:k")))</f>
        <v>N/A</v>
      </c>
      <c r="T3" s="21" t="s">
        <v>48</v>
      </c>
      <c r="U3" s="19" t="s">
        <v>49</v>
      </c>
      <c r="V3" s="29"/>
      <c r="W3" s="21"/>
      <c r="X3" s="489"/>
      <c r="Y3" s="490"/>
    </row>
    <row r="4" spans="1:25" ht="45">
      <c r="A4" s="30">
        <v>1</v>
      </c>
      <c r="B4" s="19" t="s">
        <v>39</v>
      </c>
      <c r="C4" s="19" t="s">
        <v>50</v>
      </c>
      <c r="D4" s="19" t="s">
        <v>41</v>
      </c>
      <c r="E4" s="20" t="s">
        <v>51</v>
      </c>
      <c r="F4" s="19" t="s">
        <v>52</v>
      </c>
      <c r="G4" s="19" t="s">
        <v>53</v>
      </c>
      <c r="H4" s="19" t="s">
        <v>30</v>
      </c>
      <c r="I4" s="19" t="s">
        <v>54</v>
      </c>
      <c r="J4" s="22" t="s">
        <v>52</v>
      </c>
      <c r="K4" s="518" t="s">
        <v>812</v>
      </c>
      <c r="L4" s="521" t="s">
        <v>368</v>
      </c>
      <c r="M4" s="521" t="s">
        <v>816</v>
      </c>
      <c r="N4" s="521" t="s">
        <v>815</v>
      </c>
      <c r="O4" s="19" t="s">
        <v>47</v>
      </c>
      <c r="P4" s="426">
        <v>2016</v>
      </c>
      <c r="Q4" s="414">
        <f ca="1">SUMIF(INDIRECT("'"&amp;K4&amp;"'!c:c"),A4,INDIRECT("'"&amp;K4&amp;"'!d:d"))</f>
        <v>98609.066312581621</v>
      </c>
      <c r="R4" s="335" t="str">
        <f t="shared" ca="1" si="0"/>
        <v>N/A</v>
      </c>
      <c r="S4" s="335" t="str">
        <f t="shared" ca="1" si="1"/>
        <v>N/A</v>
      </c>
      <c r="T4" s="429" t="s">
        <v>48</v>
      </c>
      <c r="U4" s="19"/>
      <c r="V4" s="29"/>
      <c r="W4" s="21"/>
      <c r="Y4" s="490"/>
    </row>
    <row r="5" spans="1:25" ht="45">
      <c r="A5" s="31">
        <v>2</v>
      </c>
      <c r="B5" s="22" t="s">
        <v>39</v>
      </c>
      <c r="C5" s="22" t="s">
        <v>50</v>
      </c>
      <c r="D5" s="22" t="s">
        <v>41</v>
      </c>
      <c r="E5" s="23" t="s">
        <v>51</v>
      </c>
      <c r="F5" s="22" t="s">
        <v>55</v>
      </c>
      <c r="G5" s="22" t="s">
        <v>53</v>
      </c>
      <c r="H5" s="22" t="s">
        <v>30</v>
      </c>
      <c r="I5" s="22" t="s">
        <v>54</v>
      </c>
      <c r="J5" s="22" t="s">
        <v>55</v>
      </c>
      <c r="K5" s="518" t="s">
        <v>812</v>
      </c>
      <c r="L5" s="521" t="s">
        <v>373</v>
      </c>
      <c r="M5" s="521" t="s">
        <v>316</v>
      </c>
      <c r="N5" s="521" t="s">
        <v>815</v>
      </c>
      <c r="O5" s="22" t="s">
        <v>47</v>
      </c>
      <c r="P5" s="69">
        <v>2016</v>
      </c>
      <c r="Q5" s="414">
        <f t="shared" ref="Q5:Q50" ca="1" si="2">SUMIF(INDIRECT("'"&amp;K5&amp;"'!c:c"),A5,INDIRECT("'"&amp;K5&amp;"'!d:d"))</f>
        <v>89176.917538019159</v>
      </c>
      <c r="R5" s="335" t="str">
        <f t="shared" ca="1" si="0"/>
        <v>N/A</v>
      </c>
      <c r="S5" s="335" t="str">
        <f t="shared" ca="1" si="1"/>
        <v>N/A</v>
      </c>
      <c r="T5" s="429" t="s">
        <v>48</v>
      </c>
      <c r="U5" s="22"/>
      <c r="V5" s="24"/>
      <c r="W5" s="21"/>
      <c r="Y5" s="490"/>
    </row>
    <row r="6" spans="1:25" ht="45">
      <c r="A6" s="31">
        <v>3</v>
      </c>
      <c r="B6" s="22" t="s">
        <v>39</v>
      </c>
      <c r="C6" s="22" t="s">
        <v>50</v>
      </c>
      <c r="D6" s="22" t="s">
        <v>41</v>
      </c>
      <c r="E6" s="23" t="s">
        <v>51</v>
      </c>
      <c r="F6" s="22" t="s">
        <v>56</v>
      </c>
      <c r="G6" s="22" t="s">
        <v>53</v>
      </c>
      <c r="H6" s="22" t="s">
        <v>30</v>
      </c>
      <c r="I6" s="22" t="s">
        <v>54</v>
      </c>
      <c r="J6" s="22" t="s">
        <v>56</v>
      </c>
      <c r="K6" s="518" t="s">
        <v>812</v>
      </c>
      <c r="L6" s="521" t="s">
        <v>817</v>
      </c>
      <c r="M6" s="521" t="s">
        <v>818</v>
      </c>
      <c r="N6" s="521" t="s">
        <v>815</v>
      </c>
      <c r="O6" s="22" t="s">
        <v>47</v>
      </c>
      <c r="P6" s="69">
        <v>2016</v>
      </c>
      <c r="Q6" s="414">
        <f t="shared" ca="1" si="2"/>
        <v>372063992.70350373</v>
      </c>
      <c r="R6" s="335" t="str">
        <f t="shared" ca="1" si="0"/>
        <v>N/A</v>
      </c>
      <c r="S6" s="335" t="str">
        <f t="shared" ca="1" si="1"/>
        <v>N/A</v>
      </c>
      <c r="T6" s="429" t="s">
        <v>48</v>
      </c>
      <c r="U6" s="22"/>
      <c r="V6" s="24"/>
      <c r="W6" s="21"/>
      <c r="Y6" s="490"/>
    </row>
    <row r="7" spans="1:25" ht="45">
      <c r="A7" s="31">
        <v>4</v>
      </c>
      <c r="B7" s="22" t="s">
        <v>39</v>
      </c>
      <c r="C7" s="22" t="s">
        <v>50</v>
      </c>
      <c r="D7" s="22" t="s">
        <v>41</v>
      </c>
      <c r="E7" s="23" t="s">
        <v>51</v>
      </c>
      <c r="F7" s="22" t="s">
        <v>57</v>
      </c>
      <c r="G7" s="22" t="s">
        <v>53</v>
      </c>
      <c r="H7" s="22" t="s">
        <v>30</v>
      </c>
      <c r="I7" s="22" t="s">
        <v>54</v>
      </c>
      <c r="J7" s="22" t="s">
        <v>57</v>
      </c>
      <c r="K7" s="518" t="s">
        <v>812</v>
      </c>
      <c r="L7" s="521" t="s">
        <v>819</v>
      </c>
      <c r="M7" s="521" t="s">
        <v>226</v>
      </c>
      <c r="N7" s="521" t="s">
        <v>815</v>
      </c>
      <c r="O7" s="22" t="s">
        <v>47</v>
      </c>
      <c r="P7" s="69">
        <v>2016</v>
      </c>
      <c r="Q7" s="414">
        <f t="shared" ca="1" si="2"/>
        <v>316429661.90514046</v>
      </c>
      <c r="R7" s="335" t="str">
        <f t="shared" ca="1" si="0"/>
        <v>N/A</v>
      </c>
      <c r="S7" s="335" t="str">
        <f t="shared" ca="1" si="1"/>
        <v>N/A</v>
      </c>
      <c r="T7" s="429" t="s">
        <v>48</v>
      </c>
      <c r="U7" s="22"/>
      <c r="V7" s="24"/>
      <c r="W7" s="21"/>
      <c r="Y7" s="490"/>
    </row>
    <row r="8" spans="1:25" ht="45">
      <c r="A8" s="31">
        <v>5</v>
      </c>
      <c r="B8" s="22" t="s">
        <v>39</v>
      </c>
      <c r="C8" s="22" t="s">
        <v>50</v>
      </c>
      <c r="D8" s="22" t="s">
        <v>41</v>
      </c>
      <c r="E8" s="23" t="s">
        <v>51</v>
      </c>
      <c r="F8" s="22" t="s">
        <v>58</v>
      </c>
      <c r="G8" s="22" t="s">
        <v>53</v>
      </c>
      <c r="H8" s="22" t="s">
        <v>30</v>
      </c>
      <c r="I8" s="22" t="s">
        <v>54</v>
      </c>
      <c r="J8" s="22" t="s">
        <v>58</v>
      </c>
      <c r="K8" s="518" t="s">
        <v>812</v>
      </c>
      <c r="L8" s="521" t="s">
        <v>820</v>
      </c>
      <c r="M8" s="521" t="s">
        <v>234</v>
      </c>
      <c r="N8" s="521" t="s">
        <v>815</v>
      </c>
      <c r="O8" s="22" t="s">
        <v>47</v>
      </c>
      <c r="P8" s="69">
        <v>2016</v>
      </c>
      <c r="Q8" s="414">
        <f t="shared" ca="1" si="2"/>
        <v>3668704.3719318081</v>
      </c>
      <c r="R8" s="335" t="str">
        <f t="shared" ca="1" si="0"/>
        <v>N/A</v>
      </c>
      <c r="S8" s="335" t="str">
        <f t="shared" ca="1" si="1"/>
        <v>N/A</v>
      </c>
      <c r="T8" s="429" t="s">
        <v>48</v>
      </c>
      <c r="U8" s="22" t="s">
        <v>49</v>
      </c>
      <c r="V8" s="24"/>
      <c r="W8" s="21"/>
      <c r="Y8" s="490"/>
    </row>
    <row r="9" spans="1:25" ht="45">
      <c r="A9" s="31">
        <v>6</v>
      </c>
      <c r="B9" s="22" t="s">
        <v>39</v>
      </c>
      <c r="C9" s="22" t="s">
        <v>50</v>
      </c>
      <c r="D9" s="22" t="s">
        <v>41</v>
      </c>
      <c r="E9" s="23" t="s">
        <v>51</v>
      </c>
      <c r="F9" s="22" t="s">
        <v>60</v>
      </c>
      <c r="G9" s="22" t="s">
        <v>53</v>
      </c>
      <c r="H9" s="22" t="s">
        <v>30</v>
      </c>
      <c r="I9" s="22" t="s">
        <v>54</v>
      </c>
      <c r="J9" s="22" t="s">
        <v>60</v>
      </c>
      <c r="K9" s="518" t="s">
        <v>812</v>
      </c>
      <c r="L9" s="521" t="s">
        <v>821</v>
      </c>
      <c r="M9" s="521" t="s">
        <v>822</v>
      </c>
      <c r="N9" s="521" t="s">
        <v>815</v>
      </c>
      <c r="O9" s="22" t="s">
        <v>47</v>
      </c>
      <c r="P9" s="69">
        <v>2016</v>
      </c>
      <c r="Q9" s="414">
        <f t="shared" ca="1" si="2"/>
        <v>2983256.2565512066</v>
      </c>
      <c r="R9" s="335" t="str">
        <f t="shared" ca="1" si="0"/>
        <v>N/A</v>
      </c>
      <c r="S9" s="335" t="str">
        <f t="shared" ca="1" si="1"/>
        <v>N/A</v>
      </c>
      <c r="T9" s="429" t="s">
        <v>48</v>
      </c>
      <c r="U9" s="22" t="s">
        <v>49</v>
      </c>
      <c r="V9" s="24"/>
      <c r="W9" s="21"/>
      <c r="Y9" s="490"/>
    </row>
    <row r="10" spans="1:25" ht="45">
      <c r="A10" s="31">
        <v>7</v>
      </c>
      <c r="B10" s="22" t="s">
        <v>39</v>
      </c>
      <c r="C10" s="22" t="s">
        <v>50</v>
      </c>
      <c r="D10" s="22" t="s">
        <v>41</v>
      </c>
      <c r="E10" s="23" t="s">
        <v>51</v>
      </c>
      <c r="F10" s="22" t="s">
        <v>61</v>
      </c>
      <c r="G10" s="22" t="s">
        <v>53</v>
      </c>
      <c r="H10" s="22" t="s">
        <v>30</v>
      </c>
      <c r="I10" s="22" t="s">
        <v>54</v>
      </c>
      <c r="J10" s="22" t="s">
        <v>61</v>
      </c>
      <c r="K10" s="518" t="s">
        <v>812</v>
      </c>
      <c r="L10" s="521" t="s">
        <v>823</v>
      </c>
      <c r="M10" s="521" t="s">
        <v>824</v>
      </c>
      <c r="N10" s="521" t="s">
        <v>815</v>
      </c>
      <c r="O10" s="22" t="s">
        <v>47</v>
      </c>
      <c r="P10" s="69">
        <v>2016</v>
      </c>
      <c r="Q10" s="414">
        <f t="shared" ca="1" si="2"/>
        <v>862575.51838928915</v>
      </c>
      <c r="R10" s="335" t="str">
        <f t="shared" ca="1" si="0"/>
        <v>N/A</v>
      </c>
      <c r="S10" s="335" t="str">
        <f t="shared" ca="1" si="1"/>
        <v>N/A</v>
      </c>
      <c r="T10" s="429" t="s">
        <v>48</v>
      </c>
      <c r="U10" s="22"/>
      <c r="V10" s="24"/>
      <c r="W10" s="21"/>
      <c r="Y10" s="490"/>
    </row>
    <row r="11" spans="1:25" ht="45">
      <c r="A11" s="31">
        <v>8</v>
      </c>
      <c r="B11" s="22" t="s">
        <v>39</v>
      </c>
      <c r="C11" s="22" t="s">
        <v>50</v>
      </c>
      <c r="D11" s="22" t="s">
        <v>41</v>
      </c>
      <c r="E11" s="23" t="s">
        <v>51</v>
      </c>
      <c r="F11" s="22" t="s">
        <v>62</v>
      </c>
      <c r="G11" s="22" t="s">
        <v>53</v>
      </c>
      <c r="H11" s="22" t="s">
        <v>30</v>
      </c>
      <c r="I11" s="22" t="s">
        <v>54</v>
      </c>
      <c r="J11" s="22" t="s">
        <v>62</v>
      </c>
      <c r="K11" s="518" t="s">
        <v>812</v>
      </c>
      <c r="L11" s="521" t="s">
        <v>825</v>
      </c>
      <c r="M11" s="521" t="s">
        <v>826</v>
      </c>
      <c r="N11" s="521" t="s">
        <v>815</v>
      </c>
      <c r="O11" s="22" t="s">
        <v>47</v>
      </c>
      <c r="P11" s="69">
        <v>2016</v>
      </c>
      <c r="Q11" s="414">
        <f t="shared" ca="1" si="2"/>
        <v>736773.64597397426</v>
      </c>
      <c r="R11" s="335" t="str">
        <f t="shared" ca="1" si="0"/>
        <v>N/A</v>
      </c>
      <c r="S11" s="335" t="str">
        <f t="shared" ca="1" si="1"/>
        <v>N/A</v>
      </c>
      <c r="T11" s="429" t="s">
        <v>48</v>
      </c>
      <c r="U11" s="22"/>
      <c r="V11" s="24"/>
      <c r="W11" s="21"/>
      <c r="Y11" s="490"/>
    </row>
    <row r="12" spans="1:25" ht="45">
      <c r="A12" s="31">
        <v>9</v>
      </c>
      <c r="B12" s="22" t="s">
        <v>39</v>
      </c>
      <c r="C12" s="22" t="s">
        <v>50</v>
      </c>
      <c r="D12" s="22" t="s">
        <v>41</v>
      </c>
      <c r="E12" s="23" t="s">
        <v>51</v>
      </c>
      <c r="F12" s="22" t="s">
        <v>63</v>
      </c>
      <c r="G12" s="22" t="s">
        <v>53</v>
      </c>
      <c r="H12" s="22" t="s">
        <v>30</v>
      </c>
      <c r="I12" s="22" t="s">
        <v>54</v>
      </c>
      <c r="J12" s="22" t="s">
        <v>63</v>
      </c>
      <c r="K12" s="518" t="s">
        <v>812</v>
      </c>
      <c r="L12" s="521" t="s">
        <v>827</v>
      </c>
      <c r="M12" s="521" t="s">
        <v>828</v>
      </c>
      <c r="N12" s="521" t="s">
        <v>815</v>
      </c>
      <c r="O12" s="22" t="s">
        <v>47</v>
      </c>
      <c r="P12" s="69">
        <v>2016</v>
      </c>
      <c r="Q12" s="414">
        <f t="shared" ca="1" si="2"/>
        <v>4071541355.6978703</v>
      </c>
      <c r="R12" s="335" t="str">
        <f t="shared" ca="1" si="0"/>
        <v>N/A</v>
      </c>
      <c r="S12" s="335" t="str">
        <f t="shared" ca="1" si="1"/>
        <v>N/A</v>
      </c>
      <c r="T12" s="429" t="s">
        <v>48</v>
      </c>
      <c r="U12" s="22"/>
      <c r="V12" s="24"/>
      <c r="W12" s="21"/>
      <c r="Y12" s="490"/>
    </row>
    <row r="13" spans="1:25" ht="45">
      <c r="A13" s="31">
        <v>10</v>
      </c>
      <c r="B13" s="22" t="s">
        <v>39</v>
      </c>
      <c r="C13" s="22" t="s">
        <v>50</v>
      </c>
      <c r="D13" s="22" t="s">
        <v>41</v>
      </c>
      <c r="E13" s="23" t="s">
        <v>51</v>
      </c>
      <c r="F13" s="22" t="s">
        <v>64</v>
      </c>
      <c r="G13" s="22" t="s">
        <v>53</v>
      </c>
      <c r="H13" s="22" t="s">
        <v>30</v>
      </c>
      <c r="I13" s="22" t="s">
        <v>54</v>
      </c>
      <c r="J13" s="22" t="s">
        <v>64</v>
      </c>
      <c r="K13" s="518" t="s">
        <v>812</v>
      </c>
      <c r="L13" s="521" t="s">
        <v>829</v>
      </c>
      <c r="M13" s="521" t="s">
        <v>830</v>
      </c>
      <c r="N13" s="521" t="s">
        <v>815</v>
      </c>
      <c r="O13" s="22" t="s">
        <v>47</v>
      </c>
      <c r="P13" s="69">
        <v>2016</v>
      </c>
      <c r="Q13" s="414">
        <f t="shared" ca="1" si="2"/>
        <v>3399176958.1089969</v>
      </c>
      <c r="R13" s="335" t="str">
        <f t="shared" ca="1" si="0"/>
        <v>N/A</v>
      </c>
      <c r="S13" s="335" t="str">
        <f t="shared" ca="1" si="1"/>
        <v>N/A</v>
      </c>
      <c r="T13" s="429" t="s">
        <v>48</v>
      </c>
      <c r="U13" s="22"/>
      <c r="V13" s="24"/>
      <c r="W13" s="21"/>
      <c r="Y13" s="490"/>
    </row>
    <row r="14" spans="1:25" ht="45">
      <c r="A14" s="31">
        <v>11</v>
      </c>
      <c r="B14" s="22" t="s">
        <v>39</v>
      </c>
      <c r="C14" s="22" t="s">
        <v>50</v>
      </c>
      <c r="D14" s="22" t="s">
        <v>41</v>
      </c>
      <c r="E14" s="23" t="s">
        <v>51</v>
      </c>
      <c r="F14" s="22" t="s">
        <v>65</v>
      </c>
      <c r="G14" s="22" t="s">
        <v>53</v>
      </c>
      <c r="H14" s="22" t="s">
        <v>30</v>
      </c>
      <c r="I14" s="22" t="s">
        <v>54</v>
      </c>
      <c r="J14" s="22" t="s">
        <v>65</v>
      </c>
      <c r="K14" s="518" t="s">
        <v>812</v>
      </c>
      <c r="L14" s="521" t="s">
        <v>831</v>
      </c>
      <c r="M14" s="521" t="s">
        <v>832</v>
      </c>
      <c r="N14" s="521" t="s">
        <v>815</v>
      </c>
      <c r="O14" s="22" t="s">
        <v>47</v>
      </c>
      <c r="P14" s="69">
        <v>2016</v>
      </c>
      <c r="Q14" s="414">
        <f t="shared" ca="1" si="2"/>
        <v>38143321.689990081</v>
      </c>
      <c r="R14" s="335" t="str">
        <f t="shared" ca="1" si="0"/>
        <v>N/A</v>
      </c>
      <c r="S14" s="335" t="str">
        <f t="shared" ca="1" si="1"/>
        <v>N/A</v>
      </c>
      <c r="T14" s="429" t="s">
        <v>48</v>
      </c>
      <c r="U14" s="22" t="s">
        <v>49</v>
      </c>
      <c r="V14" s="24"/>
      <c r="W14" s="21"/>
      <c r="Y14" s="490"/>
    </row>
    <row r="15" spans="1:25" ht="45">
      <c r="A15" s="31">
        <v>12</v>
      </c>
      <c r="B15" s="22" t="s">
        <v>39</v>
      </c>
      <c r="C15" s="22" t="s">
        <v>50</v>
      </c>
      <c r="D15" s="22" t="s">
        <v>41</v>
      </c>
      <c r="E15" s="23" t="s">
        <v>51</v>
      </c>
      <c r="F15" s="22" t="s">
        <v>66</v>
      </c>
      <c r="G15" s="22" t="s">
        <v>53</v>
      </c>
      <c r="H15" s="22" t="s">
        <v>30</v>
      </c>
      <c r="I15" s="22" t="s">
        <v>54</v>
      </c>
      <c r="J15" s="22" t="s">
        <v>66</v>
      </c>
      <c r="K15" s="518" t="s">
        <v>812</v>
      </c>
      <c r="L15" s="521" t="s">
        <v>833</v>
      </c>
      <c r="M15" s="521" t="s">
        <v>834</v>
      </c>
      <c r="N15" s="521" t="s">
        <v>815</v>
      </c>
      <c r="O15" s="22" t="s">
        <v>47</v>
      </c>
      <c r="P15" s="69">
        <v>2016</v>
      </c>
      <c r="Q15" s="414">
        <f t="shared" ca="1" si="2"/>
        <v>31043917.99073258</v>
      </c>
      <c r="R15" s="335" t="str">
        <f t="shared" ca="1" si="0"/>
        <v>N/A</v>
      </c>
      <c r="S15" s="335" t="str">
        <f t="shared" ca="1" si="1"/>
        <v>N/A</v>
      </c>
      <c r="T15" s="429" t="s">
        <v>48</v>
      </c>
      <c r="U15" s="22" t="s">
        <v>49</v>
      </c>
      <c r="V15" s="24"/>
      <c r="W15" s="21"/>
      <c r="Y15" s="490"/>
    </row>
    <row r="16" spans="1:25" ht="45">
      <c r="A16" s="31">
        <v>13</v>
      </c>
      <c r="B16" s="22" t="s">
        <v>39</v>
      </c>
      <c r="C16" s="22" t="s">
        <v>50</v>
      </c>
      <c r="D16" s="22" t="s">
        <v>67</v>
      </c>
      <c r="E16" s="23" t="s">
        <v>68</v>
      </c>
      <c r="F16" s="22" t="s">
        <v>52</v>
      </c>
      <c r="G16" s="22" t="s">
        <v>69</v>
      </c>
      <c r="H16" s="22" t="s">
        <v>30</v>
      </c>
      <c r="I16" s="22" t="s">
        <v>70</v>
      </c>
      <c r="J16" s="22" t="s">
        <v>71</v>
      </c>
      <c r="K16" s="518" t="s">
        <v>812</v>
      </c>
      <c r="L16" s="521" t="s">
        <v>835</v>
      </c>
      <c r="M16" s="521" t="s">
        <v>836</v>
      </c>
      <c r="N16" s="521" t="s">
        <v>815</v>
      </c>
      <c r="O16" s="22" t="s">
        <v>47</v>
      </c>
      <c r="P16" s="69">
        <v>2016</v>
      </c>
      <c r="Q16" s="414">
        <f t="shared" ca="1" si="2"/>
        <v>711.64776805342569</v>
      </c>
      <c r="R16" s="335" t="str">
        <f t="shared" ca="1" si="0"/>
        <v>N/A</v>
      </c>
      <c r="S16" s="335" t="str">
        <f t="shared" ca="1" si="1"/>
        <v>N/A</v>
      </c>
      <c r="T16" s="429"/>
      <c r="U16" s="22"/>
      <c r="V16" s="24"/>
      <c r="W16" s="21"/>
      <c r="Y16" s="490"/>
    </row>
    <row r="17" spans="1:25" ht="45">
      <c r="A17" s="31">
        <v>14</v>
      </c>
      <c r="B17" s="22" t="s">
        <v>39</v>
      </c>
      <c r="C17" s="22" t="s">
        <v>50</v>
      </c>
      <c r="D17" s="22" t="s">
        <v>67</v>
      </c>
      <c r="E17" s="23" t="s">
        <v>68</v>
      </c>
      <c r="F17" s="22" t="s">
        <v>55</v>
      </c>
      <c r="G17" s="22" t="s">
        <v>69</v>
      </c>
      <c r="H17" s="22" t="s">
        <v>30</v>
      </c>
      <c r="I17" s="22" t="s">
        <v>70</v>
      </c>
      <c r="J17" s="22" t="s">
        <v>72</v>
      </c>
      <c r="K17" s="518" t="s">
        <v>812</v>
      </c>
      <c r="L17" s="521" t="s">
        <v>837</v>
      </c>
      <c r="M17" s="521" t="s">
        <v>838</v>
      </c>
      <c r="N17" s="521" t="s">
        <v>815</v>
      </c>
      <c r="O17" s="22" t="s">
        <v>47</v>
      </c>
      <c r="P17" s="69">
        <v>2016</v>
      </c>
      <c r="Q17" s="414">
        <f t="shared" ca="1" si="2"/>
        <v>493.13585898078156</v>
      </c>
      <c r="R17" s="335" t="str">
        <f t="shared" ca="1" si="0"/>
        <v>N/A</v>
      </c>
      <c r="S17" s="335" t="str">
        <f t="shared" ca="1" si="1"/>
        <v>N/A</v>
      </c>
      <c r="T17" s="429"/>
      <c r="U17" s="22"/>
      <c r="V17" s="24"/>
      <c r="W17" s="21"/>
      <c r="Y17" s="490"/>
    </row>
    <row r="18" spans="1:25" ht="45">
      <c r="A18" s="31">
        <v>15</v>
      </c>
      <c r="B18" s="22" t="s">
        <v>39</v>
      </c>
      <c r="C18" s="22" t="s">
        <v>50</v>
      </c>
      <c r="D18" s="22" t="s">
        <v>67</v>
      </c>
      <c r="E18" s="23" t="s">
        <v>68</v>
      </c>
      <c r="F18" s="22" t="s">
        <v>56</v>
      </c>
      <c r="G18" s="22" t="s">
        <v>69</v>
      </c>
      <c r="H18" s="22" t="s">
        <v>30</v>
      </c>
      <c r="I18" s="22" t="s">
        <v>70</v>
      </c>
      <c r="J18" s="22" t="s">
        <v>73</v>
      </c>
      <c r="K18" s="518" t="s">
        <v>812</v>
      </c>
      <c r="L18" s="521" t="s">
        <v>839</v>
      </c>
      <c r="M18" s="521" t="s">
        <v>840</v>
      </c>
      <c r="N18" s="521" t="s">
        <v>815</v>
      </c>
      <c r="O18" s="22" t="s">
        <v>47</v>
      </c>
      <c r="P18" s="69">
        <v>2016</v>
      </c>
      <c r="Q18" s="414">
        <f t="shared" ca="1" si="2"/>
        <v>3541580.2167316726</v>
      </c>
      <c r="R18" s="335" t="str">
        <f t="shared" ca="1" si="0"/>
        <v>N/A</v>
      </c>
      <c r="S18" s="335" t="str">
        <f t="shared" ca="1" si="1"/>
        <v>N/A</v>
      </c>
      <c r="T18" s="429"/>
      <c r="U18" s="22"/>
      <c r="V18" s="24"/>
      <c r="W18" s="21"/>
      <c r="Y18" s="490"/>
    </row>
    <row r="19" spans="1:25" ht="45">
      <c r="A19" s="31">
        <v>16</v>
      </c>
      <c r="B19" s="22" t="s">
        <v>39</v>
      </c>
      <c r="C19" s="22" t="s">
        <v>50</v>
      </c>
      <c r="D19" s="22" t="s">
        <v>67</v>
      </c>
      <c r="E19" s="23" t="s">
        <v>68</v>
      </c>
      <c r="F19" s="22" t="s">
        <v>57</v>
      </c>
      <c r="G19" s="22" t="s">
        <v>69</v>
      </c>
      <c r="H19" s="22" t="s">
        <v>30</v>
      </c>
      <c r="I19" s="22" t="s">
        <v>70</v>
      </c>
      <c r="J19" s="22" t="s">
        <v>74</v>
      </c>
      <c r="K19" s="518" t="s">
        <v>812</v>
      </c>
      <c r="L19" s="521" t="s">
        <v>841</v>
      </c>
      <c r="M19" s="521" t="s">
        <v>842</v>
      </c>
      <c r="N19" s="521" t="s">
        <v>815</v>
      </c>
      <c r="O19" s="22" t="s">
        <v>47</v>
      </c>
      <c r="P19" s="69">
        <v>2016</v>
      </c>
      <c r="Q19" s="414">
        <f t="shared" ca="1" si="2"/>
        <v>2512664.7202694882</v>
      </c>
      <c r="R19" s="335" t="str">
        <f t="shared" ca="1" si="0"/>
        <v>N/A</v>
      </c>
      <c r="S19" s="335" t="str">
        <f t="shared" ca="1" si="1"/>
        <v>N/A</v>
      </c>
      <c r="T19" s="429"/>
      <c r="U19" s="22"/>
      <c r="V19" s="24"/>
      <c r="W19" s="21"/>
      <c r="Y19" s="490"/>
    </row>
    <row r="20" spans="1:25" ht="45">
      <c r="A20" s="31">
        <v>17</v>
      </c>
      <c r="B20" s="22" t="s">
        <v>39</v>
      </c>
      <c r="C20" s="22" t="s">
        <v>50</v>
      </c>
      <c r="D20" s="22" t="s">
        <v>67</v>
      </c>
      <c r="E20" s="23" t="s">
        <v>68</v>
      </c>
      <c r="F20" s="22" t="s">
        <v>58</v>
      </c>
      <c r="G20" s="22" t="s">
        <v>69</v>
      </c>
      <c r="H20" s="22" t="s">
        <v>30</v>
      </c>
      <c r="I20" s="22" t="s">
        <v>70</v>
      </c>
      <c r="J20" s="22" t="s">
        <v>75</v>
      </c>
      <c r="K20" s="518" t="s">
        <v>812</v>
      </c>
      <c r="L20" s="521" t="s">
        <v>843</v>
      </c>
      <c r="M20" s="521" t="s">
        <v>844</v>
      </c>
      <c r="N20" s="521" t="s">
        <v>815</v>
      </c>
      <c r="O20" s="22" t="s">
        <v>47</v>
      </c>
      <c r="P20" s="69">
        <v>2016</v>
      </c>
      <c r="Q20" s="414">
        <f t="shared" ca="1" si="2"/>
        <v>-12861.305429689366</v>
      </c>
      <c r="R20" s="335" t="str">
        <f t="shared" ca="1" si="0"/>
        <v>N/A</v>
      </c>
      <c r="S20" s="335" t="str">
        <f t="shared" ca="1" si="1"/>
        <v>N/A</v>
      </c>
      <c r="T20" s="429" t="s">
        <v>59</v>
      </c>
      <c r="U20" s="22" t="str">
        <f>Definitions!C$7</f>
        <v>D.18-05-041: DAC = Bill accounts in census tracts corresponding to census tracts in the top quartile of CalEnviroScreen 3.0 scores.</v>
      </c>
      <c r="V20" s="24"/>
      <c r="W20" s="21"/>
      <c r="Y20" s="490"/>
    </row>
    <row r="21" spans="1:25" ht="45">
      <c r="A21" s="31">
        <v>18</v>
      </c>
      <c r="B21" s="22" t="s">
        <v>39</v>
      </c>
      <c r="C21" s="22" t="s">
        <v>50</v>
      </c>
      <c r="D21" s="22" t="s">
        <v>67</v>
      </c>
      <c r="E21" s="23" t="s">
        <v>68</v>
      </c>
      <c r="F21" s="22" t="s">
        <v>60</v>
      </c>
      <c r="G21" s="22" t="s">
        <v>69</v>
      </c>
      <c r="H21" s="22" t="s">
        <v>30</v>
      </c>
      <c r="I21" s="22" t="s">
        <v>70</v>
      </c>
      <c r="J21" s="22" t="s">
        <v>76</v>
      </c>
      <c r="K21" s="518" t="s">
        <v>812</v>
      </c>
      <c r="L21" s="521" t="s">
        <v>845</v>
      </c>
      <c r="M21" s="521" t="s">
        <v>846</v>
      </c>
      <c r="N21" s="521" t="s">
        <v>815</v>
      </c>
      <c r="O21" s="22" t="s">
        <v>47</v>
      </c>
      <c r="P21" s="69">
        <v>2016</v>
      </c>
      <c r="Q21" s="414">
        <f t="shared" ca="1" si="2"/>
        <v>-12501.249471554491</v>
      </c>
      <c r="R21" s="335" t="str">
        <f t="shared" ca="1" si="0"/>
        <v>N/A</v>
      </c>
      <c r="S21" s="335" t="str">
        <f t="shared" ca="1" si="1"/>
        <v>N/A</v>
      </c>
      <c r="T21" s="429" t="s">
        <v>59</v>
      </c>
      <c r="U21" s="22" t="str">
        <f>Definitions!C$7</f>
        <v>D.18-05-041: DAC = Bill accounts in census tracts corresponding to census tracts in the top quartile of CalEnviroScreen 3.0 scores.</v>
      </c>
      <c r="V21" s="24"/>
      <c r="W21" s="21"/>
      <c r="Y21" s="490"/>
    </row>
    <row r="22" spans="1:25" ht="45">
      <c r="A22" s="31">
        <v>19</v>
      </c>
      <c r="B22" s="22" t="s">
        <v>39</v>
      </c>
      <c r="C22" s="22" t="s">
        <v>50</v>
      </c>
      <c r="D22" s="22" t="s">
        <v>67</v>
      </c>
      <c r="E22" s="23" t="s">
        <v>68</v>
      </c>
      <c r="F22" s="22" t="s">
        <v>61</v>
      </c>
      <c r="G22" s="22" t="s">
        <v>69</v>
      </c>
      <c r="H22" s="22" t="s">
        <v>30</v>
      </c>
      <c r="I22" s="22" t="s">
        <v>70</v>
      </c>
      <c r="J22" s="22" t="s">
        <v>77</v>
      </c>
      <c r="K22" s="518" t="s">
        <v>812</v>
      </c>
      <c r="L22" s="521" t="s">
        <v>847</v>
      </c>
      <c r="M22" s="521" t="s">
        <v>848</v>
      </c>
      <c r="N22" s="521" t="s">
        <v>815</v>
      </c>
      <c r="O22" s="22" t="s">
        <v>47</v>
      </c>
      <c r="P22" s="69">
        <v>2016</v>
      </c>
      <c r="Q22" s="414">
        <f t="shared" ca="1" si="2"/>
        <v>7658.2336349462294</v>
      </c>
      <c r="R22" s="335" t="str">
        <f t="shared" ca="1" si="0"/>
        <v>N/A</v>
      </c>
      <c r="S22" s="335" t="str">
        <f t="shared" ca="1" si="1"/>
        <v>N/A</v>
      </c>
      <c r="T22" s="429"/>
      <c r="U22" s="22"/>
      <c r="V22" s="24"/>
      <c r="W22" s="21"/>
      <c r="Y22" s="490"/>
    </row>
    <row r="23" spans="1:25" ht="45">
      <c r="A23" s="31">
        <v>20</v>
      </c>
      <c r="B23" s="22" t="s">
        <v>39</v>
      </c>
      <c r="C23" s="22" t="s">
        <v>50</v>
      </c>
      <c r="D23" s="22" t="s">
        <v>67</v>
      </c>
      <c r="E23" s="23" t="s">
        <v>68</v>
      </c>
      <c r="F23" s="22" t="s">
        <v>62</v>
      </c>
      <c r="G23" s="22" t="s">
        <v>69</v>
      </c>
      <c r="H23" s="22" t="s">
        <v>30</v>
      </c>
      <c r="I23" s="22" t="s">
        <v>70</v>
      </c>
      <c r="J23" s="22" t="s">
        <v>78</v>
      </c>
      <c r="K23" s="518" t="s">
        <v>812</v>
      </c>
      <c r="L23" s="521" t="s">
        <v>849</v>
      </c>
      <c r="M23" s="521" t="s">
        <v>850</v>
      </c>
      <c r="N23" s="521" t="s">
        <v>815</v>
      </c>
      <c r="O23" s="22" t="s">
        <v>47</v>
      </c>
      <c r="P23" s="69">
        <v>2016</v>
      </c>
      <c r="Q23" s="414">
        <f t="shared" ca="1" si="2"/>
        <v>5255.0309510069064</v>
      </c>
      <c r="R23" s="335" t="str">
        <f t="shared" ca="1" si="0"/>
        <v>N/A</v>
      </c>
      <c r="S23" s="335" t="str">
        <f t="shared" ca="1" si="1"/>
        <v>N/A</v>
      </c>
      <c r="T23" s="429"/>
      <c r="U23" s="22"/>
      <c r="V23" s="24"/>
      <c r="W23" s="21"/>
      <c r="Y23" s="490"/>
    </row>
    <row r="24" spans="1:25" ht="45">
      <c r="A24" s="31">
        <v>21</v>
      </c>
      <c r="B24" s="22" t="s">
        <v>39</v>
      </c>
      <c r="C24" s="22" t="s">
        <v>50</v>
      </c>
      <c r="D24" s="22" t="s">
        <v>67</v>
      </c>
      <c r="E24" s="23" t="s">
        <v>68</v>
      </c>
      <c r="F24" s="22" t="s">
        <v>63</v>
      </c>
      <c r="G24" s="22" t="s">
        <v>69</v>
      </c>
      <c r="H24" s="22" t="s">
        <v>30</v>
      </c>
      <c r="I24" s="22" t="s">
        <v>70</v>
      </c>
      <c r="J24" s="22" t="s">
        <v>79</v>
      </c>
      <c r="K24" s="518" t="s">
        <v>812</v>
      </c>
      <c r="L24" s="521" t="s">
        <v>851</v>
      </c>
      <c r="M24" s="521" t="s">
        <v>852</v>
      </c>
      <c r="N24" s="521" t="s">
        <v>815</v>
      </c>
      <c r="O24" s="22" t="s">
        <v>47</v>
      </c>
      <c r="P24" s="69">
        <v>2016</v>
      </c>
      <c r="Q24" s="414">
        <f t="shared" ca="1" si="2"/>
        <v>38821531.701111235</v>
      </c>
      <c r="R24" s="335" t="str">
        <f t="shared" ca="1" si="0"/>
        <v>N/A</v>
      </c>
      <c r="S24" s="335" t="str">
        <f t="shared" ca="1" si="1"/>
        <v>N/A</v>
      </c>
      <c r="T24" s="429"/>
      <c r="U24" s="22"/>
      <c r="V24" s="24"/>
      <c r="W24" s="21"/>
      <c r="Y24" s="490"/>
    </row>
    <row r="25" spans="1:25" ht="45">
      <c r="A25" s="31">
        <v>22</v>
      </c>
      <c r="B25" s="22" t="s">
        <v>39</v>
      </c>
      <c r="C25" s="22" t="s">
        <v>50</v>
      </c>
      <c r="D25" s="22" t="s">
        <v>67</v>
      </c>
      <c r="E25" s="23" t="s">
        <v>68</v>
      </c>
      <c r="F25" s="22" t="s">
        <v>64</v>
      </c>
      <c r="G25" s="22" t="s">
        <v>69</v>
      </c>
      <c r="H25" s="22" t="s">
        <v>30</v>
      </c>
      <c r="I25" s="22" t="s">
        <v>70</v>
      </c>
      <c r="J25" s="22" t="s">
        <v>80</v>
      </c>
      <c r="K25" s="518" t="s">
        <v>812</v>
      </c>
      <c r="L25" s="521" t="s">
        <v>853</v>
      </c>
      <c r="M25" s="521" t="s">
        <v>854</v>
      </c>
      <c r="N25" s="521" t="s">
        <v>815</v>
      </c>
      <c r="O25" s="22" t="s">
        <v>47</v>
      </c>
      <c r="P25" s="69">
        <v>2016</v>
      </c>
      <c r="Q25" s="414">
        <f t="shared" ca="1" si="2"/>
        <v>27125921.26079388</v>
      </c>
      <c r="R25" s="335" t="str">
        <f t="shared" ca="1" si="0"/>
        <v>N/A</v>
      </c>
      <c r="S25" s="335" t="str">
        <f t="shared" ca="1" si="1"/>
        <v>N/A</v>
      </c>
      <c r="T25" s="429"/>
      <c r="U25" s="22"/>
      <c r="V25" s="24"/>
      <c r="W25" s="21"/>
      <c r="Y25" s="490"/>
    </row>
    <row r="26" spans="1:25" ht="45">
      <c r="A26" s="31">
        <v>23</v>
      </c>
      <c r="B26" s="22" t="s">
        <v>39</v>
      </c>
      <c r="C26" s="22" t="s">
        <v>50</v>
      </c>
      <c r="D26" s="22" t="s">
        <v>67</v>
      </c>
      <c r="E26" s="23" t="s">
        <v>68</v>
      </c>
      <c r="F26" s="22" t="s">
        <v>65</v>
      </c>
      <c r="G26" s="22" t="s">
        <v>69</v>
      </c>
      <c r="H26" s="22" t="s">
        <v>30</v>
      </c>
      <c r="I26" s="22" t="s">
        <v>70</v>
      </c>
      <c r="J26" s="22" t="s">
        <v>81</v>
      </c>
      <c r="K26" s="518" t="s">
        <v>812</v>
      </c>
      <c r="L26" s="521" t="s">
        <v>855</v>
      </c>
      <c r="M26" s="521" t="s">
        <v>856</v>
      </c>
      <c r="N26" s="521" t="s">
        <v>815</v>
      </c>
      <c r="O26" s="22" t="s">
        <v>47</v>
      </c>
      <c r="P26" s="69">
        <v>2016</v>
      </c>
      <c r="Q26" s="414">
        <f t="shared" ca="1" si="2"/>
        <v>-182463.67101869613</v>
      </c>
      <c r="R26" s="335" t="str">
        <f t="shared" ca="1" si="0"/>
        <v>N/A</v>
      </c>
      <c r="S26" s="335" t="str">
        <f t="shared" ca="1" si="1"/>
        <v>N/A</v>
      </c>
      <c r="T26" s="429" t="s">
        <v>59</v>
      </c>
      <c r="U26" s="22" t="str">
        <f>Definitions!C$7</f>
        <v>D.18-05-041: DAC = Bill accounts in census tracts corresponding to census tracts in the top quartile of CalEnviroScreen 3.0 scores.</v>
      </c>
      <c r="V26" s="24"/>
      <c r="W26" s="21"/>
      <c r="Y26" s="490"/>
    </row>
    <row r="27" spans="1:25" ht="45">
      <c r="A27" s="31">
        <v>24</v>
      </c>
      <c r="B27" s="22" t="s">
        <v>39</v>
      </c>
      <c r="C27" s="22" t="s">
        <v>50</v>
      </c>
      <c r="D27" s="22" t="s">
        <v>67</v>
      </c>
      <c r="E27" s="23" t="s">
        <v>68</v>
      </c>
      <c r="F27" s="22" t="s">
        <v>66</v>
      </c>
      <c r="G27" s="22" t="s">
        <v>69</v>
      </c>
      <c r="H27" s="22" t="s">
        <v>30</v>
      </c>
      <c r="I27" s="22" t="s">
        <v>70</v>
      </c>
      <c r="J27" s="22" t="s">
        <v>82</v>
      </c>
      <c r="K27" s="518" t="s">
        <v>812</v>
      </c>
      <c r="L27" s="521" t="s">
        <v>857</v>
      </c>
      <c r="M27" s="521" t="s">
        <v>858</v>
      </c>
      <c r="N27" s="521" t="s">
        <v>815</v>
      </c>
      <c r="O27" s="22" t="s">
        <v>47</v>
      </c>
      <c r="P27" s="69">
        <v>2016</v>
      </c>
      <c r="Q27" s="414">
        <f t="shared" ca="1" si="2"/>
        <v>-155482.52311888602</v>
      </c>
      <c r="R27" s="335" t="str">
        <f t="shared" ca="1" si="0"/>
        <v>N/A</v>
      </c>
      <c r="S27" s="335" t="str">
        <f t="shared" ca="1" si="1"/>
        <v>N/A</v>
      </c>
      <c r="T27" s="429" t="s">
        <v>59</v>
      </c>
      <c r="U27" s="22" t="str">
        <f>Definitions!C$7</f>
        <v>D.18-05-041: DAC = Bill accounts in census tracts corresponding to census tracts in the top quartile of CalEnviroScreen 3.0 scores.</v>
      </c>
      <c r="V27" s="24"/>
      <c r="W27" s="21"/>
      <c r="Y27" s="490"/>
    </row>
    <row r="28" spans="1:25" ht="45">
      <c r="A28" s="31">
        <v>25</v>
      </c>
      <c r="B28" s="22" t="s">
        <v>39</v>
      </c>
      <c r="C28" s="22" t="s">
        <v>50</v>
      </c>
      <c r="D28" s="22" t="s">
        <v>83</v>
      </c>
      <c r="E28" s="23" t="s">
        <v>84</v>
      </c>
      <c r="F28" s="22" t="s">
        <v>52</v>
      </c>
      <c r="G28" s="22" t="s">
        <v>85</v>
      </c>
      <c r="H28" s="22" t="s">
        <v>30</v>
      </c>
      <c r="I28" s="22" t="s">
        <v>86</v>
      </c>
      <c r="J28" s="22" t="s">
        <v>87</v>
      </c>
      <c r="K28" s="518" t="s">
        <v>812</v>
      </c>
      <c r="L28" s="521" t="s">
        <v>859</v>
      </c>
      <c r="M28" s="521" t="s">
        <v>860</v>
      </c>
      <c r="N28" s="521" t="s">
        <v>815</v>
      </c>
      <c r="O28" s="22" t="s">
        <v>47</v>
      </c>
      <c r="P28" s="69">
        <v>2016</v>
      </c>
      <c r="Q28" s="414">
        <f t="shared" ca="1" si="2"/>
        <v>787.5783519236569</v>
      </c>
      <c r="R28" s="335" t="str">
        <f t="shared" ca="1" si="0"/>
        <v>N/A</v>
      </c>
      <c r="S28" s="335" t="str">
        <f t="shared" ca="1" si="1"/>
        <v>N/A</v>
      </c>
      <c r="T28" s="429"/>
      <c r="U28" s="22"/>
      <c r="V28" s="24"/>
      <c r="W28" s="21"/>
      <c r="Y28" s="490"/>
    </row>
    <row r="29" spans="1:25" ht="45">
      <c r="A29" s="31">
        <v>26</v>
      </c>
      <c r="B29" s="22" t="s">
        <v>39</v>
      </c>
      <c r="C29" s="22" t="s">
        <v>50</v>
      </c>
      <c r="D29" s="22" t="s">
        <v>83</v>
      </c>
      <c r="E29" s="23" t="s">
        <v>84</v>
      </c>
      <c r="F29" s="22" t="s">
        <v>55</v>
      </c>
      <c r="G29" s="22" t="s">
        <v>85</v>
      </c>
      <c r="H29" s="22" t="s">
        <v>30</v>
      </c>
      <c r="I29" s="22" t="s">
        <v>86</v>
      </c>
      <c r="J29" s="22" t="s">
        <v>88</v>
      </c>
      <c r="K29" s="518" t="s">
        <v>812</v>
      </c>
      <c r="L29" s="521" t="s">
        <v>861</v>
      </c>
      <c r="M29" s="521" t="s">
        <v>862</v>
      </c>
      <c r="N29" s="521" t="s">
        <v>815</v>
      </c>
      <c r="O29" s="22" t="s">
        <v>47</v>
      </c>
      <c r="P29" s="69">
        <v>2016</v>
      </c>
      <c r="Q29" s="414">
        <f t="shared" ca="1" si="2"/>
        <v>542.6586265746264</v>
      </c>
      <c r="R29" s="335" t="str">
        <f t="shared" ca="1" si="0"/>
        <v>N/A</v>
      </c>
      <c r="S29" s="335" t="str">
        <f t="shared" ca="1" si="1"/>
        <v>N/A</v>
      </c>
      <c r="T29" s="429"/>
      <c r="U29" s="22"/>
      <c r="V29" s="24"/>
      <c r="W29" s="21"/>
      <c r="Y29" s="490"/>
    </row>
    <row r="30" spans="1:25" ht="45">
      <c r="A30" s="31">
        <v>27</v>
      </c>
      <c r="B30" s="22" t="s">
        <v>39</v>
      </c>
      <c r="C30" s="22" t="s">
        <v>50</v>
      </c>
      <c r="D30" s="22" t="s">
        <v>83</v>
      </c>
      <c r="E30" s="23" t="s">
        <v>84</v>
      </c>
      <c r="F30" s="22" t="s">
        <v>56</v>
      </c>
      <c r="G30" s="22" t="s">
        <v>85</v>
      </c>
      <c r="H30" s="22" t="s">
        <v>30</v>
      </c>
      <c r="I30" s="22" t="s">
        <v>86</v>
      </c>
      <c r="J30" s="22" t="s">
        <v>89</v>
      </c>
      <c r="K30" s="518" t="s">
        <v>812</v>
      </c>
      <c r="L30" s="521" t="s">
        <v>863</v>
      </c>
      <c r="M30" s="521" t="s">
        <v>864</v>
      </c>
      <c r="N30" s="521" t="s">
        <v>815</v>
      </c>
      <c r="O30" s="22" t="s">
        <v>47</v>
      </c>
      <c r="P30" s="69">
        <v>2016</v>
      </c>
      <c r="Q30" s="414">
        <f t="shared" ca="1" si="2"/>
        <v>4154146.5130920759</v>
      </c>
      <c r="R30" s="335" t="str">
        <f t="shared" ca="1" si="0"/>
        <v>N/A</v>
      </c>
      <c r="S30" s="335" t="str">
        <f t="shared" ca="1" si="1"/>
        <v>N/A</v>
      </c>
      <c r="T30" s="429"/>
      <c r="U30" s="22"/>
      <c r="V30" s="24"/>
      <c r="W30" s="21"/>
      <c r="Y30" s="490"/>
    </row>
    <row r="31" spans="1:25" ht="45">
      <c r="A31" s="31">
        <v>28</v>
      </c>
      <c r="B31" s="22" t="s">
        <v>39</v>
      </c>
      <c r="C31" s="22" t="s">
        <v>50</v>
      </c>
      <c r="D31" s="22" t="s">
        <v>83</v>
      </c>
      <c r="E31" s="23" t="s">
        <v>84</v>
      </c>
      <c r="F31" s="22" t="s">
        <v>57</v>
      </c>
      <c r="G31" s="22" t="s">
        <v>85</v>
      </c>
      <c r="H31" s="22" t="s">
        <v>30</v>
      </c>
      <c r="I31" s="22" t="s">
        <v>86</v>
      </c>
      <c r="J31" s="22" t="s">
        <v>57</v>
      </c>
      <c r="K31" s="518" t="s">
        <v>812</v>
      </c>
      <c r="L31" s="521" t="s">
        <v>865</v>
      </c>
      <c r="M31" s="521" t="s">
        <v>866</v>
      </c>
      <c r="N31" s="521" t="s">
        <v>815</v>
      </c>
      <c r="O31" s="22" t="s">
        <v>47</v>
      </c>
      <c r="P31" s="69">
        <v>2016</v>
      </c>
      <c r="Q31" s="414">
        <f t="shared" ca="1" si="2"/>
        <v>2906226.2701966031</v>
      </c>
      <c r="R31" s="335" t="str">
        <f t="shared" ca="1" si="0"/>
        <v>N/A</v>
      </c>
      <c r="S31" s="335" t="str">
        <f t="shared" ca="1" si="1"/>
        <v>N/A</v>
      </c>
      <c r="T31" s="429"/>
      <c r="U31" s="22"/>
      <c r="V31" s="24"/>
      <c r="W31" s="21"/>
      <c r="Y31" s="490"/>
    </row>
    <row r="32" spans="1:25" ht="105">
      <c r="A32" s="31">
        <v>29</v>
      </c>
      <c r="B32" s="22" t="s">
        <v>39</v>
      </c>
      <c r="C32" s="22" t="s">
        <v>50</v>
      </c>
      <c r="D32" s="22" t="s">
        <v>83</v>
      </c>
      <c r="E32" s="23" t="s">
        <v>84</v>
      </c>
      <c r="F32" s="22" t="s">
        <v>58</v>
      </c>
      <c r="G32" s="22" t="s">
        <v>85</v>
      </c>
      <c r="H32" s="22" t="s">
        <v>30</v>
      </c>
      <c r="I32" s="22" t="s">
        <v>86</v>
      </c>
      <c r="J32" s="22" t="s">
        <v>58</v>
      </c>
      <c r="K32" s="518" t="s">
        <v>812</v>
      </c>
      <c r="L32" s="521" t="s">
        <v>867</v>
      </c>
      <c r="M32" s="521" t="s">
        <v>868</v>
      </c>
      <c r="N32" s="521" t="s">
        <v>815</v>
      </c>
      <c r="O32" s="22" t="s">
        <v>47</v>
      </c>
      <c r="P32" s="69">
        <v>2016</v>
      </c>
      <c r="Q32" s="414">
        <f t="shared" ca="1" si="2"/>
        <v>-16744.569711076456</v>
      </c>
      <c r="R32" s="335" t="str">
        <f t="shared" ca="1" si="0"/>
        <v>N/A</v>
      </c>
      <c r="S32" s="335" t="str">
        <f t="shared" ca="1" si="1"/>
        <v>N/A</v>
      </c>
      <c r="T32" s="429" t="s">
        <v>59</v>
      </c>
      <c r="U32"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2" s="24"/>
      <c r="W32" s="21"/>
      <c r="Y32" s="490"/>
    </row>
    <row r="33" spans="1:25" ht="105">
      <c r="A33" s="31">
        <v>30</v>
      </c>
      <c r="B33" s="22" t="s">
        <v>39</v>
      </c>
      <c r="C33" s="22" t="s">
        <v>50</v>
      </c>
      <c r="D33" s="22" t="s">
        <v>83</v>
      </c>
      <c r="E33" s="23" t="s">
        <v>84</v>
      </c>
      <c r="F33" s="22" t="s">
        <v>60</v>
      </c>
      <c r="G33" s="22" t="s">
        <v>85</v>
      </c>
      <c r="H33" s="22" t="s">
        <v>30</v>
      </c>
      <c r="I33" s="22" t="s">
        <v>86</v>
      </c>
      <c r="J33" s="22" t="s">
        <v>60</v>
      </c>
      <c r="K33" s="518" t="s">
        <v>812</v>
      </c>
      <c r="L33" s="521" t="s">
        <v>869</v>
      </c>
      <c r="M33" s="521" t="s">
        <v>870</v>
      </c>
      <c r="N33" s="521" t="s">
        <v>815</v>
      </c>
      <c r="O33" s="22" t="s">
        <v>47</v>
      </c>
      <c r="P33" s="69">
        <v>2016</v>
      </c>
      <c r="Q33" s="414">
        <f t="shared" ca="1" si="2"/>
        <v>-15105.782309444616</v>
      </c>
      <c r="R33" s="335" t="str">
        <f t="shared" ca="1" si="0"/>
        <v>N/A</v>
      </c>
      <c r="S33" s="335" t="str">
        <f t="shared" ca="1" si="1"/>
        <v>N/A</v>
      </c>
      <c r="T33" s="429" t="s">
        <v>59</v>
      </c>
      <c r="U3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3" s="24"/>
      <c r="W33" s="21"/>
      <c r="Y33" s="490"/>
    </row>
    <row r="34" spans="1:25" ht="45">
      <c r="A34" s="31">
        <v>31</v>
      </c>
      <c r="B34" s="22" t="s">
        <v>39</v>
      </c>
      <c r="C34" s="22" t="s">
        <v>50</v>
      </c>
      <c r="D34" s="22" t="s">
        <v>83</v>
      </c>
      <c r="E34" s="23" t="s">
        <v>84</v>
      </c>
      <c r="F34" s="22" t="s">
        <v>61</v>
      </c>
      <c r="G34" s="22" t="s">
        <v>85</v>
      </c>
      <c r="H34" s="22" t="s">
        <v>30</v>
      </c>
      <c r="I34" s="22" t="s">
        <v>86</v>
      </c>
      <c r="J34" s="22" t="s">
        <v>61</v>
      </c>
      <c r="K34" s="518" t="s">
        <v>812</v>
      </c>
      <c r="L34" s="521" t="s">
        <v>871</v>
      </c>
      <c r="M34" s="521" t="s">
        <v>872</v>
      </c>
      <c r="N34" s="521" t="s">
        <v>815</v>
      </c>
      <c r="O34" s="22" t="s">
        <v>47</v>
      </c>
      <c r="P34" s="69">
        <v>2016</v>
      </c>
      <c r="Q34" s="414">
        <f t="shared" ca="1" si="2"/>
        <v>8400.9467557914049</v>
      </c>
      <c r="R34" s="335" t="str">
        <f t="shared" ca="1" si="0"/>
        <v>N/A</v>
      </c>
      <c r="S34" s="335" t="str">
        <f t="shared" ca="1" si="1"/>
        <v>N/A</v>
      </c>
      <c r="T34" s="429"/>
      <c r="U34" s="22"/>
      <c r="V34" s="24"/>
      <c r="W34" s="21"/>
      <c r="Y34" s="490"/>
    </row>
    <row r="35" spans="1:25" ht="45">
      <c r="A35" s="31">
        <v>32</v>
      </c>
      <c r="B35" s="22" t="s">
        <v>39</v>
      </c>
      <c r="C35" s="22" t="s">
        <v>50</v>
      </c>
      <c r="D35" s="22" t="s">
        <v>83</v>
      </c>
      <c r="E35" s="23" t="s">
        <v>84</v>
      </c>
      <c r="F35" s="22" t="s">
        <v>62</v>
      </c>
      <c r="G35" s="22" t="s">
        <v>85</v>
      </c>
      <c r="H35" s="22" t="s">
        <v>30</v>
      </c>
      <c r="I35" s="22" t="s">
        <v>86</v>
      </c>
      <c r="J35" s="22" t="s">
        <v>62</v>
      </c>
      <c r="K35" s="518" t="s">
        <v>812</v>
      </c>
      <c r="L35" s="521" t="s">
        <v>873</v>
      </c>
      <c r="M35" s="521" t="s">
        <v>874</v>
      </c>
      <c r="N35" s="521" t="s">
        <v>815</v>
      </c>
      <c r="O35" s="22" t="s">
        <v>47</v>
      </c>
      <c r="P35" s="69">
        <v>2016</v>
      </c>
      <c r="Q35" s="414">
        <f t="shared" ca="1" si="2"/>
        <v>5711.3254016515839</v>
      </c>
      <c r="R35" s="335" t="str">
        <f t="shared" ca="1" si="0"/>
        <v>N/A</v>
      </c>
      <c r="S35" s="335" t="str">
        <f t="shared" ca="1" si="1"/>
        <v>N/A</v>
      </c>
      <c r="T35" s="429"/>
      <c r="U35" s="22"/>
      <c r="V35" s="24"/>
      <c r="W35" s="21"/>
      <c r="Y35" s="490"/>
    </row>
    <row r="36" spans="1:25" ht="45">
      <c r="A36" s="31">
        <v>33</v>
      </c>
      <c r="B36" s="22" t="s">
        <v>39</v>
      </c>
      <c r="C36" s="22" t="s">
        <v>50</v>
      </c>
      <c r="D36" s="22" t="s">
        <v>83</v>
      </c>
      <c r="E36" s="23" t="s">
        <v>84</v>
      </c>
      <c r="F36" s="22" t="s">
        <v>63</v>
      </c>
      <c r="G36" s="22" t="s">
        <v>85</v>
      </c>
      <c r="H36" s="22" t="s">
        <v>30</v>
      </c>
      <c r="I36" s="22" t="s">
        <v>86</v>
      </c>
      <c r="J36" s="22" t="s">
        <v>63</v>
      </c>
      <c r="K36" s="518" t="s">
        <v>812</v>
      </c>
      <c r="L36" s="521" t="s">
        <v>875</v>
      </c>
      <c r="M36" s="521" t="s">
        <v>876</v>
      </c>
      <c r="N36" s="521" t="s">
        <v>815</v>
      </c>
      <c r="O36" s="22" t="s">
        <v>47</v>
      </c>
      <c r="P36" s="69">
        <v>2016</v>
      </c>
      <c r="Q36" s="414">
        <f t="shared" ca="1" si="2"/>
        <v>45824586.977097183</v>
      </c>
      <c r="R36" s="335" t="str">
        <f t="shared" ca="1" si="0"/>
        <v>N/A</v>
      </c>
      <c r="S36" s="335" t="str">
        <f t="shared" ca="1" si="1"/>
        <v>N/A</v>
      </c>
      <c r="T36" s="429"/>
      <c r="U36" s="22"/>
      <c r="V36" s="24"/>
      <c r="W36" s="21"/>
      <c r="Y36" s="490"/>
    </row>
    <row r="37" spans="1:25" ht="45">
      <c r="A37" s="31">
        <v>34</v>
      </c>
      <c r="B37" s="22" t="s">
        <v>39</v>
      </c>
      <c r="C37" s="22" t="s">
        <v>50</v>
      </c>
      <c r="D37" s="22" t="s">
        <v>83</v>
      </c>
      <c r="E37" s="23" t="s">
        <v>84</v>
      </c>
      <c r="F37" s="22" t="s">
        <v>64</v>
      </c>
      <c r="G37" s="22" t="s">
        <v>85</v>
      </c>
      <c r="H37" s="22" t="s">
        <v>30</v>
      </c>
      <c r="I37" s="22" t="s">
        <v>86</v>
      </c>
      <c r="J37" s="22" t="s">
        <v>64</v>
      </c>
      <c r="K37" s="518" t="s">
        <v>812</v>
      </c>
      <c r="L37" s="521" t="s">
        <v>877</v>
      </c>
      <c r="M37" s="521" t="s">
        <v>878</v>
      </c>
      <c r="N37" s="521" t="s">
        <v>815</v>
      </c>
      <c r="O37" s="22" t="s">
        <v>47</v>
      </c>
      <c r="P37" s="69">
        <v>2016</v>
      </c>
      <c r="Q37" s="414">
        <f t="shared" ca="1" si="2"/>
        <v>31600403.454184487</v>
      </c>
      <c r="R37" s="335" t="str">
        <f t="shared" ca="1" si="0"/>
        <v>N/A</v>
      </c>
      <c r="S37" s="335" t="str">
        <f t="shared" ca="1" si="1"/>
        <v>N/A</v>
      </c>
      <c r="T37" s="429"/>
      <c r="U37" s="22"/>
      <c r="V37" s="24"/>
      <c r="W37" s="21"/>
      <c r="Y37" s="490"/>
    </row>
    <row r="38" spans="1:25" ht="105">
      <c r="A38" s="31">
        <v>35</v>
      </c>
      <c r="B38" s="22" t="s">
        <v>39</v>
      </c>
      <c r="C38" s="22" t="s">
        <v>50</v>
      </c>
      <c r="D38" s="22" t="s">
        <v>83</v>
      </c>
      <c r="E38" s="23" t="s">
        <v>84</v>
      </c>
      <c r="F38" s="22" t="s">
        <v>65</v>
      </c>
      <c r="G38" s="22" t="s">
        <v>85</v>
      </c>
      <c r="H38" s="22" t="s">
        <v>30</v>
      </c>
      <c r="I38" s="22" t="s">
        <v>86</v>
      </c>
      <c r="J38" s="22" t="s">
        <v>65</v>
      </c>
      <c r="K38" s="518" t="s">
        <v>812</v>
      </c>
      <c r="L38" s="521" t="s">
        <v>879</v>
      </c>
      <c r="M38" s="521" t="s">
        <v>880</v>
      </c>
      <c r="N38" s="521" t="s">
        <v>815</v>
      </c>
      <c r="O38" s="22" t="s">
        <v>47</v>
      </c>
      <c r="P38" s="69">
        <v>2016</v>
      </c>
      <c r="Q38" s="414">
        <f t="shared" ca="1" si="2"/>
        <v>-156970.38357559391</v>
      </c>
      <c r="R38" s="335" t="str">
        <f t="shared" ca="1" si="0"/>
        <v>N/A</v>
      </c>
      <c r="S38" s="335" t="str">
        <f t="shared" ca="1" si="1"/>
        <v>N/A</v>
      </c>
      <c r="T38" s="429" t="s">
        <v>59</v>
      </c>
      <c r="U38"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8" s="24"/>
      <c r="W38" s="21"/>
      <c r="Y38" s="490"/>
    </row>
    <row r="39" spans="1:25" ht="105">
      <c r="A39" s="31">
        <v>36</v>
      </c>
      <c r="B39" s="22" t="s">
        <v>39</v>
      </c>
      <c r="C39" s="22" t="s">
        <v>50</v>
      </c>
      <c r="D39" s="22" t="s">
        <v>83</v>
      </c>
      <c r="E39" s="23" t="s">
        <v>84</v>
      </c>
      <c r="F39" s="22" t="s">
        <v>66</v>
      </c>
      <c r="G39" s="22" t="s">
        <v>85</v>
      </c>
      <c r="H39" s="22" t="s">
        <v>30</v>
      </c>
      <c r="I39" s="22" t="s">
        <v>86</v>
      </c>
      <c r="J39" s="22" t="s">
        <v>66</v>
      </c>
      <c r="K39" s="518" t="s">
        <v>812</v>
      </c>
      <c r="L39" s="521" t="s">
        <v>881</v>
      </c>
      <c r="M39" s="521" t="s">
        <v>882</v>
      </c>
      <c r="N39" s="521" t="s">
        <v>815</v>
      </c>
      <c r="O39" s="22" t="s">
        <v>47</v>
      </c>
      <c r="P39" s="69">
        <v>2016</v>
      </c>
      <c r="Q39" s="414">
        <f t="shared" ca="1" si="2"/>
        <v>-140163.27495328779</v>
      </c>
      <c r="R39" s="335" t="str">
        <f t="shared" ca="1" si="0"/>
        <v>N/A</v>
      </c>
      <c r="S39" s="335" t="str">
        <f t="shared" ca="1" si="1"/>
        <v>N/A</v>
      </c>
      <c r="T39" s="429" t="s">
        <v>59</v>
      </c>
      <c r="U39"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9" s="24"/>
      <c r="W39" s="21"/>
      <c r="Y39" s="490"/>
    </row>
    <row r="40" spans="1:25" ht="30">
      <c r="A40" s="31">
        <v>37</v>
      </c>
      <c r="B40" s="22" t="s">
        <v>39</v>
      </c>
      <c r="C40" s="22" t="s">
        <v>50</v>
      </c>
      <c r="D40" s="22" t="s">
        <v>90</v>
      </c>
      <c r="E40" s="23" t="s">
        <v>91</v>
      </c>
      <c r="F40" s="22" t="s">
        <v>92</v>
      </c>
      <c r="G40" s="22" t="s">
        <v>93</v>
      </c>
      <c r="H40" s="22" t="s">
        <v>30</v>
      </c>
      <c r="I40" s="22" t="s">
        <v>94</v>
      </c>
      <c r="J40" s="22" t="s">
        <v>92</v>
      </c>
      <c r="K40" s="518" t="s">
        <v>812</v>
      </c>
      <c r="L40" s="521" t="s">
        <v>883</v>
      </c>
      <c r="M40" s="521" t="s">
        <v>884</v>
      </c>
      <c r="N40" s="521" t="s">
        <v>885</v>
      </c>
      <c r="O40" s="22" t="s">
        <v>47</v>
      </c>
      <c r="P40" s="69">
        <v>2016</v>
      </c>
      <c r="Q40" s="414">
        <f ca="1">SUMIF(INDIRECT("'"&amp;K40&amp;"'!c:c"),A40,INDIRECT("'"&amp;K40&amp;"'!d:d"))</f>
        <v>299.22560289557811</v>
      </c>
      <c r="R40" s="335">
        <f t="shared" ca="1" si="0"/>
        <v>0</v>
      </c>
      <c r="S40" s="335">
        <f t="shared" ca="1" si="1"/>
        <v>0</v>
      </c>
      <c r="T40" s="429"/>
      <c r="U40" s="22"/>
      <c r="V40" s="24"/>
      <c r="W40" s="21"/>
      <c r="Y40" s="490"/>
    </row>
    <row r="41" spans="1:25" ht="30">
      <c r="A41" s="31">
        <v>38</v>
      </c>
      <c r="B41" s="22" t="s">
        <v>39</v>
      </c>
      <c r="C41" s="22" t="s">
        <v>50</v>
      </c>
      <c r="D41" s="22" t="s">
        <v>90</v>
      </c>
      <c r="E41" s="23" t="s">
        <v>91</v>
      </c>
      <c r="F41" s="22" t="s">
        <v>95</v>
      </c>
      <c r="G41" s="22" t="s">
        <v>93</v>
      </c>
      <c r="H41" s="22" t="s">
        <v>30</v>
      </c>
      <c r="I41" s="22" t="s">
        <v>94</v>
      </c>
      <c r="J41" s="22" t="s">
        <v>95</v>
      </c>
      <c r="K41" s="518" t="s">
        <v>812</v>
      </c>
      <c r="L41" s="521" t="s">
        <v>886</v>
      </c>
      <c r="M41" s="521" t="s">
        <v>887</v>
      </c>
      <c r="N41" s="521" t="s">
        <v>885</v>
      </c>
      <c r="O41" s="22" t="s">
        <v>47</v>
      </c>
      <c r="P41" s="69">
        <v>2016</v>
      </c>
      <c r="Q41" s="414">
        <f t="shared" ca="1" si="2"/>
        <v>6.5983874556443195E-2</v>
      </c>
      <c r="R41" s="335">
        <f t="shared" ca="1" si="0"/>
        <v>0</v>
      </c>
      <c r="S41" s="335">
        <f t="shared" ca="1" si="1"/>
        <v>0</v>
      </c>
      <c r="T41" s="429"/>
      <c r="U41" s="22"/>
      <c r="V41" s="24"/>
      <c r="W41" s="21"/>
      <c r="Y41" s="490"/>
    </row>
    <row r="42" spans="1:25" ht="30">
      <c r="A42" s="31">
        <v>39</v>
      </c>
      <c r="B42" s="22" t="s">
        <v>39</v>
      </c>
      <c r="C42" s="22" t="s">
        <v>50</v>
      </c>
      <c r="D42" s="22" t="s">
        <v>90</v>
      </c>
      <c r="E42" s="23" t="s">
        <v>91</v>
      </c>
      <c r="F42" s="22" t="s">
        <v>96</v>
      </c>
      <c r="G42" s="22" t="s">
        <v>93</v>
      </c>
      <c r="H42" s="22" t="s">
        <v>30</v>
      </c>
      <c r="I42" s="22" t="s">
        <v>94</v>
      </c>
      <c r="J42" s="22" t="s">
        <v>96</v>
      </c>
      <c r="K42" s="518" t="s">
        <v>812</v>
      </c>
      <c r="L42" s="521" t="s">
        <v>888</v>
      </c>
      <c r="M42" s="521" t="s">
        <v>889</v>
      </c>
      <c r="N42" s="521" t="s">
        <v>885</v>
      </c>
      <c r="O42" s="22" t="s">
        <v>47</v>
      </c>
      <c r="P42" s="69">
        <v>2016</v>
      </c>
      <c r="Q42" s="414">
        <f t="shared" ca="1" si="2"/>
        <v>0.52573295173332313</v>
      </c>
      <c r="R42" s="335">
        <f t="shared" ca="1" si="0"/>
        <v>0</v>
      </c>
      <c r="S42" s="335">
        <f t="shared" ca="1" si="1"/>
        <v>0</v>
      </c>
      <c r="T42" s="429" t="s">
        <v>48</v>
      </c>
      <c r="U42" s="22" t="s">
        <v>49</v>
      </c>
      <c r="V42" s="24"/>
      <c r="W42" s="21"/>
      <c r="Y42" s="490"/>
    </row>
    <row r="43" spans="1:25" ht="30">
      <c r="A43" s="31">
        <v>40</v>
      </c>
      <c r="B43" s="22" t="s">
        <v>39</v>
      </c>
      <c r="C43" s="22" t="s">
        <v>50</v>
      </c>
      <c r="D43" s="22" t="s">
        <v>90</v>
      </c>
      <c r="E43" s="23" t="s">
        <v>91</v>
      </c>
      <c r="F43" s="22" t="s">
        <v>97</v>
      </c>
      <c r="G43" s="22" t="s">
        <v>93</v>
      </c>
      <c r="H43" s="22" t="s">
        <v>30</v>
      </c>
      <c r="I43" s="22" t="s">
        <v>94</v>
      </c>
      <c r="J43" s="22" t="s">
        <v>97</v>
      </c>
      <c r="K43" s="518" t="s">
        <v>812</v>
      </c>
      <c r="L43" s="521" t="s">
        <v>890</v>
      </c>
      <c r="M43" s="521" t="s">
        <v>891</v>
      </c>
      <c r="N43" s="521" t="s">
        <v>885</v>
      </c>
      <c r="O43" s="22" t="s">
        <v>47</v>
      </c>
      <c r="P43" s="69">
        <v>2016</v>
      </c>
      <c r="Q43" s="414">
        <f t="shared" ca="1" si="2"/>
        <v>420.38822782558418</v>
      </c>
      <c r="R43" s="335">
        <f t="shared" ca="1" si="0"/>
        <v>0</v>
      </c>
      <c r="S43" s="335">
        <f t="shared" ca="1" si="1"/>
        <v>0</v>
      </c>
      <c r="T43" s="429"/>
      <c r="U43" s="22"/>
      <c r="V43" s="24"/>
      <c r="W43" s="21"/>
      <c r="Y43" s="490"/>
    </row>
    <row r="44" spans="1:25" ht="30">
      <c r="A44" s="31">
        <v>41</v>
      </c>
      <c r="B44" s="22" t="s">
        <v>39</v>
      </c>
      <c r="C44" s="22" t="s">
        <v>50</v>
      </c>
      <c r="D44" s="22" t="s">
        <v>90</v>
      </c>
      <c r="E44" s="23" t="s">
        <v>91</v>
      </c>
      <c r="F44" s="22" t="s">
        <v>98</v>
      </c>
      <c r="G44" s="22" t="s">
        <v>93</v>
      </c>
      <c r="H44" s="22" t="s">
        <v>30</v>
      </c>
      <c r="I44" s="22" t="s">
        <v>94</v>
      </c>
      <c r="J44" s="22" t="s">
        <v>98</v>
      </c>
      <c r="K44" s="518" t="s">
        <v>812</v>
      </c>
      <c r="L44" s="521" t="s">
        <v>892</v>
      </c>
      <c r="M44" s="521" t="s">
        <v>893</v>
      </c>
      <c r="N44" s="521" t="s">
        <v>885</v>
      </c>
      <c r="O44" s="22" t="s">
        <v>47</v>
      </c>
      <c r="P44" s="69">
        <v>2016</v>
      </c>
      <c r="Q44" s="414">
        <f t="shared" ca="1" si="2"/>
        <v>9.2702107710692289E-2</v>
      </c>
      <c r="R44" s="335">
        <f t="shared" ca="1" si="0"/>
        <v>0</v>
      </c>
      <c r="S44" s="335">
        <f t="shared" ca="1" si="1"/>
        <v>0</v>
      </c>
      <c r="T44" s="429"/>
      <c r="U44" s="22"/>
      <c r="V44" s="24"/>
      <c r="W44" s="21"/>
      <c r="Y44" s="490"/>
    </row>
    <row r="45" spans="1:25" ht="30">
      <c r="A45" s="31">
        <v>42</v>
      </c>
      <c r="B45" s="22" t="s">
        <v>39</v>
      </c>
      <c r="C45" s="22" t="s">
        <v>50</v>
      </c>
      <c r="D45" s="22" t="s">
        <v>90</v>
      </c>
      <c r="E45" s="23" t="s">
        <v>91</v>
      </c>
      <c r="F45" s="22" t="s">
        <v>99</v>
      </c>
      <c r="G45" s="22" t="s">
        <v>93</v>
      </c>
      <c r="H45" s="22" t="s">
        <v>30</v>
      </c>
      <c r="I45" s="22" t="s">
        <v>94</v>
      </c>
      <c r="J45" s="22" t="s">
        <v>99</v>
      </c>
      <c r="K45" s="518" t="s">
        <v>812</v>
      </c>
      <c r="L45" s="521" t="s">
        <v>894</v>
      </c>
      <c r="M45" s="521" t="s">
        <v>895</v>
      </c>
      <c r="N45" s="521" t="s">
        <v>885</v>
      </c>
      <c r="O45" s="22" t="s">
        <v>47</v>
      </c>
      <c r="P45" s="69">
        <v>2016</v>
      </c>
      <c r="Q45" s="414">
        <f t="shared" ca="1" si="2"/>
        <v>0.7386130785174343</v>
      </c>
      <c r="R45" s="335">
        <f t="shared" ca="1" si="0"/>
        <v>0</v>
      </c>
      <c r="S45" s="335">
        <f t="shared" ca="1" si="1"/>
        <v>0</v>
      </c>
      <c r="T45" s="429" t="s">
        <v>48</v>
      </c>
      <c r="U45" s="22" t="s">
        <v>49</v>
      </c>
      <c r="V45" s="24"/>
      <c r="W45" s="21"/>
      <c r="Y45" s="490"/>
    </row>
    <row r="46" spans="1:25" ht="45">
      <c r="A46" s="31">
        <v>43</v>
      </c>
      <c r="B46" s="22" t="s">
        <v>39</v>
      </c>
      <c r="C46" s="22" t="s">
        <v>50</v>
      </c>
      <c r="D46" s="22" t="s">
        <v>100</v>
      </c>
      <c r="E46" s="23" t="s">
        <v>51</v>
      </c>
      <c r="F46" s="22" t="s">
        <v>52</v>
      </c>
      <c r="G46" s="22" t="s">
        <v>53</v>
      </c>
      <c r="H46" s="22" t="s">
        <v>30</v>
      </c>
      <c r="I46" s="22" t="s">
        <v>101</v>
      </c>
      <c r="J46" s="22" t="s">
        <v>52</v>
      </c>
      <c r="K46" s="519" t="s">
        <v>896</v>
      </c>
      <c r="L46" s="521" t="s">
        <v>897</v>
      </c>
      <c r="M46" s="521" t="s">
        <v>898</v>
      </c>
      <c r="N46" s="521" t="s">
        <v>815</v>
      </c>
      <c r="O46" s="22" t="s">
        <v>102</v>
      </c>
      <c r="P46" s="69">
        <v>2016</v>
      </c>
      <c r="Q46" s="414">
        <f t="shared" ca="1" si="2"/>
        <v>37359.942249947097</v>
      </c>
      <c r="R46" s="335" t="str">
        <f t="shared" ca="1" si="0"/>
        <v>N/A</v>
      </c>
      <c r="S46" s="335" t="str">
        <f t="shared" ca="1" si="1"/>
        <v>N/A</v>
      </c>
      <c r="T46" s="429" t="s">
        <v>899</v>
      </c>
      <c r="U46" s="22"/>
      <c r="V46" s="24"/>
      <c r="W46" s="21"/>
      <c r="Y46" s="490"/>
    </row>
    <row r="47" spans="1:25" ht="45">
      <c r="A47" s="31">
        <v>44</v>
      </c>
      <c r="B47" s="22" t="s">
        <v>39</v>
      </c>
      <c r="C47" s="22" t="s">
        <v>50</v>
      </c>
      <c r="D47" s="22" t="s">
        <v>100</v>
      </c>
      <c r="E47" s="23" t="s">
        <v>51</v>
      </c>
      <c r="F47" s="22" t="s">
        <v>55</v>
      </c>
      <c r="G47" s="22" t="s">
        <v>53</v>
      </c>
      <c r="H47" s="22" t="s">
        <v>30</v>
      </c>
      <c r="I47" s="22" t="s">
        <v>101</v>
      </c>
      <c r="J47" s="22" t="s">
        <v>55</v>
      </c>
      <c r="K47" s="519" t="s">
        <v>896</v>
      </c>
      <c r="L47" s="521" t="s">
        <v>900</v>
      </c>
      <c r="M47" s="521" t="s">
        <v>901</v>
      </c>
      <c r="N47" s="521" t="s">
        <v>815</v>
      </c>
      <c r="O47" s="22" t="s">
        <v>102</v>
      </c>
      <c r="P47" s="69">
        <v>2016</v>
      </c>
      <c r="Q47" s="414">
        <f t="shared" ca="1" si="2"/>
        <v>36438.311610215598</v>
      </c>
      <c r="R47" s="335" t="str">
        <f t="shared" ca="1" si="0"/>
        <v>N/A</v>
      </c>
      <c r="S47" s="335" t="str">
        <f t="shared" ca="1" si="1"/>
        <v>N/A</v>
      </c>
      <c r="T47" s="429" t="s">
        <v>899</v>
      </c>
      <c r="U47" s="22"/>
      <c r="V47" s="24"/>
      <c r="W47" s="21"/>
      <c r="Y47" s="490"/>
    </row>
    <row r="48" spans="1:25" ht="45">
      <c r="A48" s="31">
        <v>45</v>
      </c>
      <c r="B48" s="22" t="s">
        <v>39</v>
      </c>
      <c r="C48" s="22" t="s">
        <v>50</v>
      </c>
      <c r="D48" s="22" t="s">
        <v>100</v>
      </c>
      <c r="E48" s="23" t="s">
        <v>51</v>
      </c>
      <c r="F48" s="22" t="s">
        <v>56</v>
      </c>
      <c r="G48" s="22" t="s">
        <v>53</v>
      </c>
      <c r="H48" s="22" t="s">
        <v>30</v>
      </c>
      <c r="I48" s="22" t="s">
        <v>101</v>
      </c>
      <c r="J48" s="22" t="s">
        <v>56</v>
      </c>
      <c r="K48" s="519" t="s">
        <v>896</v>
      </c>
      <c r="L48" s="521" t="s">
        <v>902</v>
      </c>
      <c r="M48" s="521" t="s">
        <v>903</v>
      </c>
      <c r="N48" s="521" t="s">
        <v>815</v>
      </c>
      <c r="O48" s="22" t="s">
        <v>102</v>
      </c>
      <c r="P48" s="69">
        <v>2016</v>
      </c>
      <c r="Q48" s="414">
        <f t="shared" ca="1" si="2"/>
        <v>67699410.8394586</v>
      </c>
      <c r="R48" s="335" t="str">
        <f t="shared" ca="1" si="0"/>
        <v>N/A</v>
      </c>
      <c r="S48" s="335" t="str">
        <f t="shared" ca="1" si="1"/>
        <v>N/A</v>
      </c>
      <c r="T48" s="429" t="s">
        <v>899</v>
      </c>
      <c r="U48" s="22"/>
      <c r="V48" s="24"/>
      <c r="W48" s="21"/>
      <c r="Y48" s="490"/>
    </row>
    <row r="49" spans="1:25" ht="45">
      <c r="A49" s="31">
        <v>46</v>
      </c>
      <c r="B49" s="22" t="s">
        <v>39</v>
      </c>
      <c r="C49" s="22" t="s">
        <v>50</v>
      </c>
      <c r="D49" s="22" t="s">
        <v>100</v>
      </c>
      <c r="E49" s="23" t="s">
        <v>51</v>
      </c>
      <c r="F49" s="22" t="s">
        <v>57</v>
      </c>
      <c r="G49" s="22" t="s">
        <v>53</v>
      </c>
      <c r="H49" s="22" t="s">
        <v>30</v>
      </c>
      <c r="I49" s="22" t="s">
        <v>101</v>
      </c>
      <c r="J49" s="22" t="s">
        <v>57</v>
      </c>
      <c r="K49" s="519" t="s">
        <v>896</v>
      </c>
      <c r="L49" s="521" t="s">
        <v>904</v>
      </c>
      <c r="M49" s="521" t="s">
        <v>905</v>
      </c>
      <c r="N49" s="521" t="s">
        <v>815</v>
      </c>
      <c r="O49" s="22" t="s">
        <v>102</v>
      </c>
      <c r="P49" s="69">
        <v>2016</v>
      </c>
      <c r="Q49" s="414">
        <f t="shared" ca="1" si="2"/>
        <v>54672508.702405602</v>
      </c>
      <c r="R49" s="335" t="str">
        <f t="shared" ca="1" si="0"/>
        <v>N/A</v>
      </c>
      <c r="S49" s="335" t="str">
        <f t="shared" ca="1" si="1"/>
        <v>N/A</v>
      </c>
      <c r="T49" s="429" t="s">
        <v>899</v>
      </c>
      <c r="U49" s="22"/>
      <c r="V49" s="24"/>
      <c r="W49" s="21"/>
      <c r="Y49" s="490"/>
    </row>
    <row r="50" spans="1:25" ht="45">
      <c r="A50" s="31">
        <v>47</v>
      </c>
      <c r="B50" s="22" t="s">
        <v>39</v>
      </c>
      <c r="C50" s="22" t="s">
        <v>50</v>
      </c>
      <c r="D50" s="22" t="s">
        <v>100</v>
      </c>
      <c r="E50" s="23" t="s">
        <v>51</v>
      </c>
      <c r="F50" s="22" t="s">
        <v>58</v>
      </c>
      <c r="G50" s="22" t="s">
        <v>53</v>
      </c>
      <c r="H50" s="22" t="s">
        <v>30</v>
      </c>
      <c r="I50" s="22" t="s">
        <v>101</v>
      </c>
      <c r="J50" s="22" t="s">
        <v>58</v>
      </c>
      <c r="K50" s="519" t="s">
        <v>896</v>
      </c>
      <c r="L50" s="521" t="s">
        <v>906</v>
      </c>
      <c r="M50" s="521" t="s">
        <v>907</v>
      </c>
      <c r="N50" s="521" t="s">
        <v>815</v>
      </c>
      <c r="O50" s="22" t="s">
        <v>102</v>
      </c>
      <c r="P50" s="69">
        <v>2016</v>
      </c>
      <c r="Q50" s="414">
        <f t="shared" ca="1" si="2"/>
        <v>822665.18352141499</v>
      </c>
      <c r="R50" s="335" t="str">
        <f t="shared" ca="1" si="0"/>
        <v>N/A</v>
      </c>
      <c r="S50" s="335" t="str">
        <f t="shared" ca="1" si="1"/>
        <v>N/A</v>
      </c>
      <c r="T50" s="429" t="s">
        <v>899</v>
      </c>
      <c r="U50" s="22" t="s">
        <v>49</v>
      </c>
      <c r="V50" s="24"/>
      <c r="W50" s="21"/>
      <c r="Y50" s="490"/>
    </row>
    <row r="51" spans="1:25" ht="45">
      <c r="A51" s="31">
        <v>48</v>
      </c>
      <c r="B51" s="22" t="s">
        <v>39</v>
      </c>
      <c r="C51" s="22" t="s">
        <v>50</v>
      </c>
      <c r="D51" s="22" t="s">
        <v>100</v>
      </c>
      <c r="E51" s="23" t="s">
        <v>51</v>
      </c>
      <c r="F51" s="22" t="s">
        <v>60</v>
      </c>
      <c r="G51" s="22" t="s">
        <v>53</v>
      </c>
      <c r="H51" s="22" t="s">
        <v>30</v>
      </c>
      <c r="I51" s="22" t="s">
        <v>101</v>
      </c>
      <c r="J51" s="22" t="s">
        <v>60</v>
      </c>
      <c r="K51" s="519" t="s">
        <v>896</v>
      </c>
      <c r="L51" s="521" t="s">
        <v>908</v>
      </c>
      <c r="M51" s="521" t="s">
        <v>909</v>
      </c>
      <c r="N51" s="521" t="s">
        <v>815</v>
      </c>
      <c r="O51" s="22" t="s">
        <v>102</v>
      </c>
      <c r="P51" s="69">
        <v>2016</v>
      </c>
      <c r="Q51" s="414">
        <f t="shared" ref="Q51:Q80" ca="1" si="3">SUMIF(INDIRECT("'"&amp;K51&amp;"'!c:c"),A51,INDIRECT("'"&amp;K51&amp;"'!d:d"))</f>
        <v>716993.593016561</v>
      </c>
      <c r="R51" s="335" t="str">
        <f t="shared" ca="1" si="0"/>
        <v>N/A</v>
      </c>
      <c r="S51" s="335" t="str">
        <f t="shared" ca="1" si="1"/>
        <v>N/A</v>
      </c>
      <c r="T51" s="429" t="s">
        <v>899</v>
      </c>
      <c r="U51" s="22" t="s">
        <v>49</v>
      </c>
      <c r="V51" s="24"/>
      <c r="W51" s="21"/>
      <c r="Y51" s="490"/>
    </row>
    <row r="52" spans="1:25" ht="45">
      <c r="A52" s="31">
        <v>49</v>
      </c>
      <c r="B52" s="22" t="s">
        <v>39</v>
      </c>
      <c r="C52" s="22" t="s">
        <v>50</v>
      </c>
      <c r="D52" s="22" t="s">
        <v>100</v>
      </c>
      <c r="E52" s="23" t="s">
        <v>51</v>
      </c>
      <c r="F52" s="22" t="s">
        <v>61</v>
      </c>
      <c r="G52" s="22" t="s">
        <v>53</v>
      </c>
      <c r="H52" s="22" t="s">
        <v>30</v>
      </c>
      <c r="I52" s="22" t="s">
        <v>101</v>
      </c>
      <c r="J52" s="22" t="s">
        <v>61</v>
      </c>
      <c r="K52" s="519" t="s">
        <v>896</v>
      </c>
      <c r="L52" s="521" t="s">
        <v>910</v>
      </c>
      <c r="M52" s="521" t="s">
        <v>911</v>
      </c>
      <c r="N52" s="521" t="s">
        <v>815</v>
      </c>
      <c r="O52" s="22" t="s">
        <v>102</v>
      </c>
      <c r="P52" s="69">
        <v>2016</v>
      </c>
      <c r="Q52" s="414">
        <f t="shared" ca="1" si="3"/>
        <v>128250.001890332</v>
      </c>
      <c r="R52" s="335" t="str">
        <f t="shared" ca="1" si="0"/>
        <v>N/A</v>
      </c>
      <c r="S52" s="335" t="str">
        <f t="shared" ca="1" si="1"/>
        <v>N/A</v>
      </c>
      <c r="T52" s="429" t="s">
        <v>899</v>
      </c>
      <c r="U52" s="22"/>
      <c r="V52" s="24"/>
      <c r="W52" s="21"/>
      <c r="Y52" s="490"/>
    </row>
    <row r="53" spans="1:25" ht="45">
      <c r="A53" s="31">
        <v>50</v>
      </c>
      <c r="B53" s="22" t="s">
        <v>39</v>
      </c>
      <c r="C53" s="22" t="s">
        <v>50</v>
      </c>
      <c r="D53" s="22" t="s">
        <v>100</v>
      </c>
      <c r="E53" s="23" t="s">
        <v>51</v>
      </c>
      <c r="F53" s="22" t="s">
        <v>62</v>
      </c>
      <c r="G53" s="22" t="s">
        <v>53</v>
      </c>
      <c r="H53" s="22" t="s">
        <v>30</v>
      </c>
      <c r="I53" s="22" t="s">
        <v>101</v>
      </c>
      <c r="J53" s="22" t="s">
        <v>62</v>
      </c>
      <c r="K53" s="519" t="s">
        <v>896</v>
      </c>
      <c r="L53" s="521" t="s">
        <v>912</v>
      </c>
      <c r="M53" s="521" t="s">
        <v>913</v>
      </c>
      <c r="N53" s="521" t="s">
        <v>815</v>
      </c>
      <c r="O53" s="22" t="s">
        <v>102</v>
      </c>
      <c r="P53" s="69">
        <v>2016</v>
      </c>
      <c r="Q53" s="414">
        <f t="shared" ca="1" si="3"/>
        <v>97804.343194222107</v>
      </c>
      <c r="R53" s="335" t="str">
        <f t="shared" ca="1" si="0"/>
        <v>N/A</v>
      </c>
      <c r="S53" s="335" t="str">
        <f t="shared" ca="1" si="1"/>
        <v>N/A</v>
      </c>
      <c r="T53" s="429" t="s">
        <v>899</v>
      </c>
      <c r="U53" s="22"/>
      <c r="V53" s="24"/>
      <c r="W53" s="21"/>
      <c r="Y53" s="490"/>
    </row>
    <row r="54" spans="1:25" ht="45">
      <c r="A54" s="31">
        <v>51</v>
      </c>
      <c r="B54" s="22" t="s">
        <v>39</v>
      </c>
      <c r="C54" s="22" t="s">
        <v>50</v>
      </c>
      <c r="D54" s="22" t="s">
        <v>100</v>
      </c>
      <c r="E54" s="23" t="s">
        <v>51</v>
      </c>
      <c r="F54" s="22" t="s">
        <v>63</v>
      </c>
      <c r="G54" s="22" t="s">
        <v>53</v>
      </c>
      <c r="H54" s="22" t="s">
        <v>30</v>
      </c>
      <c r="I54" s="22" t="s">
        <v>101</v>
      </c>
      <c r="J54" s="22" t="s">
        <v>63</v>
      </c>
      <c r="K54" s="519" t="s">
        <v>896</v>
      </c>
      <c r="L54" s="521" t="s">
        <v>914</v>
      </c>
      <c r="M54" s="521" t="s">
        <v>915</v>
      </c>
      <c r="N54" s="521" t="s">
        <v>815</v>
      </c>
      <c r="O54" s="22" t="s">
        <v>102</v>
      </c>
      <c r="P54" s="69">
        <v>2016</v>
      </c>
      <c r="Q54" s="414">
        <f t="shared" ca="1" si="3"/>
        <v>622467999.60087097</v>
      </c>
      <c r="R54" s="335" t="str">
        <f t="shared" ca="1" si="0"/>
        <v>N/A</v>
      </c>
      <c r="S54" s="335" t="str">
        <f t="shared" ca="1" si="1"/>
        <v>N/A</v>
      </c>
      <c r="T54" s="429" t="s">
        <v>899</v>
      </c>
      <c r="U54" s="22"/>
      <c r="V54" s="24"/>
      <c r="W54" s="21"/>
      <c r="Y54" s="490"/>
    </row>
    <row r="55" spans="1:25" ht="45">
      <c r="A55" s="31">
        <v>52</v>
      </c>
      <c r="B55" s="22" t="s">
        <v>39</v>
      </c>
      <c r="C55" s="22" t="s">
        <v>50</v>
      </c>
      <c r="D55" s="22" t="s">
        <v>100</v>
      </c>
      <c r="E55" s="23" t="s">
        <v>51</v>
      </c>
      <c r="F55" s="22" t="s">
        <v>64</v>
      </c>
      <c r="G55" s="22" t="s">
        <v>53</v>
      </c>
      <c r="H55" s="22" t="s">
        <v>30</v>
      </c>
      <c r="I55" s="22" t="s">
        <v>101</v>
      </c>
      <c r="J55" s="22" t="s">
        <v>64</v>
      </c>
      <c r="K55" s="519" t="s">
        <v>896</v>
      </c>
      <c r="L55" s="521" t="s">
        <v>916</v>
      </c>
      <c r="M55" s="521" t="s">
        <v>917</v>
      </c>
      <c r="N55" s="521" t="s">
        <v>815</v>
      </c>
      <c r="O55" s="22" t="s">
        <v>102</v>
      </c>
      <c r="P55" s="69">
        <v>2016</v>
      </c>
      <c r="Q55" s="414">
        <f t="shared" ca="1" si="3"/>
        <v>424281432.92512399</v>
      </c>
      <c r="R55" s="335" t="str">
        <f t="shared" ca="1" si="0"/>
        <v>N/A</v>
      </c>
      <c r="S55" s="335" t="str">
        <f t="shared" ca="1" si="1"/>
        <v>N/A</v>
      </c>
      <c r="T55" s="429" t="s">
        <v>899</v>
      </c>
      <c r="U55" s="22"/>
      <c r="V55" s="24"/>
      <c r="W55" s="21"/>
      <c r="Y55" s="490"/>
    </row>
    <row r="56" spans="1:25" ht="45">
      <c r="A56" s="31">
        <v>53</v>
      </c>
      <c r="B56" s="22" t="s">
        <v>39</v>
      </c>
      <c r="C56" s="22" t="s">
        <v>50</v>
      </c>
      <c r="D56" s="22" t="s">
        <v>100</v>
      </c>
      <c r="E56" s="23" t="s">
        <v>51</v>
      </c>
      <c r="F56" s="22" t="s">
        <v>65</v>
      </c>
      <c r="G56" s="22" t="s">
        <v>53</v>
      </c>
      <c r="H56" s="22" t="s">
        <v>30</v>
      </c>
      <c r="I56" s="22" t="s">
        <v>101</v>
      </c>
      <c r="J56" s="22" t="s">
        <v>65</v>
      </c>
      <c r="K56" s="519" t="s">
        <v>896</v>
      </c>
      <c r="L56" s="521" t="s">
        <v>918</v>
      </c>
      <c r="M56" s="521" t="s">
        <v>919</v>
      </c>
      <c r="N56" s="521" t="s">
        <v>815</v>
      </c>
      <c r="O56" s="22" t="s">
        <v>102</v>
      </c>
      <c r="P56" s="69">
        <v>2016</v>
      </c>
      <c r="Q56" s="414">
        <f t="shared" ca="1" si="3"/>
        <v>1238409.8967502301</v>
      </c>
      <c r="R56" s="335" t="str">
        <f t="shared" ca="1" si="0"/>
        <v>N/A</v>
      </c>
      <c r="S56" s="335" t="str">
        <f t="shared" ca="1" si="1"/>
        <v>N/A</v>
      </c>
      <c r="T56" s="429" t="s">
        <v>899</v>
      </c>
      <c r="U56" s="22" t="s">
        <v>49</v>
      </c>
      <c r="V56" s="24"/>
      <c r="W56" s="21"/>
      <c r="Y56" s="490"/>
    </row>
    <row r="57" spans="1:25" ht="45">
      <c r="A57" s="31">
        <v>54</v>
      </c>
      <c r="B57" s="22" t="s">
        <v>39</v>
      </c>
      <c r="C57" s="22" t="s">
        <v>50</v>
      </c>
      <c r="D57" s="22" t="s">
        <v>100</v>
      </c>
      <c r="E57" s="23" t="s">
        <v>51</v>
      </c>
      <c r="F57" s="22" t="s">
        <v>66</v>
      </c>
      <c r="G57" s="22" t="s">
        <v>53</v>
      </c>
      <c r="H57" s="22" t="s">
        <v>30</v>
      </c>
      <c r="I57" s="22" t="s">
        <v>101</v>
      </c>
      <c r="J57" s="22" t="s">
        <v>66</v>
      </c>
      <c r="K57" s="519" t="s">
        <v>896</v>
      </c>
      <c r="L57" s="521" t="s">
        <v>920</v>
      </c>
      <c r="M57" s="521" t="s">
        <v>921</v>
      </c>
      <c r="N57" s="521" t="s">
        <v>815</v>
      </c>
      <c r="O57" s="22" t="s">
        <v>102</v>
      </c>
      <c r="P57" s="69">
        <v>2016</v>
      </c>
      <c r="Q57" s="414">
        <f t="shared" ca="1" si="3"/>
        <v>451045.580858309</v>
      </c>
      <c r="R57" s="335" t="str">
        <f t="shared" ca="1" si="0"/>
        <v>N/A</v>
      </c>
      <c r="S57" s="335" t="str">
        <f t="shared" ca="1" si="1"/>
        <v>N/A</v>
      </c>
      <c r="T57" s="429" t="s">
        <v>899</v>
      </c>
      <c r="U57" s="22" t="s">
        <v>49</v>
      </c>
      <c r="V57" s="24"/>
      <c r="W57" s="21"/>
      <c r="Y57" s="490"/>
    </row>
    <row r="58" spans="1:25" ht="45">
      <c r="A58" s="31">
        <v>55</v>
      </c>
      <c r="B58" s="22" t="s">
        <v>39</v>
      </c>
      <c r="C58" s="22" t="s">
        <v>40</v>
      </c>
      <c r="D58" s="22" t="s">
        <v>103</v>
      </c>
      <c r="E58" s="23" t="s">
        <v>42</v>
      </c>
      <c r="F58" s="22" t="s">
        <v>43</v>
      </c>
      <c r="G58" s="22" t="s">
        <v>44</v>
      </c>
      <c r="H58" s="22" t="s">
        <v>30</v>
      </c>
      <c r="I58" s="22" t="s">
        <v>104</v>
      </c>
      <c r="J58" s="19" t="s">
        <v>46</v>
      </c>
      <c r="K58" s="519" t="s">
        <v>896</v>
      </c>
      <c r="L58" s="521" t="s">
        <v>922</v>
      </c>
      <c r="M58" s="521" t="s">
        <v>923</v>
      </c>
      <c r="N58" s="521" t="s">
        <v>815</v>
      </c>
      <c r="O58" s="22" t="s">
        <v>102</v>
      </c>
      <c r="P58" s="69">
        <v>2016</v>
      </c>
      <c r="Q58" s="414">
        <f t="shared" ca="1" si="3"/>
        <v>42453.529695588535</v>
      </c>
      <c r="R58" s="335" t="str">
        <f t="shared" ca="1" si="0"/>
        <v>N/A</v>
      </c>
      <c r="S58" s="335" t="str">
        <f t="shared" ca="1" si="1"/>
        <v>N/A</v>
      </c>
      <c r="T58" s="429" t="s">
        <v>48</v>
      </c>
      <c r="U58" s="22" t="s">
        <v>105</v>
      </c>
      <c r="V58" s="24"/>
      <c r="W58" s="21"/>
      <c r="Y58" s="490"/>
    </row>
    <row r="59" spans="1:25" ht="60">
      <c r="A59" s="31">
        <v>56</v>
      </c>
      <c r="B59" s="22" t="s">
        <v>39</v>
      </c>
      <c r="C59" s="22" t="s">
        <v>40</v>
      </c>
      <c r="D59" s="22" t="s">
        <v>106</v>
      </c>
      <c r="E59" s="23" t="s">
        <v>107</v>
      </c>
      <c r="F59" s="22" t="s">
        <v>108</v>
      </c>
      <c r="G59" s="22" t="s">
        <v>109</v>
      </c>
      <c r="H59" s="22" t="s">
        <v>30</v>
      </c>
      <c r="I59" s="22" t="s">
        <v>110</v>
      </c>
      <c r="J59" s="101" t="s">
        <v>111</v>
      </c>
      <c r="K59" s="519" t="s">
        <v>896</v>
      </c>
      <c r="L59" s="521" t="s">
        <v>924</v>
      </c>
      <c r="M59" s="521" t="s">
        <v>925</v>
      </c>
      <c r="N59" s="521" t="s">
        <v>885</v>
      </c>
      <c r="O59" s="22" t="s">
        <v>102</v>
      </c>
      <c r="P59" s="69">
        <v>2016</v>
      </c>
      <c r="Q59" s="414">
        <f t="shared" ca="1" si="3"/>
        <v>3.7510014566642389</v>
      </c>
      <c r="R59" s="335">
        <f t="shared" ca="1" si="0"/>
        <v>0</v>
      </c>
      <c r="S59" s="335">
        <f t="shared" ca="1" si="1"/>
        <v>0</v>
      </c>
      <c r="T59" s="429"/>
      <c r="U59" s="22"/>
      <c r="V59" s="24"/>
      <c r="W59" s="21"/>
      <c r="Y59" s="490"/>
    </row>
    <row r="60" spans="1:25" ht="60">
      <c r="A60" s="31">
        <v>57</v>
      </c>
      <c r="B60" s="22" t="s">
        <v>39</v>
      </c>
      <c r="C60" s="22" t="s">
        <v>40</v>
      </c>
      <c r="D60" s="22" t="s">
        <v>106</v>
      </c>
      <c r="E60" s="23" t="s">
        <v>107</v>
      </c>
      <c r="F60" s="22" t="s">
        <v>112</v>
      </c>
      <c r="G60" s="22" t="s">
        <v>109</v>
      </c>
      <c r="H60" s="22" t="s">
        <v>30</v>
      </c>
      <c r="I60" s="22" t="s">
        <v>110</v>
      </c>
      <c r="J60" s="101" t="s">
        <v>113</v>
      </c>
      <c r="K60" s="519" t="s">
        <v>896</v>
      </c>
      <c r="L60" s="521" t="s">
        <v>926</v>
      </c>
      <c r="M60" s="521" t="s">
        <v>927</v>
      </c>
      <c r="N60" s="521" t="s">
        <v>885</v>
      </c>
      <c r="O60" s="22" t="s">
        <v>102</v>
      </c>
      <c r="P60" s="69">
        <v>2016</v>
      </c>
      <c r="Q60" s="414">
        <f t="shared" ca="1" si="3"/>
        <v>17791.417197742172</v>
      </c>
      <c r="R60" s="335">
        <f t="shared" ca="1" si="0"/>
        <v>0</v>
      </c>
      <c r="S60" s="335">
        <f t="shared" ca="1" si="1"/>
        <v>0</v>
      </c>
      <c r="T60" s="429"/>
      <c r="U60" s="22"/>
      <c r="V60" s="24"/>
      <c r="W60" s="21"/>
      <c r="Y60" s="490"/>
    </row>
    <row r="61" spans="1:25" ht="60">
      <c r="A61" s="31">
        <v>58</v>
      </c>
      <c r="B61" s="22" t="s">
        <v>39</v>
      </c>
      <c r="C61" s="22" t="s">
        <v>40</v>
      </c>
      <c r="D61" s="22" t="s">
        <v>106</v>
      </c>
      <c r="E61" s="23" t="s">
        <v>107</v>
      </c>
      <c r="F61" s="22" t="s">
        <v>114</v>
      </c>
      <c r="G61" s="22" t="s">
        <v>109</v>
      </c>
      <c r="H61" s="22" t="s">
        <v>30</v>
      </c>
      <c r="I61" s="22" t="s">
        <v>110</v>
      </c>
      <c r="J61" s="101" t="s">
        <v>115</v>
      </c>
      <c r="K61" s="519" t="s">
        <v>896</v>
      </c>
      <c r="L61" s="521" t="s">
        <v>928</v>
      </c>
      <c r="M61" s="521" t="s">
        <v>929</v>
      </c>
      <c r="N61" s="521" t="s">
        <v>885</v>
      </c>
      <c r="O61" s="22" t="s">
        <v>102</v>
      </c>
      <c r="P61" s="69">
        <v>2016</v>
      </c>
      <c r="Q61" s="414">
        <f t="shared" ca="1" si="3"/>
        <v>3.8351758779093545</v>
      </c>
      <c r="R61" s="335">
        <f t="shared" ca="1" si="0"/>
        <v>0</v>
      </c>
      <c r="S61" s="335">
        <f t="shared" ca="1" si="1"/>
        <v>0</v>
      </c>
      <c r="T61" s="429" t="s">
        <v>116</v>
      </c>
      <c r="U61" s="22" t="s">
        <v>117</v>
      </c>
      <c r="V61" s="24"/>
      <c r="W61" s="21"/>
      <c r="Y61" s="490"/>
    </row>
    <row r="62" spans="1:25" ht="60">
      <c r="A62" s="31">
        <v>59</v>
      </c>
      <c r="B62" s="22" t="s">
        <v>39</v>
      </c>
      <c r="C62" s="22" t="s">
        <v>40</v>
      </c>
      <c r="D62" s="22" t="s">
        <v>106</v>
      </c>
      <c r="E62" s="23" t="s">
        <v>118</v>
      </c>
      <c r="F62" s="22" t="s">
        <v>108</v>
      </c>
      <c r="G62" s="22" t="s">
        <v>119</v>
      </c>
      <c r="H62" s="22" t="s">
        <v>30</v>
      </c>
      <c r="I62" s="22" t="s">
        <v>120</v>
      </c>
      <c r="J62" s="101" t="s">
        <v>121</v>
      </c>
      <c r="K62" s="519" t="s">
        <v>896</v>
      </c>
      <c r="L62" s="521" t="s">
        <v>930</v>
      </c>
      <c r="M62" s="521" t="s">
        <v>931</v>
      </c>
      <c r="N62" s="521" t="s">
        <v>885</v>
      </c>
      <c r="O62" s="22" t="s">
        <v>102</v>
      </c>
      <c r="P62" s="69">
        <v>2016</v>
      </c>
      <c r="Q62" s="414">
        <f t="shared" ca="1" si="3"/>
        <v>3.2393629493648981</v>
      </c>
      <c r="R62" s="335">
        <f t="shared" ca="1" si="0"/>
        <v>0</v>
      </c>
      <c r="S62" s="335">
        <f t="shared" ca="1" si="1"/>
        <v>0</v>
      </c>
      <c r="T62" s="429"/>
      <c r="U62" s="22"/>
      <c r="V62" s="24"/>
      <c r="W62" s="21"/>
      <c r="Y62" s="490"/>
    </row>
    <row r="63" spans="1:25" ht="60">
      <c r="A63" s="31">
        <v>60</v>
      </c>
      <c r="B63" s="22" t="s">
        <v>39</v>
      </c>
      <c r="C63" s="22" t="s">
        <v>40</v>
      </c>
      <c r="D63" s="22" t="s">
        <v>106</v>
      </c>
      <c r="E63" s="23" t="s">
        <v>118</v>
      </c>
      <c r="F63" s="22" t="s">
        <v>112</v>
      </c>
      <c r="G63" s="22" t="s">
        <v>119</v>
      </c>
      <c r="H63" s="22" t="s">
        <v>30</v>
      </c>
      <c r="I63" s="22" t="s">
        <v>120</v>
      </c>
      <c r="J63" s="101" t="s">
        <v>122</v>
      </c>
      <c r="K63" s="519" t="s">
        <v>896</v>
      </c>
      <c r="L63" s="521" t="s">
        <v>932</v>
      </c>
      <c r="M63" s="521" t="s">
        <v>933</v>
      </c>
      <c r="N63" s="521" t="s">
        <v>885</v>
      </c>
      <c r="O63" s="22" t="s">
        <v>102</v>
      </c>
      <c r="P63" s="69">
        <v>2016</v>
      </c>
      <c r="Q63" s="414">
        <f t="shared" ca="1" si="3"/>
        <v>26408.666304034865</v>
      </c>
      <c r="R63" s="335">
        <f t="shared" ca="1" si="0"/>
        <v>0</v>
      </c>
      <c r="S63" s="335">
        <f t="shared" ca="1" si="1"/>
        <v>0</v>
      </c>
      <c r="T63" s="429"/>
      <c r="U63" s="22"/>
      <c r="V63" s="24"/>
      <c r="W63" s="21"/>
      <c r="Y63" s="490"/>
    </row>
    <row r="64" spans="1:25" ht="60">
      <c r="A64" s="31">
        <v>61</v>
      </c>
      <c r="B64" s="22" t="s">
        <v>39</v>
      </c>
      <c r="C64" s="22" t="s">
        <v>40</v>
      </c>
      <c r="D64" s="22" t="s">
        <v>106</v>
      </c>
      <c r="E64" s="23" t="s">
        <v>118</v>
      </c>
      <c r="F64" s="22" t="s">
        <v>114</v>
      </c>
      <c r="G64" s="22" t="s">
        <v>119</v>
      </c>
      <c r="H64" s="22" t="s">
        <v>30</v>
      </c>
      <c r="I64" s="22" t="s">
        <v>120</v>
      </c>
      <c r="J64" s="101" t="s">
        <v>123</v>
      </c>
      <c r="K64" s="519" t="s">
        <v>896</v>
      </c>
      <c r="L64" s="521" t="s">
        <v>934</v>
      </c>
      <c r="M64" s="521" t="s">
        <v>935</v>
      </c>
      <c r="N64" s="521" t="s">
        <v>885</v>
      </c>
      <c r="O64" s="22" t="s">
        <v>102</v>
      </c>
      <c r="P64" s="69">
        <v>2016</v>
      </c>
      <c r="Q64" s="414">
        <f t="shared" ca="1" si="3"/>
        <v>-75.019524055109414</v>
      </c>
      <c r="R64" s="335">
        <f t="shared" ca="1" si="0"/>
        <v>0</v>
      </c>
      <c r="S64" s="335">
        <f t="shared" ca="1" si="1"/>
        <v>0</v>
      </c>
      <c r="T64" s="429" t="s">
        <v>124</v>
      </c>
      <c r="U64" s="22" t="s">
        <v>117</v>
      </c>
      <c r="V64" s="24"/>
      <c r="W64" s="21"/>
      <c r="Y64" s="490"/>
    </row>
    <row r="65" spans="1:25" ht="45">
      <c r="A65" s="31">
        <v>62</v>
      </c>
      <c r="B65" s="22" t="s">
        <v>39</v>
      </c>
      <c r="C65" s="22" t="s">
        <v>40</v>
      </c>
      <c r="D65" s="22" t="s">
        <v>106</v>
      </c>
      <c r="E65" s="23" t="s">
        <v>125</v>
      </c>
      <c r="F65" s="22" t="s">
        <v>108</v>
      </c>
      <c r="G65" s="22" t="s">
        <v>126</v>
      </c>
      <c r="H65" s="22" t="s">
        <v>30</v>
      </c>
      <c r="I65" s="22" t="s">
        <v>127</v>
      </c>
      <c r="J65" s="101" t="s">
        <v>128</v>
      </c>
      <c r="K65" s="519" t="s">
        <v>896</v>
      </c>
      <c r="L65" s="521" t="s">
        <v>936</v>
      </c>
      <c r="M65" s="521" t="s">
        <v>937</v>
      </c>
      <c r="N65" s="521" t="s">
        <v>815</v>
      </c>
      <c r="O65" s="22" t="s">
        <v>102</v>
      </c>
      <c r="P65" s="69">
        <v>2016</v>
      </c>
      <c r="Q65" s="414">
        <f t="shared" ca="1" si="3"/>
        <v>0</v>
      </c>
      <c r="R65" s="335" t="str">
        <f t="shared" ca="1" si="0"/>
        <v>N/A</v>
      </c>
      <c r="S65" s="335" t="str">
        <f t="shared" ca="1" si="1"/>
        <v>N/A</v>
      </c>
      <c r="T65" s="429"/>
      <c r="U65" s="22"/>
      <c r="V65" s="24"/>
      <c r="W65" s="21"/>
      <c r="Y65" s="490"/>
    </row>
    <row r="66" spans="1:25" ht="45">
      <c r="A66" s="31">
        <v>63</v>
      </c>
      <c r="B66" s="22" t="s">
        <v>39</v>
      </c>
      <c r="C66" s="22" t="s">
        <v>40</v>
      </c>
      <c r="D66" s="22" t="s">
        <v>106</v>
      </c>
      <c r="E66" s="23" t="s">
        <v>125</v>
      </c>
      <c r="F66" s="22" t="s">
        <v>112</v>
      </c>
      <c r="G66" s="22" t="s">
        <v>126</v>
      </c>
      <c r="H66" s="22" t="s">
        <v>30</v>
      </c>
      <c r="I66" s="22" t="s">
        <v>127</v>
      </c>
      <c r="J66" s="101" t="s">
        <v>129</v>
      </c>
      <c r="K66" s="519" t="s">
        <v>896</v>
      </c>
      <c r="L66" s="521" t="s">
        <v>938</v>
      </c>
      <c r="M66" s="521" t="s">
        <v>939</v>
      </c>
      <c r="N66" s="521" t="s">
        <v>815</v>
      </c>
      <c r="O66" s="22" t="s">
        <v>102</v>
      </c>
      <c r="P66" s="69">
        <v>2016</v>
      </c>
      <c r="Q66" s="414">
        <f t="shared" ca="1" si="3"/>
        <v>0</v>
      </c>
      <c r="R66" s="335" t="str">
        <f t="shared" ca="1" si="0"/>
        <v>N/A</v>
      </c>
      <c r="S66" s="335" t="str">
        <f t="shared" ca="1" si="1"/>
        <v>N/A</v>
      </c>
      <c r="T66" s="429"/>
      <c r="U66" s="22"/>
      <c r="V66" s="24"/>
      <c r="W66" s="21"/>
      <c r="Y66" s="490"/>
    </row>
    <row r="67" spans="1:25" ht="60">
      <c r="A67" s="31">
        <v>64</v>
      </c>
      <c r="B67" s="22" t="s">
        <v>39</v>
      </c>
      <c r="C67" s="22" t="s">
        <v>40</v>
      </c>
      <c r="D67" s="22" t="s">
        <v>106</v>
      </c>
      <c r="E67" s="23" t="s">
        <v>125</v>
      </c>
      <c r="F67" s="22" t="s">
        <v>114</v>
      </c>
      <c r="G67" s="22" t="s">
        <v>126</v>
      </c>
      <c r="H67" s="22" t="s">
        <v>30</v>
      </c>
      <c r="I67" s="22" t="s">
        <v>127</v>
      </c>
      <c r="J67" s="101" t="s">
        <v>130</v>
      </c>
      <c r="K67" s="519" t="s">
        <v>896</v>
      </c>
      <c r="L67" s="521" t="s">
        <v>940</v>
      </c>
      <c r="M67" s="521" t="s">
        <v>941</v>
      </c>
      <c r="N67" s="521" t="s">
        <v>815</v>
      </c>
      <c r="O67" s="22" t="s">
        <v>102</v>
      </c>
      <c r="P67" s="69">
        <v>2016</v>
      </c>
      <c r="Q67" s="414">
        <f t="shared" ca="1" si="3"/>
        <v>0</v>
      </c>
      <c r="R67" s="335" t="str">
        <f t="shared" ref="R67:R130" ca="1" si="4">IF($N67 = "N","N/A",SUMIF(INDIRECT("'"&amp;K67&amp;"'!i:i"),L67,INDIRECT("'"&amp;K67&amp;"'!k:k")))</f>
        <v>N/A</v>
      </c>
      <c r="S67" s="335" t="str">
        <f t="shared" ref="S67:S130" ca="1" si="5">IF($N67 = "N","N/A",SUMIF(INDIRECT("'"&amp;K67&amp;"'!i:i"),M67,INDIRECT("'"&amp;K67&amp;"'!k:k")))</f>
        <v>N/A</v>
      </c>
      <c r="T67" s="429" t="s">
        <v>131</v>
      </c>
      <c r="U67" s="22" t="s">
        <v>132</v>
      </c>
      <c r="V67" s="24"/>
      <c r="W67" s="21"/>
      <c r="Y67" s="490"/>
    </row>
    <row r="68" spans="1:25" ht="45">
      <c r="A68" s="31">
        <v>65</v>
      </c>
      <c r="B68" s="22" t="s">
        <v>39</v>
      </c>
      <c r="C68" s="22" t="s">
        <v>40</v>
      </c>
      <c r="D68" s="22" t="s">
        <v>106</v>
      </c>
      <c r="E68" s="23" t="s">
        <v>133</v>
      </c>
      <c r="F68" s="22" t="s">
        <v>108</v>
      </c>
      <c r="G68" s="22" t="s">
        <v>134</v>
      </c>
      <c r="H68" s="22" t="s">
        <v>30</v>
      </c>
      <c r="I68" s="22" t="s">
        <v>135</v>
      </c>
      <c r="J68" s="101" t="s">
        <v>136</v>
      </c>
      <c r="K68" s="519" t="s">
        <v>896</v>
      </c>
      <c r="L68" s="521" t="s">
        <v>942</v>
      </c>
      <c r="M68" s="521" t="s">
        <v>943</v>
      </c>
      <c r="N68" s="521" t="s">
        <v>885</v>
      </c>
      <c r="O68" s="22" t="s">
        <v>102</v>
      </c>
      <c r="P68" s="69">
        <v>2016</v>
      </c>
      <c r="Q68" s="414">
        <f t="shared" ca="1" si="3"/>
        <v>3.5477427511241526</v>
      </c>
      <c r="R68" s="335">
        <f t="shared" ca="1" si="4"/>
        <v>0</v>
      </c>
      <c r="S68" s="335">
        <f t="shared" ca="1" si="5"/>
        <v>0</v>
      </c>
      <c r="T68" s="429"/>
      <c r="U68" s="22"/>
      <c r="V68" s="24"/>
      <c r="W68" s="21"/>
      <c r="Y68" s="490"/>
    </row>
    <row r="69" spans="1:25" ht="45">
      <c r="A69" s="31">
        <v>66</v>
      </c>
      <c r="B69" s="22" t="s">
        <v>39</v>
      </c>
      <c r="C69" s="22" t="s">
        <v>40</v>
      </c>
      <c r="D69" s="22" t="s">
        <v>106</v>
      </c>
      <c r="E69" s="23" t="s">
        <v>133</v>
      </c>
      <c r="F69" s="22" t="s">
        <v>112</v>
      </c>
      <c r="G69" s="22" t="s">
        <v>134</v>
      </c>
      <c r="H69" s="22" t="s">
        <v>30</v>
      </c>
      <c r="I69" s="22" t="s">
        <v>135</v>
      </c>
      <c r="J69" s="101" t="s">
        <v>137</v>
      </c>
      <c r="K69" s="519" t="s">
        <v>896</v>
      </c>
      <c r="L69" s="521" t="s">
        <v>944</v>
      </c>
      <c r="M69" s="521" t="s">
        <v>945</v>
      </c>
      <c r="N69" s="521" t="s">
        <v>885</v>
      </c>
      <c r="O69" s="22" t="s">
        <v>102</v>
      </c>
      <c r="P69" s="69">
        <v>2016</v>
      </c>
      <c r="Q69" s="414">
        <f t="shared" ca="1" si="3"/>
        <v>26921.303517263077</v>
      </c>
      <c r="R69" s="335">
        <f t="shared" ca="1" si="4"/>
        <v>0</v>
      </c>
      <c r="S69" s="335">
        <f t="shared" ca="1" si="5"/>
        <v>0</v>
      </c>
      <c r="T69" s="429"/>
      <c r="U69" s="22"/>
      <c r="V69" s="24"/>
      <c r="W69" s="21"/>
      <c r="Y69" s="490"/>
    </row>
    <row r="70" spans="1:25" ht="60">
      <c r="A70" s="31">
        <v>67</v>
      </c>
      <c r="B70" s="22" t="s">
        <v>39</v>
      </c>
      <c r="C70" s="22" t="s">
        <v>40</v>
      </c>
      <c r="D70" s="22" t="s">
        <v>106</v>
      </c>
      <c r="E70" s="23" t="s">
        <v>133</v>
      </c>
      <c r="F70" s="22" t="s">
        <v>114</v>
      </c>
      <c r="G70" s="22" t="s">
        <v>134</v>
      </c>
      <c r="H70" s="22" t="s">
        <v>30</v>
      </c>
      <c r="I70" s="22" t="s">
        <v>135</v>
      </c>
      <c r="J70" s="101" t="s">
        <v>138</v>
      </c>
      <c r="K70" s="519" t="s">
        <v>896</v>
      </c>
      <c r="L70" s="521" t="s">
        <v>946</v>
      </c>
      <c r="M70" s="521" t="s">
        <v>947</v>
      </c>
      <c r="N70" s="521" t="s">
        <v>885</v>
      </c>
      <c r="O70" s="22" t="s">
        <v>102</v>
      </c>
      <c r="P70" s="69">
        <v>2016</v>
      </c>
      <c r="Q70" s="414">
        <f t="shared" ca="1" si="3"/>
        <v>-44.401914902810184</v>
      </c>
      <c r="R70" s="335">
        <f t="shared" ca="1" si="4"/>
        <v>0</v>
      </c>
      <c r="S70" s="335">
        <f t="shared" ca="1" si="5"/>
        <v>0</v>
      </c>
      <c r="T70" s="429" t="s">
        <v>139</v>
      </c>
      <c r="U70" s="22" t="s">
        <v>117</v>
      </c>
      <c r="V70" s="24"/>
      <c r="W70" s="21"/>
      <c r="Y70" s="490"/>
    </row>
    <row r="71" spans="1:25" ht="120">
      <c r="A71" s="31">
        <v>68</v>
      </c>
      <c r="B71" s="22" t="s">
        <v>39</v>
      </c>
      <c r="C71" s="22" t="s">
        <v>40</v>
      </c>
      <c r="D71" s="22" t="s">
        <v>140</v>
      </c>
      <c r="E71" s="23" t="s">
        <v>141</v>
      </c>
      <c r="F71" s="22" t="s">
        <v>142</v>
      </c>
      <c r="G71" s="22" t="s">
        <v>143</v>
      </c>
      <c r="H71" s="22" t="s">
        <v>30</v>
      </c>
      <c r="I71" s="22" t="s">
        <v>144</v>
      </c>
      <c r="J71" s="22" t="s">
        <v>145</v>
      </c>
      <c r="K71" s="519" t="s">
        <v>896</v>
      </c>
      <c r="L71" s="521" t="s">
        <v>948</v>
      </c>
      <c r="M71" s="521" t="s">
        <v>949</v>
      </c>
      <c r="N71" s="521" t="s">
        <v>885</v>
      </c>
      <c r="O71" s="22" t="s">
        <v>102</v>
      </c>
      <c r="P71" s="69">
        <v>2016</v>
      </c>
      <c r="Q71" s="533">
        <f t="shared" ca="1" si="3"/>
        <v>2.6745722060229009E-2</v>
      </c>
      <c r="R71" s="335">
        <f t="shared" ca="1" si="4"/>
        <v>0</v>
      </c>
      <c r="S71" s="335">
        <f t="shared" ca="1" si="5"/>
        <v>0</v>
      </c>
      <c r="T71" s="429" t="s">
        <v>950</v>
      </c>
      <c r="U71" s="22" t="s">
        <v>147</v>
      </c>
      <c r="V71" s="24"/>
      <c r="W71" s="21"/>
      <c r="Y71" s="490"/>
    </row>
    <row r="72" spans="1:25" ht="60">
      <c r="A72" s="31">
        <v>69</v>
      </c>
      <c r="B72" s="22" t="s">
        <v>39</v>
      </c>
      <c r="C72" s="22" t="s">
        <v>40</v>
      </c>
      <c r="D72" s="22" t="s">
        <v>140</v>
      </c>
      <c r="E72" s="23" t="s">
        <v>148</v>
      </c>
      <c r="F72" s="22" t="s">
        <v>142</v>
      </c>
      <c r="G72" s="22" t="s">
        <v>149</v>
      </c>
      <c r="H72" s="22" t="s">
        <v>30</v>
      </c>
      <c r="I72" s="22" t="s">
        <v>150</v>
      </c>
      <c r="J72" s="22" t="s">
        <v>151</v>
      </c>
      <c r="K72" s="519" t="s">
        <v>896</v>
      </c>
      <c r="L72" s="521" t="s">
        <v>951</v>
      </c>
      <c r="M72" s="521" t="s">
        <v>952</v>
      </c>
      <c r="N72" s="521" t="s">
        <v>885</v>
      </c>
      <c r="O72" s="22" t="s">
        <v>102</v>
      </c>
      <c r="P72" s="69">
        <v>2016</v>
      </c>
      <c r="Q72" s="533">
        <f t="shared" ca="1" si="3"/>
        <v>1.6742897906088707E-2</v>
      </c>
      <c r="R72" s="335">
        <f t="shared" ca="1" si="4"/>
        <v>0</v>
      </c>
      <c r="S72" s="335">
        <f t="shared" ca="1" si="5"/>
        <v>0</v>
      </c>
      <c r="T72" s="429" t="s">
        <v>152</v>
      </c>
      <c r="U72" s="22" t="str">
        <f>Definitions!C7</f>
        <v>D.18-05-041: DAC = Bill accounts in census tracts corresponding to census tracts in the top quartile of CalEnviroScreen 3.0 scores.</v>
      </c>
      <c r="V72" s="24"/>
      <c r="W72" s="21"/>
      <c r="Y72" s="490"/>
    </row>
    <row r="73" spans="1:25" ht="105">
      <c r="A73" s="31">
        <v>70</v>
      </c>
      <c r="B73" s="22" t="s">
        <v>39</v>
      </c>
      <c r="C73" s="22" t="s">
        <v>40</v>
      </c>
      <c r="D73" s="22" t="s">
        <v>140</v>
      </c>
      <c r="E73" s="23" t="s">
        <v>153</v>
      </c>
      <c r="F73" s="22" t="s">
        <v>142</v>
      </c>
      <c r="G73" s="22" t="s">
        <v>154</v>
      </c>
      <c r="H73" s="22" t="s">
        <v>30</v>
      </c>
      <c r="I73" s="22" t="s">
        <v>155</v>
      </c>
      <c r="J73" s="22" t="s">
        <v>156</v>
      </c>
      <c r="K73" s="519" t="s">
        <v>896</v>
      </c>
      <c r="L73" s="521" t="s">
        <v>953</v>
      </c>
      <c r="M73" s="521" t="s">
        <v>954</v>
      </c>
      <c r="N73" s="521" t="s">
        <v>885</v>
      </c>
      <c r="O73" s="22" t="s">
        <v>102</v>
      </c>
      <c r="P73" s="69">
        <v>2016</v>
      </c>
      <c r="Q73" s="533">
        <f t="shared" ca="1" si="3"/>
        <v>1.8295677799607071E-2</v>
      </c>
      <c r="R73" s="335">
        <f t="shared" ca="1" si="4"/>
        <v>0</v>
      </c>
      <c r="S73" s="335">
        <f t="shared" ca="1" si="5"/>
        <v>0</v>
      </c>
      <c r="T73" s="429" t="s">
        <v>157</v>
      </c>
      <c r="U7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73" s="24"/>
      <c r="W73" s="21"/>
      <c r="Y73" s="490"/>
    </row>
    <row r="74" spans="1:25" ht="30">
      <c r="A74" s="31">
        <v>71</v>
      </c>
      <c r="B74" s="22" t="s">
        <v>39</v>
      </c>
      <c r="C74" s="22" t="s">
        <v>40</v>
      </c>
      <c r="D74" s="22" t="s">
        <v>158</v>
      </c>
      <c r="E74" s="23" t="s">
        <v>91</v>
      </c>
      <c r="F74" s="22" t="s">
        <v>92</v>
      </c>
      <c r="G74" s="22" t="s">
        <v>93</v>
      </c>
      <c r="H74" s="22" t="s">
        <v>30</v>
      </c>
      <c r="I74" s="22" t="s">
        <v>159</v>
      </c>
      <c r="J74" s="22" t="s">
        <v>92</v>
      </c>
      <c r="K74" s="519" t="s">
        <v>896</v>
      </c>
      <c r="L74" s="521" t="s">
        <v>955</v>
      </c>
      <c r="M74" s="521" t="s">
        <v>956</v>
      </c>
      <c r="N74" s="521" t="s">
        <v>885</v>
      </c>
      <c r="O74" s="22" t="s">
        <v>102</v>
      </c>
      <c r="P74" s="69">
        <v>2016</v>
      </c>
      <c r="Q74" s="414">
        <f t="shared" ca="1" si="3"/>
        <v>254.14889648737142</v>
      </c>
      <c r="R74" s="335">
        <f t="shared" ca="1" si="4"/>
        <v>0</v>
      </c>
      <c r="S74" s="335">
        <f t="shared" ca="1" si="5"/>
        <v>0</v>
      </c>
      <c r="T74" s="429"/>
      <c r="U74" s="22"/>
      <c r="V74" s="24"/>
      <c r="W74" s="21"/>
      <c r="Y74" s="490"/>
    </row>
    <row r="75" spans="1:25" ht="30">
      <c r="A75" s="31">
        <v>72</v>
      </c>
      <c r="B75" s="22" t="s">
        <v>39</v>
      </c>
      <c r="C75" s="22" t="s">
        <v>40</v>
      </c>
      <c r="D75" s="22" t="s">
        <v>158</v>
      </c>
      <c r="E75" s="23" t="s">
        <v>91</v>
      </c>
      <c r="F75" s="22" t="s">
        <v>95</v>
      </c>
      <c r="G75" s="22" t="s">
        <v>93</v>
      </c>
      <c r="H75" s="22" t="s">
        <v>30</v>
      </c>
      <c r="I75" s="22" t="s">
        <v>159</v>
      </c>
      <c r="J75" s="22" t="s">
        <v>95</v>
      </c>
      <c r="K75" s="519" t="s">
        <v>896</v>
      </c>
      <c r="L75" s="521" t="s">
        <v>957</v>
      </c>
      <c r="M75" s="521" t="s">
        <v>958</v>
      </c>
      <c r="N75" s="521" t="s">
        <v>885</v>
      </c>
      <c r="O75" s="22" t="s">
        <v>102</v>
      </c>
      <c r="P75" s="69">
        <v>2016</v>
      </c>
      <c r="Q75" s="414">
        <f t="shared" ca="1" si="3"/>
        <v>5.8585796986478963E-2</v>
      </c>
      <c r="R75" s="335">
        <f t="shared" ca="1" si="4"/>
        <v>0</v>
      </c>
      <c r="S75" s="335">
        <f t="shared" ca="1" si="5"/>
        <v>0</v>
      </c>
      <c r="T75" s="429"/>
      <c r="U75" s="22"/>
      <c r="V75" s="24"/>
      <c r="W75" s="21"/>
      <c r="Y75" s="490"/>
    </row>
    <row r="76" spans="1:25" ht="30">
      <c r="A76" s="31">
        <v>73</v>
      </c>
      <c r="B76" s="22" t="s">
        <v>39</v>
      </c>
      <c r="C76" s="22" t="s">
        <v>40</v>
      </c>
      <c r="D76" s="22" t="s">
        <v>158</v>
      </c>
      <c r="E76" s="23" t="s">
        <v>91</v>
      </c>
      <c r="F76" s="22" t="s">
        <v>96</v>
      </c>
      <c r="G76" s="22" t="s">
        <v>93</v>
      </c>
      <c r="H76" s="22" t="s">
        <v>30</v>
      </c>
      <c r="I76" s="22" t="s">
        <v>159</v>
      </c>
      <c r="J76" s="22" t="s">
        <v>96</v>
      </c>
      <c r="K76" s="519" t="s">
        <v>896</v>
      </c>
      <c r="L76" s="521" t="s">
        <v>959</v>
      </c>
      <c r="M76" s="521" t="s">
        <v>960</v>
      </c>
      <c r="N76" s="521" t="s">
        <v>885</v>
      </c>
      <c r="O76" s="22" t="s">
        <v>102</v>
      </c>
      <c r="P76" s="69">
        <v>2016</v>
      </c>
      <c r="Q76" s="414">
        <f t="shared" ca="1" si="3"/>
        <v>0.90336078837294476</v>
      </c>
      <c r="R76" s="335">
        <f t="shared" ca="1" si="4"/>
        <v>0</v>
      </c>
      <c r="S76" s="335">
        <f t="shared" ca="1" si="5"/>
        <v>0</v>
      </c>
      <c r="T76" s="429" t="s">
        <v>48</v>
      </c>
      <c r="U76" s="22" t="s">
        <v>49</v>
      </c>
      <c r="V76" s="24"/>
      <c r="W76" s="21"/>
      <c r="Y76" s="490"/>
    </row>
    <row r="77" spans="1:25" ht="30">
      <c r="A77" s="31">
        <v>74</v>
      </c>
      <c r="B77" s="22" t="s">
        <v>39</v>
      </c>
      <c r="C77" s="22" t="s">
        <v>40</v>
      </c>
      <c r="D77" s="22" t="s">
        <v>158</v>
      </c>
      <c r="E77" s="23" t="s">
        <v>91</v>
      </c>
      <c r="F77" s="22" t="s">
        <v>97</v>
      </c>
      <c r="G77" s="22" t="s">
        <v>93</v>
      </c>
      <c r="H77" s="22" t="s">
        <v>30</v>
      </c>
      <c r="I77" s="22" t="s">
        <v>159</v>
      </c>
      <c r="J77" s="22" t="s">
        <v>97</v>
      </c>
      <c r="K77" s="519" t="s">
        <v>896</v>
      </c>
      <c r="L77" s="521" t="s">
        <v>961</v>
      </c>
      <c r="M77" s="521" t="s">
        <v>962</v>
      </c>
      <c r="N77" s="521" t="s">
        <v>885</v>
      </c>
      <c r="O77" s="22" t="s">
        <v>102</v>
      </c>
      <c r="P77" s="69">
        <v>2016</v>
      </c>
      <c r="Q77" s="414">
        <f t="shared" ca="1" si="3"/>
        <v>384.07231652920501</v>
      </c>
      <c r="R77" s="335">
        <f t="shared" ca="1" si="4"/>
        <v>0</v>
      </c>
      <c r="S77" s="335">
        <f t="shared" ca="1" si="5"/>
        <v>0</v>
      </c>
      <c r="T77" s="429"/>
      <c r="U77" s="22"/>
      <c r="V77" s="24"/>
      <c r="W77" s="21"/>
      <c r="Y77" s="490"/>
    </row>
    <row r="78" spans="1:25" ht="30">
      <c r="A78" s="31">
        <v>75</v>
      </c>
      <c r="B78" s="22" t="s">
        <v>39</v>
      </c>
      <c r="C78" s="22" t="s">
        <v>40</v>
      </c>
      <c r="D78" s="22" t="s">
        <v>158</v>
      </c>
      <c r="E78" s="23" t="s">
        <v>91</v>
      </c>
      <c r="F78" s="22" t="s">
        <v>98</v>
      </c>
      <c r="G78" s="22" t="s">
        <v>93</v>
      </c>
      <c r="H78" s="22" t="s">
        <v>30</v>
      </c>
      <c r="I78" s="22" t="s">
        <v>159</v>
      </c>
      <c r="J78" s="22" t="s">
        <v>98</v>
      </c>
      <c r="K78" s="519" t="s">
        <v>896</v>
      </c>
      <c r="L78" s="521" t="s">
        <v>963</v>
      </c>
      <c r="M78" s="521" t="s">
        <v>964</v>
      </c>
      <c r="N78" s="521" t="s">
        <v>885</v>
      </c>
      <c r="O78" s="22" t="s">
        <v>102</v>
      </c>
      <c r="P78" s="69">
        <v>2016</v>
      </c>
      <c r="Q78" s="414">
        <f t="shared" ca="1" si="3"/>
        <v>8.8535433658374227E-2</v>
      </c>
      <c r="R78" s="335">
        <f t="shared" ca="1" si="4"/>
        <v>0</v>
      </c>
      <c r="S78" s="335">
        <f t="shared" ca="1" si="5"/>
        <v>0</v>
      </c>
      <c r="T78" s="429"/>
      <c r="U78" s="22"/>
      <c r="V78" s="24"/>
      <c r="W78" s="21"/>
      <c r="Y78" s="490"/>
    </row>
    <row r="79" spans="1:25" ht="30">
      <c r="A79" s="31">
        <v>76</v>
      </c>
      <c r="B79" s="22" t="s">
        <v>39</v>
      </c>
      <c r="C79" s="22" t="s">
        <v>40</v>
      </c>
      <c r="D79" s="22" t="s">
        <v>158</v>
      </c>
      <c r="E79" s="23" t="s">
        <v>91</v>
      </c>
      <c r="F79" s="22" t="s">
        <v>99</v>
      </c>
      <c r="G79" s="22" t="s">
        <v>93</v>
      </c>
      <c r="H79" s="22" t="s">
        <v>30</v>
      </c>
      <c r="I79" s="22" t="s">
        <v>159</v>
      </c>
      <c r="J79" s="22" t="s">
        <v>99</v>
      </c>
      <c r="K79" s="519" t="s">
        <v>896</v>
      </c>
      <c r="L79" s="521" t="s">
        <v>965</v>
      </c>
      <c r="M79" s="521" t="s">
        <v>966</v>
      </c>
      <c r="N79" s="521" t="s">
        <v>885</v>
      </c>
      <c r="O79" s="22" t="s">
        <v>102</v>
      </c>
      <c r="P79" s="69">
        <v>2016</v>
      </c>
      <c r="Q79" s="414">
        <f t="shared" ca="1" si="3"/>
        <v>1.3651677243040317</v>
      </c>
      <c r="R79" s="335">
        <f t="shared" ca="1" si="4"/>
        <v>0</v>
      </c>
      <c r="S79" s="335">
        <f t="shared" ca="1" si="5"/>
        <v>0</v>
      </c>
      <c r="T79" s="429" t="s">
        <v>48</v>
      </c>
      <c r="U79" s="22" t="s">
        <v>49</v>
      </c>
      <c r="V79" s="24"/>
      <c r="W79" s="21"/>
      <c r="Y79" s="490"/>
    </row>
    <row r="80" spans="1:25" ht="45">
      <c r="A80" s="31">
        <v>77</v>
      </c>
      <c r="B80" s="22" t="s">
        <v>39</v>
      </c>
      <c r="C80" s="22" t="s">
        <v>40</v>
      </c>
      <c r="D80" s="22" t="s">
        <v>160</v>
      </c>
      <c r="E80" s="23" t="s">
        <v>161</v>
      </c>
      <c r="F80" s="22" t="s">
        <v>162</v>
      </c>
      <c r="G80" s="22" t="s">
        <v>163</v>
      </c>
      <c r="H80" s="22" t="s">
        <v>164</v>
      </c>
      <c r="I80" s="22" t="s">
        <v>165</v>
      </c>
      <c r="J80" s="22" t="s">
        <v>166</v>
      </c>
      <c r="K80" s="519" t="s">
        <v>896</v>
      </c>
      <c r="L80" s="521" t="s">
        <v>967</v>
      </c>
      <c r="M80" s="521" t="s">
        <v>968</v>
      </c>
      <c r="N80" s="521" t="s">
        <v>815</v>
      </c>
      <c r="O80" s="22" t="s">
        <v>102</v>
      </c>
      <c r="P80" s="69" t="s">
        <v>167</v>
      </c>
      <c r="Q80" s="414">
        <f t="shared" ca="1" si="3"/>
        <v>0</v>
      </c>
      <c r="R80" s="335" t="str">
        <f t="shared" ca="1" si="4"/>
        <v>N/A</v>
      </c>
      <c r="S80" s="335" t="str">
        <f t="shared" ca="1" si="5"/>
        <v>N/A</v>
      </c>
      <c r="T80" s="429" t="s">
        <v>168</v>
      </c>
      <c r="U80" s="22" t="s">
        <v>169</v>
      </c>
      <c r="V80" s="24"/>
      <c r="W80" s="21"/>
      <c r="Y80" s="490"/>
    </row>
    <row r="81" spans="1:25" ht="60">
      <c r="A81" s="31">
        <v>78</v>
      </c>
      <c r="B81" s="22" t="s">
        <v>39</v>
      </c>
      <c r="C81" s="22" t="s">
        <v>40</v>
      </c>
      <c r="D81" s="22" t="s">
        <v>170</v>
      </c>
      <c r="E81" s="23" t="s">
        <v>171</v>
      </c>
      <c r="F81" s="22" t="s">
        <v>52</v>
      </c>
      <c r="G81" s="22" t="s">
        <v>53</v>
      </c>
      <c r="H81" s="22" t="s">
        <v>30</v>
      </c>
      <c r="I81" s="22" t="s">
        <v>172</v>
      </c>
      <c r="J81" s="22" t="s">
        <v>173</v>
      </c>
      <c r="K81" s="519" t="s">
        <v>969</v>
      </c>
      <c r="L81" s="521" t="s">
        <v>970</v>
      </c>
      <c r="M81" s="521" t="s">
        <v>971</v>
      </c>
      <c r="N81" s="521" t="s">
        <v>815</v>
      </c>
      <c r="O81" s="22" t="s">
        <v>174</v>
      </c>
      <c r="P81" s="69">
        <v>2016</v>
      </c>
      <c r="Q81" s="414">
        <f t="shared" ref="Q81:Q139" ca="1" si="6">SUMIF(INDIRECT("'"&amp;K81&amp;"'!c:c"),A81,INDIRECT("'"&amp;K81&amp;"'!d:d"))</f>
        <v>929.27079517745756</v>
      </c>
      <c r="R81" s="335" t="str">
        <f t="shared" ca="1" si="4"/>
        <v>N/A</v>
      </c>
      <c r="S81" s="335" t="str">
        <f t="shared" ca="1" si="5"/>
        <v>N/A</v>
      </c>
      <c r="T81" s="429" t="s">
        <v>899</v>
      </c>
      <c r="U81" s="22"/>
      <c r="V81" s="24"/>
      <c r="W81" s="21"/>
      <c r="Y81" s="490"/>
    </row>
    <row r="82" spans="1:25" ht="60">
      <c r="A82" s="31">
        <v>79</v>
      </c>
      <c r="B82" s="22" t="s">
        <v>39</v>
      </c>
      <c r="C82" s="22" t="s">
        <v>40</v>
      </c>
      <c r="D82" s="22" t="s">
        <v>170</v>
      </c>
      <c r="E82" s="23" t="s">
        <v>171</v>
      </c>
      <c r="F82" s="22" t="s">
        <v>55</v>
      </c>
      <c r="G82" s="22" t="s">
        <v>53</v>
      </c>
      <c r="H82" s="22" t="s">
        <v>30</v>
      </c>
      <c r="I82" s="22" t="s">
        <v>172</v>
      </c>
      <c r="J82" s="22" t="s">
        <v>175</v>
      </c>
      <c r="K82" s="519" t="s">
        <v>969</v>
      </c>
      <c r="L82" s="521" t="s">
        <v>972</v>
      </c>
      <c r="M82" s="521" t="s">
        <v>973</v>
      </c>
      <c r="N82" s="521" t="s">
        <v>815</v>
      </c>
      <c r="O82" s="22" t="s">
        <v>174</v>
      </c>
      <c r="P82" s="69">
        <v>2016</v>
      </c>
      <c r="Q82" s="414">
        <f t="shared" ca="1" si="6"/>
        <v>740.14404512616363</v>
      </c>
      <c r="R82" s="335" t="str">
        <f t="shared" ca="1" si="4"/>
        <v>N/A</v>
      </c>
      <c r="S82" s="335" t="str">
        <f t="shared" ca="1" si="5"/>
        <v>N/A</v>
      </c>
      <c r="T82" s="429" t="s">
        <v>899</v>
      </c>
      <c r="U82" s="22"/>
      <c r="V82" s="24"/>
      <c r="W82" s="21"/>
      <c r="Y82" s="490"/>
    </row>
    <row r="83" spans="1:25" ht="60">
      <c r="A83" s="31">
        <v>80</v>
      </c>
      <c r="B83" s="22" t="s">
        <v>39</v>
      </c>
      <c r="C83" s="22" t="s">
        <v>40</v>
      </c>
      <c r="D83" s="22" t="s">
        <v>170</v>
      </c>
      <c r="E83" s="23" t="s">
        <v>171</v>
      </c>
      <c r="F83" s="22" t="s">
        <v>56</v>
      </c>
      <c r="G83" s="22" t="s">
        <v>53</v>
      </c>
      <c r="H83" s="22" t="s">
        <v>30</v>
      </c>
      <c r="I83" s="22" t="s">
        <v>172</v>
      </c>
      <c r="J83" s="22" t="s">
        <v>176</v>
      </c>
      <c r="K83" s="519" t="s">
        <v>969</v>
      </c>
      <c r="L83" s="521" t="s">
        <v>974</v>
      </c>
      <c r="M83" s="521" t="s">
        <v>975</v>
      </c>
      <c r="N83" s="521" t="s">
        <v>815</v>
      </c>
      <c r="O83" s="22" t="s">
        <v>174</v>
      </c>
      <c r="P83" s="69">
        <v>2016</v>
      </c>
      <c r="Q83" s="414">
        <f t="shared" ca="1" si="6"/>
        <v>3515134.8480861313</v>
      </c>
      <c r="R83" s="335" t="str">
        <f t="shared" ca="1" si="4"/>
        <v>N/A</v>
      </c>
      <c r="S83" s="335" t="str">
        <f t="shared" ca="1" si="5"/>
        <v>N/A</v>
      </c>
      <c r="T83" s="429" t="s">
        <v>899</v>
      </c>
      <c r="U83" s="22"/>
      <c r="V83" s="24"/>
      <c r="W83" s="21"/>
      <c r="Y83" s="490"/>
    </row>
    <row r="84" spans="1:25" ht="60">
      <c r="A84" s="31">
        <v>81</v>
      </c>
      <c r="B84" s="22" t="s">
        <v>39</v>
      </c>
      <c r="C84" s="22" t="s">
        <v>40</v>
      </c>
      <c r="D84" s="22" t="s">
        <v>170</v>
      </c>
      <c r="E84" s="23" t="s">
        <v>171</v>
      </c>
      <c r="F84" s="22" t="s">
        <v>57</v>
      </c>
      <c r="G84" s="22" t="s">
        <v>53</v>
      </c>
      <c r="H84" s="22" t="s">
        <v>30</v>
      </c>
      <c r="I84" s="22" t="s">
        <v>172</v>
      </c>
      <c r="J84" s="22" t="s">
        <v>177</v>
      </c>
      <c r="K84" s="519" t="s">
        <v>969</v>
      </c>
      <c r="L84" s="521" t="s">
        <v>976</v>
      </c>
      <c r="M84" s="521" t="s">
        <v>977</v>
      </c>
      <c r="N84" s="521" t="s">
        <v>815</v>
      </c>
      <c r="O84" s="22" t="s">
        <v>174</v>
      </c>
      <c r="P84" s="69">
        <v>2016</v>
      </c>
      <c r="Q84" s="414">
        <f t="shared" ca="1" si="6"/>
        <v>2625359.8568609315</v>
      </c>
      <c r="R84" s="335" t="str">
        <f t="shared" ca="1" si="4"/>
        <v>N/A</v>
      </c>
      <c r="S84" s="335" t="str">
        <f t="shared" ca="1" si="5"/>
        <v>N/A</v>
      </c>
      <c r="T84" s="429" t="s">
        <v>899</v>
      </c>
      <c r="U84" s="22"/>
      <c r="V84" s="24"/>
      <c r="W84" s="21"/>
      <c r="Y84" s="490"/>
    </row>
    <row r="85" spans="1:25" ht="60">
      <c r="A85" s="31">
        <v>82</v>
      </c>
      <c r="B85" s="22" t="s">
        <v>39</v>
      </c>
      <c r="C85" s="22" t="s">
        <v>40</v>
      </c>
      <c r="D85" s="22" t="s">
        <v>170</v>
      </c>
      <c r="E85" s="23" t="s">
        <v>171</v>
      </c>
      <c r="F85" s="22" t="s">
        <v>58</v>
      </c>
      <c r="G85" s="22" t="s">
        <v>53</v>
      </c>
      <c r="H85" s="22" t="s">
        <v>30</v>
      </c>
      <c r="I85" s="22" t="s">
        <v>172</v>
      </c>
      <c r="J85" s="22" t="s">
        <v>178</v>
      </c>
      <c r="K85" s="519" t="s">
        <v>969</v>
      </c>
      <c r="L85" s="521" t="s">
        <v>978</v>
      </c>
      <c r="M85" s="521" t="s">
        <v>979</v>
      </c>
      <c r="N85" s="521" t="s">
        <v>815</v>
      </c>
      <c r="O85" s="22" t="s">
        <v>174</v>
      </c>
      <c r="P85" s="69">
        <v>2016</v>
      </c>
      <c r="Q85" s="414">
        <f t="shared" ca="1" si="6"/>
        <v>40721.875985925755</v>
      </c>
      <c r="R85" s="335" t="str">
        <f t="shared" ca="1" si="4"/>
        <v>N/A</v>
      </c>
      <c r="S85" s="335" t="str">
        <f t="shared" ca="1" si="5"/>
        <v>N/A</v>
      </c>
      <c r="T85" s="429" t="s">
        <v>899</v>
      </c>
      <c r="U85" s="22" t="str">
        <f>Definitions!C$20</f>
        <v>A multi-family unit. Designated by a unique billing account under rate GR and location code (LC_CD) = B, C, D (&gt;= 2 units)</v>
      </c>
      <c r="V85" s="24"/>
      <c r="W85" s="21"/>
      <c r="Y85" s="490"/>
    </row>
    <row r="86" spans="1:25" ht="60">
      <c r="A86" s="31">
        <v>83</v>
      </c>
      <c r="B86" s="22" t="s">
        <v>39</v>
      </c>
      <c r="C86" s="22" t="s">
        <v>40</v>
      </c>
      <c r="D86" s="22" t="s">
        <v>170</v>
      </c>
      <c r="E86" s="23" t="s">
        <v>171</v>
      </c>
      <c r="F86" s="22" t="s">
        <v>60</v>
      </c>
      <c r="G86" s="22" t="s">
        <v>53</v>
      </c>
      <c r="H86" s="22" t="s">
        <v>30</v>
      </c>
      <c r="I86" s="22" t="s">
        <v>172</v>
      </c>
      <c r="J86" s="22" t="s">
        <v>180</v>
      </c>
      <c r="K86" s="519" t="s">
        <v>969</v>
      </c>
      <c r="L86" s="521" t="s">
        <v>980</v>
      </c>
      <c r="M86" s="521" t="s">
        <v>981</v>
      </c>
      <c r="N86" s="521" t="s">
        <v>815</v>
      </c>
      <c r="O86" s="22" t="s">
        <v>174</v>
      </c>
      <c r="P86" s="69">
        <v>2016</v>
      </c>
      <c r="Q86" s="414">
        <f t="shared" ca="1" si="6"/>
        <v>25268.224979089129</v>
      </c>
      <c r="R86" s="335" t="str">
        <f t="shared" ca="1" si="4"/>
        <v>N/A</v>
      </c>
      <c r="S86" s="335" t="str">
        <f t="shared" ca="1" si="5"/>
        <v>N/A</v>
      </c>
      <c r="T86" s="429" t="s">
        <v>899</v>
      </c>
      <c r="U86" s="22" t="str">
        <f>Definitions!C$20</f>
        <v>A multi-family unit. Designated by a unique billing account under rate GR and location code (LC_CD) = B, C, D (&gt;= 2 units)</v>
      </c>
      <c r="V86" s="24"/>
      <c r="W86" s="21"/>
      <c r="Y86" s="490"/>
    </row>
    <row r="87" spans="1:25" ht="60">
      <c r="A87" s="31">
        <v>84</v>
      </c>
      <c r="B87" s="22" t="s">
        <v>39</v>
      </c>
      <c r="C87" s="22" t="s">
        <v>40</v>
      </c>
      <c r="D87" s="22" t="s">
        <v>170</v>
      </c>
      <c r="E87" s="23" t="s">
        <v>171</v>
      </c>
      <c r="F87" s="22" t="s">
        <v>61</v>
      </c>
      <c r="G87" s="22" t="s">
        <v>53</v>
      </c>
      <c r="H87" s="22" t="s">
        <v>30</v>
      </c>
      <c r="I87" s="22" t="s">
        <v>172</v>
      </c>
      <c r="J87" s="22" t="s">
        <v>181</v>
      </c>
      <c r="K87" s="519" t="s">
        <v>969</v>
      </c>
      <c r="L87" s="521" t="s">
        <v>982</v>
      </c>
      <c r="M87" s="521" t="s">
        <v>983</v>
      </c>
      <c r="N87" s="521" t="s">
        <v>815</v>
      </c>
      <c r="O87" s="22" t="s">
        <v>174</v>
      </c>
      <c r="P87" s="69">
        <v>2016</v>
      </c>
      <c r="Q87" s="414">
        <f t="shared" ca="1" si="6"/>
        <v>12212.805663345569</v>
      </c>
      <c r="R87" s="335" t="str">
        <f t="shared" ca="1" si="4"/>
        <v>N/A</v>
      </c>
      <c r="S87" s="335" t="str">
        <f t="shared" ca="1" si="5"/>
        <v>N/A</v>
      </c>
      <c r="T87" s="429" t="s">
        <v>899</v>
      </c>
      <c r="U87" s="22"/>
      <c r="V87" s="24"/>
      <c r="W87" s="21"/>
      <c r="Y87" s="490"/>
    </row>
    <row r="88" spans="1:25" ht="60">
      <c r="A88" s="31">
        <v>85</v>
      </c>
      <c r="B88" s="22" t="s">
        <v>39</v>
      </c>
      <c r="C88" s="22" t="s">
        <v>40</v>
      </c>
      <c r="D88" s="22" t="s">
        <v>170</v>
      </c>
      <c r="E88" s="23" t="s">
        <v>171</v>
      </c>
      <c r="F88" s="22" t="s">
        <v>62</v>
      </c>
      <c r="G88" s="22" t="s">
        <v>53</v>
      </c>
      <c r="H88" s="22" t="s">
        <v>30</v>
      </c>
      <c r="I88" s="22" t="s">
        <v>172</v>
      </c>
      <c r="J88" s="22" t="s">
        <v>182</v>
      </c>
      <c r="K88" s="519" t="s">
        <v>969</v>
      </c>
      <c r="L88" s="521" t="s">
        <v>984</v>
      </c>
      <c r="M88" s="521" t="s">
        <v>985</v>
      </c>
      <c r="N88" s="521" t="s">
        <v>815</v>
      </c>
      <c r="O88" s="22" t="s">
        <v>174</v>
      </c>
      <c r="P88" s="69">
        <v>2016</v>
      </c>
      <c r="Q88" s="414">
        <f t="shared" ca="1" si="6"/>
        <v>9561.106466467374</v>
      </c>
      <c r="R88" s="335" t="str">
        <f t="shared" ca="1" si="4"/>
        <v>N/A</v>
      </c>
      <c r="S88" s="335" t="str">
        <f t="shared" ca="1" si="5"/>
        <v>N/A</v>
      </c>
      <c r="T88" s="429" t="s">
        <v>899</v>
      </c>
      <c r="U88" s="22"/>
      <c r="V88" s="24"/>
      <c r="W88" s="21"/>
      <c r="Y88" s="490"/>
    </row>
    <row r="89" spans="1:25" ht="60">
      <c r="A89" s="31">
        <v>86</v>
      </c>
      <c r="B89" s="22" t="s">
        <v>39</v>
      </c>
      <c r="C89" s="22" t="s">
        <v>40</v>
      </c>
      <c r="D89" s="22" t="s">
        <v>170</v>
      </c>
      <c r="E89" s="23" t="s">
        <v>171</v>
      </c>
      <c r="F89" s="22" t="s">
        <v>63</v>
      </c>
      <c r="G89" s="22" t="s">
        <v>53</v>
      </c>
      <c r="H89" s="22" t="s">
        <v>30</v>
      </c>
      <c r="I89" s="22" t="s">
        <v>172</v>
      </c>
      <c r="J89" s="22" t="s">
        <v>183</v>
      </c>
      <c r="K89" s="519" t="s">
        <v>969</v>
      </c>
      <c r="L89" s="521" t="s">
        <v>986</v>
      </c>
      <c r="M89" s="521" t="s">
        <v>987</v>
      </c>
      <c r="N89" s="521" t="s">
        <v>815</v>
      </c>
      <c r="O89" s="22" t="s">
        <v>174</v>
      </c>
      <c r="P89" s="69">
        <v>2016</v>
      </c>
      <c r="Q89" s="414">
        <f t="shared" ca="1" si="6"/>
        <v>46049141.974360339</v>
      </c>
      <c r="R89" s="335" t="str">
        <f t="shared" ca="1" si="4"/>
        <v>N/A</v>
      </c>
      <c r="S89" s="335" t="str">
        <f t="shared" ca="1" si="5"/>
        <v>N/A</v>
      </c>
      <c r="T89" s="429" t="s">
        <v>899</v>
      </c>
      <c r="U89" s="22"/>
      <c r="V89" s="24"/>
      <c r="W89" s="21"/>
      <c r="Y89" s="490"/>
    </row>
    <row r="90" spans="1:25" ht="60">
      <c r="A90" s="31">
        <v>87</v>
      </c>
      <c r="B90" s="22" t="s">
        <v>39</v>
      </c>
      <c r="C90" s="22" t="s">
        <v>40</v>
      </c>
      <c r="D90" s="22" t="s">
        <v>170</v>
      </c>
      <c r="E90" s="23" t="s">
        <v>171</v>
      </c>
      <c r="F90" s="22" t="s">
        <v>64</v>
      </c>
      <c r="G90" s="22" t="s">
        <v>53</v>
      </c>
      <c r="H90" s="22" t="s">
        <v>30</v>
      </c>
      <c r="I90" s="22" t="s">
        <v>172</v>
      </c>
      <c r="J90" s="22" t="s">
        <v>184</v>
      </c>
      <c r="K90" s="519" t="s">
        <v>969</v>
      </c>
      <c r="L90" s="521" t="s">
        <v>988</v>
      </c>
      <c r="M90" s="521" t="s">
        <v>989</v>
      </c>
      <c r="N90" s="521" t="s">
        <v>815</v>
      </c>
      <c r="O90" s="22" t="s">
        <v>174</v>
      </c>
      <c r="P90" s="69">
        <v>2016</v>
      </c>
      <c r="Q90" s="414">
        <f t="shared" ca="1" si="6"/>
        <v>33164544.343028806</v>
      </c>
      <c r="R90" s="335" t="str">
        <f t="shared" ca="1" si="4"/>
        <v>N/A</v>
      </c>
      <c r="S90" s="335" t="str">
        <f t="shared" ca="1" si="5"/>
        <v>N/A</v>
      </c>
      <c r="T90" s="429" t="s">
        <v>899</v>
      </c>
      <c r="U90" s="22"/>
      <c r="V90" s="24"/>
      <c r="W90" s="21"/>
      <c r="Y90" s="490"/>
    </row>
    <row r="91" spans="1:25" ht="60">
      <c r="A91" s="31">
        <v>88</v>
      </c>
      <c r="B91" s="22" t="s">
        <v>39</v>
      </c>
      <c r="C91" s="22" t="s">
        <v>40</v>
      </c>
      <c r="D91" s="22" t="s">
        <v>170</v>
      </c>
      <c r="E91" s="23" t="s">
        <v>171</v>
      </c>
      <c r="F91" s="22" t="s">
        <v>65</v>
      </c>
      <c r="G91" s="22" t="s">
        <v>53</v>
      </c>
      <c r="H91" s="22" t="s">
        <v>30</v>
      </c>
      <c r="I91" s="22" t="s">
        <v>172</v>
      </c>
      <c r="J91" s="22" t="s">
        <v>185</v>
      </c>
      <c r="K91" s="519" t="s">
        <v>969</v>
      </c>
      <c r="L91" s="521" t="s">
        <v>990</v>
      </c>
      <c r="M91" s="521" t="s">
        <v>991</v>
      </c>
      <c r="N91" s="521" t="s">
        <v>815</v>
      </c>
      <c r="O91" s="22" t="s">
        <v>174</v>
      </c>
      <c r="P91" s="69">
        <v>2016</v>
      </c>
      <c r="Q91" s="414">
        <f t="shared" ca="1" si="6"/>
        <v>560964.19382027769</v>
      </c>
      <c r="R91" s="335" t="str">
        <f t="shared" ca="1" si="4"/>
        <v>N/A</v>
      </c>
      <c r="S91" s="335" t="str">
        <f t="shared" ca="1" si="5"/>
        <v>N/A</v>
      </c>
      <c r="T91" s="429" t="s">
        <v>899</v>
      </c>
      <c r="U91" s="22" t="str">
        <f>Definitions!C$20</f>
        <v>A multi-family unit. Designated by a unique billing account under rate GR and location code (LC_CD) = B, C, D (&gt;= 2 units)</v>
      </c>
      <c r="V91" s="24"/>
      <c r="W91" s="21"/>
      <c r="Y91" s="490"/>
    </row>
    <row r="92" spans="1:25" ht="60">
      <c r="A92" s="31">
        <v>89</v>
      </c>
      <c r="B92" s="22" t="s">
        <v>39</v>
      </c>
      <c r="C92" s="22" t="s">
        <v>40</v>
      </c>
      <c r="D92" s="22" t="s">
        <v>170</v>
      </c>
      <c r="E92" s="23" t="s">
        <v>171</v>
      </c>
      <c r="F92" s="22" t="s">
        <v>66</v>
      </c>
      <c r="G92" s="22" t="s">
        <v>53</v>
      </c>
      <c r="H92" s="22" t="s">
        <v>30</v>
      </c>
      <c r="I92" s="22" t="s">
        <v>172</v>
      </c>
      <c r="J92" s="22" t="s">
        <v>186</v>
      </c>
      <c r="K92" s="519" t="s">
        <v>969</v>
      </c>
      <c r="L92" s="521" t="s">
        <v>992</v>
      </c>
      <c r="M92" s="521" t="s">
        <v>993</v>
      </c>
      <c r="N92" s="521" t="s">
        <v>815</v>
      </c>
      <c r="O92" s="22" t="s">
        <v>174</v>
      </c>
      <c r="P92" s="69">
        <v>2016</v>
      </c>
      <c r="Q92" s="414">
        <f t="shared" ca="1" si="6"/>
        <v>371293.58326287294</v>
      </c>
      <c r="R92" s="335" t="str">
        <f t="shared" ca="1" si="4"/>
        <v>N/A</v>
      </c>
      <c r="S92" s="335" t="str">
        <f t="shared" ca="1" si="5"/>
        <v>N/A</v>
      </c>
      <c r="T92" s="429" t="s">
        <v>899</v>
      </c>
      <c r="U92" s="22" t="str">
        <f>Definitions!C$20</f>
        <v>A multi-family unit. Designated by a unique billing account under rate GR and location code (LC_CD) = B, C, D (&gt;= 2 units)</v>
      </c>
      <c r="V92" s="24"/>
      <c r="W92" s="21"/>
      <c r="Y92" s="490"/>
    </row>
    <row r="93" spans="1:25" ht="60">
      <c r="A93" s="31">
        <v>90</v>
      </c>
      <c r="B93" s="22" t="s">
        <v>39</v>
      </c>
      <c r="C93" s="22" t="s">
        <v>40</v>
      </c>
      <c r="D93" s="22" t="s">
        <v>170</v>
      </c>
      <c r="E93" s="23" t="s">
        <v>187</v>
      </c>
      <c r="F93" s="22" t="s">
        <v>52</v>
      </c>
      <c r="G93" s="22" t="s">
        <v>53</v>
      </c>
      <c r="H93" s="22" t="s">
        <v>30</v>
      </c>
      <c r="I93" s="22" t="s">
        <v>172</v>
      </c>
      <c r="J93" s="22" t="s">
        <v>188</v>
      </c>
      <c r="K93" s="519" t="s">
        <v>969</v>
      </c>
      <c r="L93" s="521" t="s">
        <v>994</v>
      </c>
      <c r="M93" s="521" t="s">
        <v>995</v>
      </c>
      <c r="N93" s="521" t="s">
        <v>815</v>
      </c>
      <c r="O93" s="22" t="s">
        <v>174</v>
      </c>
      <c r="P93" s="69">
        <v>2016</v>
      </c>
      <c r="Q93" s="414">
        <f t="shared" ca="1" si="6"/>
        <v>179.66311391256937</v>
      </c>
      <c r="R93" s="335" t="str">
        <f t="shared" ca="1" si="4"/>
        <v>N/A</v>
      </c>
      <c r="S93" s="335" t="str">
        <f t="shared" ca="1" si="5"/>
        <v>N/A</v>
      </c>
      <c r="T93" s="429" t="s">
        <v>899</v>
      </c>
      <c r="U93" s="22"/>
      <c r="V93" s="24"/>
      <c r="W93" s="21"/>
      <c r="Y93" s="490"/>
    </row>
    <row r="94" spans="1:25" ht="60">
      <c r="A94" s="31">
        <v>91</v>
      </c>
      <c r="B94" s="22" t="s">
        <v>39</v>
      </c>
      <c r="C94" s="22" t="s">
        <v>40</v>
      </c>
      <c r="D94" s="22" t="s">
        <v>170</v>
      </c>
      <c r="E94" s="23" t="s">
        <v>187</v>
      </c>
      <c r="F94" s="22" t="s">
        <v>55</v>
      </c>
      <c r="G94" s="22" t="s">
        <v>53</v>
      </c>
      <c r="H94" s="22" t="s">
        <v>30</v>
      </c>
      <c r="I94" s="22" t="s">
        <v>172</v>
      </c>
      <c r="J94" s="22" t="s">
        <v>189</v>
      </c>
      <c r="K94" s="519" t="s">
        <v>969</v>
      </c>
      <c r="L94" s="521" t="s">
        <v>996</v>
      </c>
      <c r="M94" s="521" t="s">
        <v>997</v>
      </c>
      <c r="N94" s="521" t="s">
        <v>815</v>
      </c>
      <c r="O94" s="22" t="s">
        <v>174</v>
      </c>
      <c r="P94" s="69">
        <v>2016</v>
      </c>
      <c r="Q94" s="414">
        <f t="shared" ca="1" si="6"/>
        <v>136.97370720813427</v>
      </c>
      <c r="R94" s="335" t="str">
        <f t="shared" ca="1" si="4"/>
        <v>N/A</v>
      </c>
      <c r="S94" s="335" t="str">
        <f t="shared" ca="1" si="5"/>
        <v>N/A</v>
      </c>
      <c r="T94" s="429" t="s">
        <v>899</v>
      </c>
      <c r="U94" s="22"/>
      <c r="V94" s="24"/>
      <c r="W94" s="21"/>
      <c r="Y94" s="490"/>
    </row>
    <row r="95" spans="1:25" ht="60">
      <c r="A95" s="31">
        <v>92</v>
      </c>
      <c r="B95" s="22" t="s">
        <v>39</v>
      </c>
      <c r="C95" s="22" t="s">
        <v>40</v>
      </c>
      <c r="D95" s="22" t="s">
        <v>170</v>
      </c>
      <c r="E95" s="23" t="s">
        <v>187</v>
      </c>
      <c r="F95" s="22" t="s">
        <v>56</v>
      </c>
      <c r="G95" s="22" t="s">
        <v>53</v>
      </c>
      <c r="H95" s="22" t="s">
        <v>30</v>
      </c>
      <c r="I95" s="22" t="s">
        <v>172</v>
      </c>
      <c r="J95" s="22" t="s">
        <v>190</v>
      </c>
      <c r="K95" s="519" t="s">
        <v>969</v>
      </c>
      <c r="L95" s="521" t="s">
        <v>998</v>
      </c>
      <c r="M95" s="521" t="s">
        <v>999</v>
      </c>
      <c r="N95" s="521" t="s">
        <v>815</v>
      </c>
      <c r="O95" s="22" t="s">
        <v>174</v>
      </c>
      <c r="P95" s="69">
        <v>2016</v>
      </c>
      <c r="Q95" s="414">
        <f t="shared" ca="1" si="6"/>
        <v>964484.10927345138</v>
      </c>
      <c r="R95" s="335" t="str">
        <f t="shared" ca="1" si="4"/>
        <v>N/A</v>
      </c>
      <c r="S95" s="335" t="str">
        <f t="shared" ca="1" si="5"/>
        <v>N/A</v>
      </c>
      <c r="T95" s="429" t="s">
        <v>899</v>
      </c>
      <c r="U95" s="22"/>
      <c r="V95" s="24"/>
      <c r="W95" s="21"/>
      <c r="Y95" s="490"/>
    </row>
    <row r="96" spans="1:25" ht="60">
      <c r="A96" s="31">
        <v>93</v>
      </c>
      <c r="B96" s="22" t="s">
        <v>39</v>
      </c>
      <c r="C96" s="22" t="s">
        <v>40</v>
      </c>
      <c r="D96" s="22" t="s">
        <v>170</v>
      </c>
      <c r="E96" s="23" t="s">
        <v>187</v>
      </c>
      <c r="F96" s="22" t="s">
        <v>57</v>
      </c>
      <c r="G96" s="22" t="s">
        <v>53</v>
      </c>
      <c r="H96" s="22" t="s">
        <v>30</v>
      </c>
      <c r="I96" s="22" t="s">
        <v>172</v>
      </c>
      <c r="J96" s="22" t="s">
        <v>191</v>
      </c>
      <c r="K96" s="519" t="s">
        <v>969</v>
      </c>
      <c r="L96" s="521" t="s">
        <v>1000</v>
      </c>
      <c r="M96" s="521" t="s">
        <v>1001</v>
      </c>
      <c r="N96" s="521" t="s">
        <v>815</v>
      </c>
      <c r="O96" s="22" t="s">
        <v>174</v>
      </c>
      <c r="P96" s="69">
        <v>2016</v>
      </c>
      <c r="Q96" s="414">
        <f t="shared" ca="1" si="6"/>
        <v>695274.22810670407</v>
      </c>
      <c r="R96" s="335" t="str">
        <f t="shared" ca="1" si="4"/>
        <v>N/A</v>
      </c>
      <c r="S96" s="335" t="str">
        <f t="shared" ca="1" si="5"/>
        <v>N/A</v>
      </c>
      <c r="T96" s="429" t="s">
        <v>899</v>
      </c>
      <c r="U96" s="22"/>
      <c r="V96" s="24"/>
      <c r="W96" s="21"/>
      <c r="Y96" s="490"/>
    </row>
    <row r="97" spans="1:25" ht="60">
      <c r="A97" s="31">
        <v>94</v>
      </c>
      <c r="B97" s="22" t="s">
        <v>39</v>
      </c>
      <c r="C97" s="22" t="s">
        <v>40</v>
      </c>
      <c r="D97" s="22" t="s">
        <v>170</v>
      </c>
      <c r="E97" s="23" t="s">
        <v>187</v>
      </c>
      <c r="F97" s="22" t="s">
        <v>58</v>
      </c>
      <c r="G97" s="22" t="s">
        <v>53</v>
      </c>
      <c r="H97" s="22" t="s">
        <v>30</v>
      </c>
      <c r="I97" s="22" t="s">
        <v>172</v>
      </c>
      <c r="J97" s="22" t="s">
        <v>192</v>
      </c>
      <c r="K97" s="519" t="s">
        <v>969</v>
      </c>
      <c r="L97" s="521" t="s">
        <v>1002</v>
      </c>
      <c r="M97" s="521" t="s">
        <v>1003</v>
      </c>
      <c r="N97" s="521" t="s">
        <v>815</v>
      </c>
      <c r="O97" s="22" t="s">
        <v>174</v>
      </c>
      <c r="P97" s="69">
        <v>2016</v>
      </c>
      <c r="Q97" s="414">
        <f t="shared" ca="1" si="6"/>
        <v>8792.2766963747308</v>
      </c>
      <c r="R97" s="335" t="str">
        <f t="shared" ca="1" si="4"/>
        <v>N/A</v>
      </c>
      <c r="S97" s="335" t="str">
        <f t="shared" ca="1" si="5"/>
        <v>N/A</v>
      </c>
      <c r="T97" s="429" t="s">
        <v>899</v>
      </c>
      <c r="U97" s="22" t="str">
        <f>Definitions!C$22</f>
        <v>AL 3826. Natural gas procurement for MF accomodations supply Baseline uses through one meter. Such as service will be billed under rates designated for GM-E, GM-BE or GM-BEC, as appropriate.</v>
      </c>
      <c r="V97" s="24"/>
      <c r="W97" s="21"/>
      <c r="Y97" s="490"/>
    </row>
    <row r="98" spans="1:25" ht="60">
      <c r="A98" s="31">
        <v>95</v>
      </c>
      <c r="B98" s="22" t="s">
        <v>39</v>
      </c>
      <c r="C98" s="22" t="s">
        <v>40</v>
      </c>
      <c r="D98" s="22" t="s">
        <v>170</v>
      </c>
      <c r="E98" s="23" t="s">
        <v>187</v>
      </c>
      <c r="F98" s="22" t="s">
        <v>60</v>
      </c>
      <c r="G98" s="22" t="s">
        <v>53</v>
      </c>
      <c r="H98" s="22" t="s">
        <v>30</v>
      </c>
      <c r="I98" s="22" t="s">
        <v>172</v>
      </c>
      <c r="J98" s="22" t="s">
        <v>193</v>
      </c>
      <c r="K98" s="519" t="s">
        <v>969</v>
      </c>
      <c r="L98" s="521" t="s">
        <v>1004</v>
      </c>
      <c r="M98" s="521" t="s">
        <v>1005</v>
      </c>
      <c r="N98" s="521" t="s">
        <v>815</v>
      </c>
      <c r="O98" s="22" t="s">
        <v>174</v>
      </c>
      <c r="P98" s="69">
        <v>2016</v>
      </c>
      <c r="Q98" s="414">
        <f t="shared" ca="1" si="6"/>
        <v>5543.2893819244573</v>
      </c>
      <c r="R98" s="335" t="str">
        <f t="shared" ca="1" si="4"/>
        <v>N/A</v>
      </c>
      <c r="S98" s="335" t="str">
        <f t="shared" ca="1" si="5"/>
        <v>N/A</v>
      </c>
      <c r="T98" s="429" t="s">
        <v>899</v>
      </c>
      <c r="U98" s="22" t="str">
        <f>Definitions!C$22</f>
        <v>AL 3826. Natural gas procurement for MF accomodations supply Baseline uses through one meter. Such as service will be billed under rates designated for GM-E, GM-BE or GM-BEC, as appropriate.</v>
      </c>
      <c r="V98" s="24"/>
      <c r="W98" s="21"/>
      <c r="Y98" s="490"/>
    </row>
    <row r="99" spans="1:25" ht="60">
      <c r="A99" s="31">
        <v>96</v>
      </c>
      <c r="B99" s="22" t="s">
        <v>39</v>
      </c>
      <c r="C99" s="22" t="s">
        <v>40</v>
      </c>
      <c r="D99" s="22" t="s">
        <v>170</v>
      </c>
      <c r="E99" s="23" t="s">
        <v>187</v>
      </c>
      <c r="F99" s="22" t="s">
        <v>61</v>
      </c>
      <c r="G99" s="22" t="s">
        <v>53</v>
      </c>
      <c r="H99" s="22" t="s">
        <v>30</v>
      </c>
      <c r="I99" s="22" t="s">
        <v>172</v>
      </c>
      <c r="J99" s="22" t="s">
        <v>194</v>
      </c>
      <c r="K99" s="519" t="s">
        <v>969</v>
      </c>
      <c r="L99" s="521" t="s">
        <v>1006</v>
      </c>
      <c r="M99" s="521" t="s">
        <v>1007</v>
      </c>
      <c r="N99" s="521" t="s">
        <v>815</v>
      </c>
      <c r="O99" s="22" t="s">
        <v>174</v>
      </c>
      <c r="P99" s="69">
        <v>2016</v>
      </c>
      <c r="Q99" s="414">
        <f t="shared" ca="1" si="6"/>
        <v>1816.6152161294369</v>
      </c>
      <c r="R99" s="335" t="str">
        <f t="shared" ca="1" si="4"/>
        <v>N/A</v>
      </c>
      <c r="S99" s="335" t="str">
        <f t="shared" ca="1" si="5"/>
        <v>N/A</v>
      </c>
      <c r="T99" s="429" t="s">
        <v>899</v>
      </c>
      <c r="U99" s="22"/>
      <c r="V99" s="24"/>
      <c r="W99" s="21"/>
      <c r="Y99" s="490"/>
    </row>
    <row r="100" spans="1:25" ht="60">
      <c r="A100" s="31">
        <v>97</v>
      </c>
      <c r="B100" s="22" t="s">
        <v>39</v>
      </c>
      <c r="C100" s="22" t="s">
        <v>40</v>
      </c>
      <c r="D100" s="22" t="s">
        <v>170</v>
      </c>
      <c r="E100" s="23" t="s">
        <v>187</v>
      </c>
      <c r="F100" s="22" t="s">
        <v>62</v>
      </c>
      <c r="G100" s="22" t="s">
        <v>53</v>
      </c>
      <c r="H100" s="22" t="s">
        <v>30</v>
      </c>
      <c r="I100" s="22" t="s">
        <v>172</v>
      </c>
      <c r="J100" s="22" t="s">
        <v>195</v>
      </c>
      <c r="K100" s="519" t="s">
        <v>969</v>
      </c>
      <c r="L100" s="521" t="s">
        <v>1008</v>
      </c>
      <c r="M100" s="521" t="s">
        <v>1009</v>
      </c>
      <c r="N100" s="521" t="s">
        <v>815</v>
      </c>
      <c r="O100" s="22" t="s">
        <v>174</v>
      </c>
      <c r="P100" s="69">
        <v>2016</v>
      </c>
      <c r="Q100" s="414">
        <f t="shared" ca="1" si="6"/>
        <v>1316.9663351064876</v>
      </c>
      <c r="R100" s="335" t="str">
        <f t="shared" ca="1" si="4"/>
        <v>N/A</v>
      </c>
      <c r="S100" s="335" t="str">
        <f t="shared" ca="1" si="5"/>
        <v>N/A</v>
      </c>
      <c r="T100" s="429" t="s">
        <v>899</v>
      </c>
      <c r="U100" s="22"/>
      <c r="V100" s="24"/>
      <c r="W100" s="21"/>
      <c r="Y100" s="490"/>
    </row>
    <row r="101" spans="1:25" ht="60">
      <c r="A101" s="31">
        <v>98</v>
      </c>
      <c r="B101" s="22" t="s">
        <v>39</v>
      </c>
      <c r="C101" s="22" t="s">
        <v>40</v>
      </c>
      <c r="D101" s="22" t="s">
        <v>170</v>
      </c>
      <c r="E101" s="23" t="s">
        <v>187</v>
      </c>
      <c r="F101" s="22" t="s">
        <v>63</v>
      </c>
      <c r="G101" s="22" t="s">
        <v>53</v>
      </c>
      <c r="H101" s="22" t="s">
        <v>30</v>
      </c>
      <c r="I101" s="22" t="s">
        <v>172</v>
      </c>
      <c r="J101" s="22" t="s">
        <v>196</v>
      </c>
      <c r="K101" s="519" t="s">
        <v>969</v>
      </c>
      <c r="L101" s="521" t="s">
        <v>1010</v>
      </c>
      <c r="M101" s="521" t="s">
        <v>1011</v>
      </c>
      <c r="N101" s="521" t="s">
        <v>815</v>
      </c>
      <c r="O101" s="22" t="s">
        <v>174</v>
      </c>
      <c r="P101" s="69">
        <v>2016</v>
      </c>
      <c r="Q101" s="414">
        <f t="shared" ca="1" si="6"/>
        <v>10981626.05236597</v>
      </c>
      <c r="R101" s="335" t="str">
        <f t="shared" ca="1" si="4"/>
        <v>N/A</v>
      </c>
      <c r="S101" s="335" t="str">
        <f t="shared" ca="1" si="5"/>
        <v>N/A</v>
      </c>
      <c r="T101" s="429" t="s">
        <v>899</v>
      </c>
      <c r="U101" s="22"/>
      <c r="V101" s="24"/>
      <c r="W101" s="21"/>
      <c r="Y101" s="490"/>
    </row>
    <row r="102" spans="1:25" ht="60">
      <c r="A102" s="31">
        <v>99</v>
      </c>
      <c r="B102" s="22" t="s">
        <v>39</v>
      </c>
      <c r="C102" s="22" t="s">
        <v>40</v>
      </c>
      <c r="D102" s="22" t="s">
        <v>170</v>
      </c>
      <c r="E102" s="23" t="s">
        <v>187</v>
      </c>
      <c r="F102" s="22" t="s">
        <v>64</v>
      </c>
      <c r="G102" s="22" t="s">
        <v>53</v>
      </c>
      <c r="H102" s="22" t="s">
        <v>30</v>
      </c>
      <c r="I102" s="22" t="s">
        <v>172</v>
      </c>
      <c r="J102" s="22" t="s">
        <v>197</v>
      </c>
      <c r="K102" s="519" t="s">
        <v>969</v>
      </c>
      <c r="L102" s="521" t="s">
        <v>1012</v>
      </c>
      <c r="M102" s="521" t="s">
        <v>1013</v>
      </c>
      <c r="N102" s="521" t="s">
        <v>815</v>
      </c>
      <c r="O102" s="22" t="s">
        <v>174</v>
      </c>
      <c r="P102" s="69">
        <v>2016</v>
      </c>
      <c r="Q102" s="414">
        <f t="shared" ca="1" si="6"/>
        <v>7486838.00215948</v>
      </c>
      <c r="R102" s="335" t="str">
        <f t="shared" ca="1" si="4"/>
        <v>N/A</v>
      </c>
      <c r="S102" s="335" t="str">
        <f t="shared" ca="1" si="5"/>
        <v>N/A</v>
      </c>
      <c r="T102" s="429" t="s">
        <v>899</v>
      </c>
      <c r="U102" s="22"/>
      <c r="V102" s="24"/>
      <c r="W102" s="21"/>
      <c r="Y102" s="490"/>
    </row>
    <row r="103" spans="1:25" ht="60">
      <c r="A103" s="31">
        <v>100</v>
      </c>
      <c r="B103" s="22" t="s">
        <v>39</v>
      </c>
      <c r="C103" s="22" t="s">
        <v>40</v>
      </c>
      <c r="D103" s="22" t="s">
        <v>170</v>
      </c>
      <c r="E103" s="23" t="s">
        <v>187</v>
      </c>
      <c r="F103" s="22" t="s">
        <v>65</v>
      </c>
      <c r="G103" s="22" t="s">
        <v>53</v>
      </c>
      <c r="H103" s="22" t="s">
        <v>30</v>
      </c>
      <c r="I103" s="22" t="s">
        <v>172</v>
      </c>
      <c r="J103" s="22" t="s">
        <v>198</v>
      </c>
      <c r="K103" s="519" t="s">
        <v>969</v>
      </c>
      <c r="L103" s="521" t="s">
        <v>1014</v>
      </c>
      <c r="M103" s="521" t="s">
        <v>1015</v>
      </c>
      <c r="N103" s="521" t="s">
        <v>815</v>
      </c>
      <c r="O103" s="22" t="s">
        <v>174</v>
      </c>
      <c r="P103" s="69">
        <v>2016</v>
      </c>
      <c r="Q103" s="414">
        <f t="shared" ca="1" si="6"/>
        <v>89746.586656676416</v>
      </c>
      <c r="R103" s="335" t="str">
        <f t="shared" ca="1" si="4"/>
        <v>N/A</v>
      </c>
      <c r="S103" s="335" t="str">
        <f t="shared" ca="1" si="5"/>
        <v>N/A</v>
      </c>
      <c r="T103" s="429" t="s">
        <v>899</v>
      </c>
      <c r="U103" s="22" t="str">
        <f>Definitions!C$22</f>
        <v>AL 3826. Natural gas procurement for MF accomodations supply Baseline uses through one meter. Such as service will be billed under rates designated for GM-E, GM-BE or GM-BEC, as appropriate.</v>
      </c>
      <c r="V103" s="24"/>
      <c r="W103" s="21"/>
      <c r="Y103" s="490"/>
    </row>
    <row r="104" spans="1:25" ht="60">
      <c r="A104" s="31">
        <v>101</v>
      </c>
      <c r="B104" s="22" t="s">
        <v>39</v>
      </c>
      <c r="C104" s="22" t="s">
        <v>40</v>
      </c>
      <c r="D104" s="22" t="s">
        <v>170</v>
      </c>
      <c r="E104" s="23" t="s">
        <v>187</v>
      </c>
      <c r="F104" s="22" t="s">
        <v>66</v>
      </c>
      <c r="G104" s="22" t="s">
        <v>53</v>
      </c>
      <c r="H104" s="22" t="s">
        <v>30</v>
      </c>
      <c r="I104" s="22" t="s">
        <v>172</v>
      </c>
      <c r="J104" s="22" t="s">
        <v>199</v>
      </c>
      <c r="K104" s="519" t="s">
        <v>969</v>
      </c>
      <c r="L104" s="521" t="s">
        <v>1016</v>
      </c>
      <c r="M104" s="521" t="s">
        <v>1017</v>
      </c>
      <c r="N104" s="521" t="s">
        <v>815</v>
      </c>
      <c r="O104" s="22" t="s">
        <v>174</v>
      </c>
      <c r="P104" s="69">
        <v>2016</v>
      </c>
      <c r="Q104" s="414">
        <f t="shared" ca="1" si="6"/>
        <v>63474.740110751896</v>
      </c>
      <c r="R104" s="335" t="str">
        <f t="shared" ca="1" si="4"/>
        <v>N/A</v>
      </c>
      <c r="S104" s="335" t="str">
        <f t="shared" ca="1" si="5"/>
        <v>N/A</v>
      </c>
      <c r="T104" s="429" t="s">
        <v>899</v>
      </c>
      <c r="U104" s="22" t="str">
        <f>Definitions!C$22</f>
        <v>AL 3826. Natural gas procurement for MF accomodations supply Baseline uses through one meter. Such as service will be billed under rates designated for GM-E, GM-BE or GM-BEC, as appropriate.</v>
      </c>
      <c r="V104" s="24"/>
      <c r="W104" s="21"/>
      <c r="Y104" s="490"/>
    </row>
    <row r="105" spans="1:25" ht="60">
      <c r="A105" s="31">
        <v>102</v>
      </c>
      <c r="B105" s="22" t="s">
        <v>39</v>
      </c>
      <c r="C105" s="22" t="s">
        <v>40</v>
      </c>
      <c r="D105" s="22" t="s">
        <v>170</v>
      </c>
      <c r="E105" s="23" t="s">
        <v>200</v>
      </c>
      <c r="F105" s="22" t="s">
        <v>52</v>
      </c>
      <c r="G105" s="22" t="s">
        <v>53</v>
      </c>
      <c r="H105" s="22" t="s">
        <v>30</v>
      </c>
      <c r="I105" s="22" t="s">
        <v>172</v>
      </c>
      <c r="J105" s="22" t="s">
        <v>201</v>
      </c>
      <c r="K105" s="519" t="s">
        <v>969</v>
      </c>
      <c r="L105" s="521" t="s">
        <v>1018</v>
      </c>
      <c r="M105" s="521" t="s">
        <v>1019</v>
      </c>
      <c r="N105" s="521" t="s">
        <v>815</v>
      </c>
      <c r="O105" s="22" t="s">
        <v>174</v>
      </c>
      <c r="P105" s="69">
        <v>2016</v>
      </c>
      <c r="Q105" s="414">
        <f t="shared" ca="1" si="6"/>
        <v>2.2948559936257622</v>
      </c>
      <c r="R105" s="335" t="str">
        <f t="shared" ca="1" si="4"/>
        <v>N/A</v>
      </c>
      <c r="S105" s="335" t="str">
        <f t="shared" ca="1" si="5"/>
        <v>N/A</v>
      </c>
      <c r="T105" s="429" t="s">
        <v>899</v>
      </c>
      <c r="U105" s="22"/>
      <c r="V105" s="24"/>
      <c r="W105" s="21"/>
      <c r="Y105" s="490"/>
    </row>
    <row r="106" spans="1:25" ht="60">
      <c r="A106" s="31">
        <v>103</v>
      </c>
      <c r="B106" s="22" t="s">
        <v>39</v>
      </c>
      <c r="C106" s="22" t="s">
        <v>40</v>
      </c>
      <c r="D106" s="22" t="s">
        <v>170</v>
      </c>
      <c r="E106" s="23" t="s">
        <v>200</v>
      </c>
      <c r="F106" s="22" t="s">
        <v>55</v>
      </c>
      <c r="G106" s="22" t="s">
        <v>53</v>
      </c>
      <c r="H106" s="22" t="s">
        <v>30</v>
      </c>
      <c r="I106" s="22" t="s">
        <v>172</v>
      </c>
      <c r="J106" s="22" t="s">
        <v>202</v>
      </c>
      <c r="K106" s="519" t="s">
        <v>969</v>
      </c>
      <c r="L106" s="521" t="s">
        <v>1020</v>
      </c>
      <c r="M106" s="521" t="s">
        <v>1021</v>
      </c>
      <c r="N106" s="521" t="s">
        <v>815</v>
      </c>
      <c r="O106" s="22" t="s">
        <v>174</v>
      </c>
      <c r="P106" s="69">
        <v>2016</v>
      </c>
      <c r="Q106" s="414">
        <f t="shared" ca="1" si="6"/>
        <v>1.8141154684596772</v>
      </c>
      <c r="R106" s="335" t="str">
        <f t="shared" ca="1" si="4"/>
        <v>N/A</v>
      </c>
      <c r="S106" s="335" t="str">
        <f t="shared" ca="1" si="5"/>
        <v>N/A</v>
      </c>
      <c r="T106" s="429" t="s">
        <v>899</v>
      </c>
      <c r="U106" s="22"/>
      <c r="V106" s="24"/>
      <c r="W106" s="21"/>
      <c r="Y106" s="490"/>
    </row>
    <row r="107" spans="1:25" ht="60">
      <c r="A107" s="31">
        <v>104</v>
      </c>
      <c r="B107" s="22" t="s">
        <v>39</v>
      </c>
      <c r="C107" s="22" t="s">
        <v>40</v>
      </c>
      <c r="D107" s="22" t="s">
        <v>170</v>
      </c>
      <c r="E107" s="23" t="s">
        <v>200</v>
      </c>
      <c r="F107" s="22" t="s">
        <v>56</v>
      </c>
      <c r="G107" s="22" t="s">
        <v>53</v>
      </c>
      <c r="H107" s="22" t="s">
        <v>30</v>
      </c>
      <c r="I107" s="22" t="s">
        <v>172</v>
      </c>
      <c r="J107" s="22" t="s">
        <v>203</v>
      </c>
      <c r="K107" s="519" t="s">
        <v>969</v>
      </c>
      <c r="L107" s="521" t="s">
        <v>1022</v>
      </c>
      <c r="M107" s="521" t="s">
        <v>1023</v>
      </c>
      <c r="N107" s="521" t="s">
        <v>815</v>
      </c>
      <c r="O107" s="22" t="s">
        <v>174</v>
      </c>
      <c r="P107" s="69">
        <v>2016</v>
      </c>
      <c r="Q107" s="414">
        <f t="shared" ca="1" si="6"/>
        <v>9437.3598381299926</v>
      </c>
      <c r="R107" s="335" t="str">
        <f t="shared" ca="1" si="4"/>
        <v>N/A</v>
      </c>
      <c r="S107" s="335" t="str">
        <f t="shared" ca="1" si="5"/>
        <v>N/A</v>
      </c>
      <c r="T107" s="429" t="s">
        <v>899</v>
      </c>
      <c r="U107" s="22"/>
      <c r="V107" s="24"/>
      <c r="W107" s="21"/>
      <c r="Y107" s="490"/>
    </row>
    <row r="108" spans="1:25" ht="60">
      <c r="A108" s="31">
        <v>105</v>
      </c>
      <c r="B108" s="22" t="s">
        <v>39</v>
      </c>
      <c r="C108" s="22" t="s">
        <v>40</v>
      </c>
      <c r="D108" s="22" t="s">
        <v>170</v>
      </c>
      <c r="E108" s="23" t="s">
        <v>200</v>
      </c>
      <c r="F108" s="22" t="s">
        <v>57</v>
      </c>
      <c r="G108" s="22" t="s">
        <v>53</v>
      </c>
      <c r="H108" s="22" t="s">
        <v>30</v>
      </c>
      <c r="I108" s="22" t="s">
        <v>172</v>
      </c>
      <c r="J108" s="22" t="s">
        <v>204</v>
      </c>
      <c r="K108" s="519" t="s">
        <v>969</v>
      </c>
      <c r="L108" s="521" t="s">
        <v>1024</v>
      </c>
      <c r="M108" s="521" t="s">
        <v>1025</v>
      </c>
      <c r="N108" s="521" t="s">
        <v>815</v>
      </c>
      <c r="O108" s="22" t="s">
        <v>174</v>
      </c>
      <c r="P108" s="69">
        <v>2016</v>
      </c>
      <c r="Q108" s="414">
        <f t="shared" ca="1" si="6"/>
        <v>7067.957955825831</v>
      </c>
      <c r="R108" s="335" t="str">
        <f t="shared" ca="1" si="4"/>
        <v>N/A</v>
      </c>
      <c r="S108" s="335" t="str">
        <f t="shared" ca="1" si="5"/>
        <v>N/A</v>
      </c>
      <c r="T108" s="429" t="s">
        <v>899</v>
      </c>
      <c r="U108" s="22"/>
      <c r="V108" s="24"/>
      <c r="W108" s="21"/>
      <c r="Y108" s="490"/>
    </row>
    <row r="109" spans="1:25" ht="60">
      <c r="A109" s="31">
        <v>106</v>
      </c>
      <c r="B109" s="22" t="s">
        <v>39</v>
      </c>
      <c r="C109" s="22" t="s">
        <v>40</v>
      </c>
      <c r="D109" s="22" t="s">
        <v>170</v>
      </c>
      <c r="E109" s="23" t="s">
        <v>200</v>
      </c>
      <c r="F109" s="22" t="s">
        <v>58</v>
      </c>
      <c r="G109" s="22" t="s">
        <v>53</v>
      </c>
      <c r="H109" s="22" t="s">
        <v>30</v>
      </c>
      <c r="I109" s="22" t="s">
        <v>172</v>
      </c>
      <c r="J109" s="22" t="s">
        <v>205</v>
      </c>
      <c r="K109" s="519" t="s">
        <v>969</v>
      </c>
      <c r="L109" s="521" t="s">
        <v>1026</v>
      </c>
      <c r="M109" s="521" t="s">
        <v>1027</v>
      </c>
      <c r="N109" s="521" t="s">
        <v>815</v>
      </c>
      <c r="O109" s="22" t="s">
        <v>174</v>
      </c>
      <c r="P109" s="69">
        <v>2016</v>
      </c>
      <c r="Q109" s="414">
        <f t="shared" ca="1" si="6"/>
        <v>347.53545859703235</v>
      </c>
      <c r="R109" s="335" t="str">
        <f t="shared" ca="1" si="4"/>
        <v>N/A</v>
      </c>
      <c r="S109" s="335" t="str">
        <f t="shared" ca="1" si="5"/>
        <v>N/A</v>
      </c>
      <c r="T109" s="429" t="s">
        <v>899</v>
      </c>
      <c r="U109" s="22" t="str">
        <f>Definitions!C$21</f>
        <v>AL 3826. Natural gas supplied through a single meter to common facilities only, will be billed under rates GM-C, GM-BC or GM-BCC, as appropriate.</v>
      </c>
      <c r="V109" s="24"/>
      <c r="W109" s="21"/>
      <c r="Y109" s="490"/>
    </row>
    <row r="110" spans="1:25" ht="60">
      <c r="A110" s="31">
        <v>107</v>
      </c>
      <c r="B110" s="22" t="s">
        <v>39</v>
      </c>
      <c r="C110" s="22" t="s">
        <v>40</v>
      </c>
      <c r="D110" s="22" t="s">
        <v>170</v>
      </c>
      <c r="E110" s="23" t="s">
        <v>200</v>
      </c>
      <c r="F110" s="22" t="s">
        <v>60</v>
      </c>
      <c r="G110" s="22" t="s">
        <v>53</v>
      </c>
      <c r="H110" s="22" t="s">
        <v>30</v>
      </c>
      <c r="I110" s="22" t="s">
        <v>172</v>
      </c>
      <c r="J110" s="22" t="s">
        <v>206</v>
      </c>
      <c r="K110" s="519" t="s">
        <v>969</v>
      </c>
      <c r="L110" s="521" t="s">
        <v>1028</v>
      </c>
      <c r="M110" s="521" t="s">
        <v>1029</v>
      </c>
      <c r="N110" s="521" t="s">
        <v>815</v>
      </c>
      <c r="O110" s="22" t="s">
        <v>174</v>
      </c>
      <c r="P110" s="69">
        <v>2016</v>
      </c>
      <c r="Q110" s="414">
        <f t="shared" ca="1" si="6"/>
        <v>205.89504009842426</v>
      </c>
      <c r="R110" s="335" t="str">
        <f t="shared" ca="1" si="4"/>
        <v>N/A</v>
      </c>
      <c r="S110" s="335" t="str">
        <f t="shared" ca="1" si="5"/>
        <v>N/A</v>
      </c>
      <c r="T110" s="429" t="s">
        <v>899</v>
      </c>
      <c r="U110" s="22" t="str">
        <f>Definitions!C$21</f>
        <v>AL 3826. Natural gas supplied through a single meter to common facilities only, will be billed under rates GM-C, GM-BC or GM-BCC, as appropriate.</v>
      </c>
      <c r="V110" s="24"/>
      <c r="W110" s="21"/>
      <c r="Y110" s="490"/>
    </row>
    <row r="111" spans="1:25" ht="60">
      <c r="A111" s="31">
        <v>108</v>
      </c>
      <c r="B111" s="22" t="s">
        <v>39</v>
      </c>
      <c r="C111" s="22" t="s">
        <v>40</v>
      </c>
      <c r="D111" s="22" t="s">
        <v>170</v>
      </c>
      <c r="E111" s="23" t="s">
        <v>200</v>
      </c>
      <c r="F111" s="22" t="s">
        <v>61</v>
      </c>
      <c r="G111" s="22" t="s">
        <v>53</v>
      </c>
      <c r="H111" s="22" t="s">
        <v>30</v>
      </c>
      <c r="I111" s="22" t="s">
        <v>172</v>
      </c>
      <c r="J111" s="22" t="s">
        <v>207</v>
      </c>
      <c r="K111" s="519" t="s">
        <v>969</v>
      </c>
      <c r="L111" s="521" t="s">
        <v>1030</v>
      </c>
      <c r="M111" s="521" t="s">
        <v>1031</v>
      </c>
      <c r="N111" s="521" t="s">
        <v>815</v>
      </c>
      <c r="O111" s="22" t="s">
        <v>174</v>
      </c>
      <c r="P111" s="69">
        <v>2016</v>
      </c>
      <c r="Q111" s="414">
        <f t="shared" ca="1" si="6"/>
        <v>21.021047825213778</v>
      </c>
      <c r="R111" s="335" t="str">
        <f t="shared" ca="1" si="4"/>
        <v>N/A</v>
      </c>
      <c r="S111" s="335" t="str">
        <f t="shared" ca="1" si="5"/>
        <v>N/A</v>
      </c>
      <c r="T111" s="429" t="s">
        <v>899</v>
      </c>
      <c r="U111" s="22"/>
      <c r="V111" s="24"/>
      <c r="W111" s="21"/>
      <c r="Y111" s="490"/>
    </row>
    <row r="112" spans="1:25" ht="60">
      <c r="A112" s="31">
        <v>109</v>
      </c>
      <c r="B112" s="22" t="s">
        <v>39</v>
      </c>
      <c r="C112" s="22" t="s">
        <v>40</v>
      </c>
      <c r="D112" s="22" t="s">
        <v>170</v>
      </c>
      <c r="E112" s="23" t="s">
        <v>200</v>
      </c>
      <c r="F112" s="22" t="s">
        <v>62</v>
      </c>
      <c r="G112" s="22" t="s">
        <v>53</v>
      </c>
      <c r="H112" s="22" t="s">
        <v>30</v>
      </c>
      <c r="I112" s="22" t="s">
        <v>172</v>
      </c>
      <c r="J112" s="22" t="s">
        <v>208</v>
      </c>
      <c r="K112" s="519" t="s">
        <v>969</v>
      </c>
      <c r="L112" s="521" t="s">
        <v>1032</v>
      </c>
      <c r="M112" s="521" t="s">
        <v>1033</v>
      </c>
      <c r="N112" s="521" t="s">
        <v>815</v>
      </c>
      <c r="O112" s="22" t="s">
        <v>174</v>
      </c>
      <c r="P112" s="69">
        <v>2016</v>
      </c>
      <c r="Q112" s="414">
        <f t="shared" ca="1" si="6"/>
        <v>15.484829734260011</v>
      </c>
      <c r="R112" s="335" t="str">
        <f t="shared" ca="1" si="4"/>
        <v>N/A</v>
      </c>
      <c r="S112" s="335" t="str">
        <f t="shared" ca="1" si="5"/>
        <v>N/A</v>
      </c>
      <c r="T112" s="429" t="s">
        <v>899</v>
      </c>
      <c r="U112" s="22"/>
      <c r="V112" s="24"/>
      <c r="W112" s="21"/>
      <c r="Y112" s="490"/>
    </row>
    <row r="113" spans="1:25" ht="60">
      <c r="A113" s="31">
        <v>110</v>
      </c>
      <c r="B113" s="22" t="s">
        <v>39</v>
      </c>
      <c r="C113" s="22" t="s">
        <v>40</v>
      </c>
      <c r="D113" s="22" t="s">
        <v>170</v>
      </c>
      <c r="E113" s="23" t="s">
        <v>200</v>
      </c>
      <c r="F113" s="22" t="s">
        <v>63</v>
      </c>
      <c r="G113" s="22" t="s">
        <v>53</v>
      </c>
      <c r="H113" s="22" t="s">
        <v>30</v>
      </c>
      <c r="I113" s="22" t="s">
        <v>172</v>
      </c>
      <c r="J113" s="22" t="s">
        <v>209</v>
      </c>
      <c r="K113" s="519" t="s">
        <v>969</v>
      </c>
      <c r="L113" s="521" t="s">
        <v>1034</v>
      </c>
      <c r="M113" s="521" t="s">
        <v>1035</v>
      </c>
      <c r="N113" s="521" t="s">
        <v>815</v>
      </c>
      <c r="O113" s="22" t="s">
        <v>174</v>
      </c>
      <c r="P113" s="69">
        <v>2016</v>
      </c>
      <c r="Q113" s="414">
        <f t="shared" ca="1" si="6"/>
        <v>88531.347012777289</v>
      </c>
      <c r="R113" s="335" t="str">
        <f t="shared" ca="1" si="4"/>
        <v>N/A</v>
      </c>
      <c r="S113" s="335" t="str">
        <f t="shared" ca="1" si="5"/>
        <v>N/A</v>
      </c>
      <c r="T113" s="429" t="s">
        <v>899</v>
      </c>
      <c r="U113" s="22"/>
      <c r="V113" s="24"/>
      <c r="W113" s="21"/>
      <c r="Y113" s="490"/>
    </row>
    <row r="114" spans="1:25" ht="60">
      <c r="A114" s="31">
        <v>111</v>
      </c>
      <c r="B114" s="22" t="s">
        <v>39</v>
      </c>
      <c r="C114" s="22" t="s">
        <v>40</v>
      </c>
      <c r="D114" s="22" t="s">
        <v>170</v>
      </c>
      <c r="E114" s="23" t="s">
        <v>200</v>
      </c>
      <c r="F114" s="22" t="s">
        <v>64</v>
      </c>
      <c r="G114" s="22" t="s">
        <v>53</v>
      </c>
      <c r="H114" s="22" t="s">
        <v>30</v>
      </c>
      <c r="I114" s="22" t="s">
        <v>172</v>
      </c>
      <c r="J114" s="22" t="s">
        <v>210</v>
      </c>
      <c r="K114" s="519" t="s">
        <v>969</v>
      </c>
      <c r="L114" s="521" t="s">
        <v>1036</v>
      </c>
      <c r="M114" s="521" t="s">
        <v>1037</v>
      </c>
      <c r="N114" s="521" t="s">
        <v>815</v>
      </c>
      <c r="O114" s="22" t="s">
        <v>174</v>
      </c>
      <c r="P114" s="69">
        <v>2016</v>
      </c>
      <c r="Q114" s="414">
        <f t="shared" ca="1" si="6"/>
        <v>57968.140250054239</v>
      </c>
      <c r="R114" s="335" t="str">
        <f t="shared" ca="1" si="4"/>
        <v>N/A</v>
      </c>
      <c r="S114" s="335" t="str">
        <f t="shared" ca="1" si="5"/>
        <v>N/A</v>
      </c>
      <c r="T114" s="429" t="s">
        <v>899</v>
      </c>
      <c r="U114" s="22"/>
      <c r="V114" s="24"/>
      <c r="W114" s="21"/>
      <c r="Y114" s="490"/>
    </row>
    <row r="115" spans="1:25" ht="60">
      <c r="A115" s="31">
        <v>112</v>
      </c>
      <c r="B115" s="22" t="s">
        <v>39</v>
      </c>
      <c r="C115" s="22" t="s">
        <v>40</v>
      </c>
      <c r="D115" s="22" t="s">
        <v>170</v>
      </c>
      <c r="E115" s="23" t="s">
        <v>200</v>
      </c>
      <c r="F115" s="22" t="s">
        <v>65</v>
      </c>
      <c r="G115" s="22" t="s">
        <v>53</v>
      </c>
      <c r="H115" s="22" t="s">
        <v>30</v>
      </c>
      <c r="I115" s="22" t="s">
        <v>172</v>
      </c>
      <c r="J115" s="22" t="s">
        <v>211</v>
      </c>
      <c r="K115" s="519" t="s">
        <v>969</v>
      </c>
      <c r="L115" s="521" t="s">
        <v>1038</v>
      </c>
      <c r="M115" s="521" t="s">
        <v>1039</v>
      </c>
      <c r="N115" s="521" t="s">
        <v>815</v>
      </c>
      <c r="O115" s="22" t="s">
        <v>174</v>
      </c>
      <c r="P115" s="69">
        <v>2016</v>
      </c>
      <c r="Q115" s="414">
        <f t="shared" ca="1" si="6"/>
        <v>3071.8387393744697</v>
      </c>
      <c r="R115" s="335" t="str">
        <f t="shared" ca="1" si="4"/>
        <v>N/A</v>
      </c>
      <c r="S115" s="335" t="str">
        <f t="shared" ca="1" si="5"/>
        <v>N/A</v>
      </c>
      <c r="T115" s="429" t="s">
        <v>899</v>
      </c>
      <c r="U115" s="22" t="str">
        <f>Definitions!C$21</f>
        <v>AL 3826. Natural gas supplied through a single meter to common facilities only, will be billed under rates GM-C, GM-BC or GM-BCC, as appropriate.</v>
      </c>
      <c r="V115" s="24"/>
      <c r="W115" s="21"/>
      <c r="Y115" s="490"/>
    </row>
    <row r="116" spans="1:25" ht="60">
      <c r="A116" s="31">
        <v>113</v>
      </c>
      <c r="B116" s="22" t="s">
        <v>39</v>
      </c>
      <c r="C116" s="22" t="s">
        <v>40</v>
      </c>
      <c r="D116" s="22" t="s">
        <v>170</v>
      </c>
      <c r="E116" s="23" t="s">
        <v>200</v>
      </c>
      <c r="F116" s="22" t="s">
        <v>66</v>
      </c>
      <c r="G116" s="22" t="s">
        <v>53</v>
      </c>
      <c r="H116" s="22" t="s">
        <v>30</v>
      </c>
      <c r="I116" s="22" t="s">
        <v>172</v>
      </c>
      <c r="J116" s="22" t="s">
        <v>212</v>
      </c>
      <c r="K116" s="519" t="s">
        <v>969</v>
      </c>
      <c r="L116" s="521" t="s">
        <v>1040</v>
      </c>
      <c r="M116" s="521" t="s">
        <v>1041</v>
      </c>
      <c r="N116" s="521" t="s">
        <v>815</v>
      </c>
      <c r="O116" s="22" t="s">
        <v>174</v>
      </c>
      <c r="P116" s="69">
        <v>2016</v>
      </c>
      <c r="Q116" s="414">
        <f t="shared" ca="1" si="6"/>
        <v>1843.4718773657135</v>
      </c>
      <c r="R116" s="335" t="str">
        <f t="shared" ca="1" si="4"/>
        <v>N/A</v>
      </c>
      <c r="S116" s="335" t="str">
        <f t="shared" ca="1" si="5"/>
        <v>N/A</v>
      </c>
      <c r="T116" s="429" t="s">
        <v>899</v>
      </c>
      <c r="U116" s="22" t="str">
        <f>Definitions!C$21</f>
        <v>AL 3826. Natural gas supplied through a single meter to common facilities only, will be billed under rates GM-C, GM-BC or GM-BCC, as appropriate.</v>
      </c>
      <c r="V116" s="24"/>
      <c r="W116" s="21"/>
      <c r="Y116" s="490"/>
    </row>
    <row r="117" spans="1:25" ht="30">
      <c r="A117" s="31">
        <v>114</v>
      </c>
      <c r="B117" s="22" t="s">
        <v>39</v>
      </c>
      <c r="C117" s="22" t="s">
        <v>40</v>
      </c>
      <c r="D117" s="22" t="s">
        <v>213</v>
      </c>
      <c r="E117" s="23" t="s">
        <v>42</v>
      </c>
      <c r="F117" s="22" t="s">
        <v>43</v>
      </c>
      <c r="G117" s="22" t="s">
        <v>44</v>
      </c>
      <c r="H117" s="22" t="s">
        <v>30</v>
      </c>
      <c r="I117" s="22" t="s">
        <v>214</v>
      </c>
      <c r="J117" s="19" t="s">
        <v>46</v>
      </c>
      <c r="K117" s="519" t="s">
        <v>969</v>
      </c>
      <c r="L117" s="521" t="s">
        <v>1042</v>
      </c>
      <c r="M117" s="521" t="s">
        <v>1043</v>
      </c>
      <c r="N117" s="521" t="s">
        <v>815</v>
      </c>
      <c r="O117" s="22" t="s">
        <v>174</v>
      </c>
      <c r="P117" s="69">
        <v>2016</v>
      </c>
      <c r="Q117" s="414">
        <f t="shared" ca="1" si="6"/>
        <v>2517.0776141727811</v>
      </c>
      <c r="R117" s="335" t="str">
        <f t="shared" ca="1" si="4"/>
        <v>N/A</v>
      </c>
      <c r="S117" s="335" t="str">
        <f t="shared" ca="1" si="5"/>
        <v>N/A</v>
      </c>
      <c r="T117" s="429" t="s">
        <v>48</v>
      </c>
      <c r="U117" s="22" t="s">
        <v>215</v>
      </c>
      <c r="V117" s="24"/>
      <c r="W117" s="21"/>
      <c r="Y117" s="490"/>
    </row>
    <row r="118" spans="1:25" ht="45">
      <c r="A118" s="31">
        <v>115</v>
      </c>
      <c r="B118" s="22" t="s">
        <v>39</v>
      </c>
      <c r="C118" s="22" t="s">
        <v>216</v>
      </c>
      <c r="D118" s="22" t="s">
        <v>217</v>
      </c>
      <c r="E118" s="23" t="s">
        <v>218</v>
      </c>
      <c r="F118" s="22" t="s">
        <v>108</v>
      </c>
      <c r="G118" s="22" t="s">
        <v>219</v>
      </c>
      <c r="H118" s="22" t="s">
        <v>30</v>
      </c>
      <c r="I118" s="22" t="s">
        <v>220</v>
      </c>
      <c r="J118" s="22" t="s">
        <v>221</v>
      </c>
      <c r="K118" s="519" t="s">
        <v>969</v>
      </c>
      <c r="L118" s="521" t="s">
        <v>1044</v>
      </c>
      <c r="M118" s="521" t="s">
        <v>1045</v>
      </c>
      <c r="N118" s="521" t="s">
        <v>885</v>
      </c>
      <c r="O118" s="22" t="s">
        <v>174</v>
      </c>
      <c r="P118" s="69">
        <v>2016</v>
      </c>
      <c r="Q118" s="414">
        <f t="shared" ca="1" si="6"/>
        <v>1.4341758820431807</v>
      </c>
      <c r="R118" s="335">
        <f t="shared" ca="1" si="4"/>
        <v>0</v>
      </c>
      <c r="S118" s="335">
        <f t="shared" ca="1" si="5"/>
        <v>0</v>
      </c>
      <c r="T118" s="429"/>
      <c r="U118" s="22"/>
      <c r="V118" s="24"/>
      <c r="W118" s="21"/>
      <c r="Y118" s="490"/>
    </row>
    <row r="119" spans="1:25" ht="45">
      <c r="A119" s="31">
        <v>116</v>
      </c>
      <c r="B119" s="22" t="s">
        <v>39</v>
      </c>
      <c r="C119" s="22" t="s">
        <v>216</v>
      </c>
      <c r="D119" s="22" t="s">
        <v>217</v>
      </c>
      <c r="E119" s="23" t="s">
        <v>218</v>
      </c>
      <c r="F119" s="22" t="s">
        <v>112</v>
      </c>
      <c r="G119" s="22" t="s">
        <v>219</v>
      </c>
      <c r="H119" s="22" t="s">
        <v>30</v>
      </c>
      <c r="I119" s="22" t="s">
        <v>220</v>
      </c>
      <c r="J119" s="22" t="s">
        <v>222</v>
      </c>
      <c r="K119" s="519" t="s">
        <v>969</v>
      </c>
      <c r="L119" s="521" t="s">
        <v>1046</v>
      </c>
      <c r="M119" s="521" t="s">
        <v>1047</v>
      </c>
      <c r="N119" s="521" t="s">
        <v>885</v>
      </c>
      <c r="O119" s="22" t="s">
        <v>174</v>
      </c>
      <c r="P119" s="69">
        <v>2016</v>
      </c>
      <c r="Q119" s="414">
        <f t="shared" ca="1" si="6"/>
        <v>5359.3141126908895</v>
      </c>
      <c r="R119" s="335">
        <f t="shared" ca="1" si="4"/>
        <v>0</v>
      </c>
      <c r="S119" s="335">
        <f t="shared" ca="1" si="5"/>
        <v>0</v>
      </c>
      <c r="T119" s="429"/>
      <c r="U119" s="22"/>
      <c r="V119" s="24"/>
      <c r="W119" s="21"/>
      <c r="Y119" s="490"/>
    </row>
    <row r="120" spans="1:25" ht="105">
      <c r="A120" s="31">
        <v>117</v>
      </c>
      <c r="B120" s="22" t="s">
        <v>39</v>
      </c>
      <c r="C120" s="22" t="s">
        <v>216</v>
      </c>
      <c r="D120" s="22" t="s">
        <v>217</v>
      </c>
      <c r="E120" s="23" t="s">
        <v>218</v>
      </c>
      <c r="F120" s="22" t="s">
        <v>114</v>
      </c>
      <c r="G120" s="22" t="s">
        <v>219</v>
      </c>
      <c r="H120" s="22" t="s">
        <v>30</v>
      </c>
      <c r="I120" s="22" t="s">
        <v>220</v>
      </c>
      <c r="J120" s="22" t="s">
        <v>223</v>
      </c>
      <c r="K120" s="519" t="s">
        <v>969</v>
      </c>
      <c r="L120" s="521" t="s">
        <v>1048</v>
      </c>
      <c r="M120" s="521" t="s">
        <v>1049</v>
      </c>
      <c r="N120" s="521" t="s">
        <v>885</v>
      </c>
      <c r="O120" s="22" t="s">
        <v>174</v>
      </c>
      <c r="P120" s="69">
        <v>2016</v>
      </c>
      <c r="Q120" s="414">
        <f t="shared" ca="1" si="6"/>
        <v>57.479199578725648</v>
      </c>
      <c r="R120" s="335">
        <f t="shared" ca="1" si="4"/>
        <v>0</v>
      </c>
      <c r="S120" s="335">
        <f t="shared" ca="1" si="5"/>
        <v>0</v>
      </c>
      <c r="T120" s="429" t="s">
        <v>224</v>
      </c>
      <c r="U120" s="22" t="s">
        <v>225</v>
      </c>
      <c r="V120" s="24"/>
      <c r="W120" s="21"/>
      <c r="Y120" s="490"/>
    </row>
    <row r="121" spans="1:25" ht="45">
      <c r="A121" s="31">
        <v>118</v>
      </c>
      <c r="B121" s="22" t="s">
        <v>39</v>
      </c>
      <c r="C121" s="22" t="s">
        <v>216</v>
      </c>
      <c r="D121" s="22" t="s">
        <v>217</v>
      </c>
      <c r="E121" s="23" t="s">
        <v>226</v>
      </c>
      <c r="F121" s="22" t="s">
        <v>108</v>
      </c>
      <c r="G121" s="22" t="s">
        <v>227</v>
      </c>
      <c r="H121" s="22" t="s">
        <v>30</v>
      </c>
      <c r="I121" s="22" t="s">
        <v>228</v>
      </c>
      <c r="J121" s="101" t="s">
        <v>229</v>
      </c>
      <c r="K121" s="519" t="s">
        <v>969</v>
      </c>
      <c r="L121" s="521" t="s">
        <v>1050</v>
      </c>
      <c r="M121" s="521" t="s">
        <v>1051</v>
      </c>
      <c r="N121" s="521" t="s">
        <v>885</v>
      </c>
      <c r="O121" s="22" t="s">
        <v>174</v>
      </c>
      <c r="P121" s="69">
        <v>2016</v>
      </c>
      <c r="Q121" s="414">
        <f t="shared" ca="1" si="6"/>
        <v>11.26777251184834</v>
      </c>
      <c r="R121" s="335">
        <f t="shared" ca="1" si="4"/>
        <v>0</v>
      </c>
      <c r="S121" s="335">
        <f t="shared" ca="1" si="5"/>
        <v>0</v>
      </c>
      <c r="T121" s="429"/>
      <c r="U121" s="22"/>
      <c r="V121" s="24"/>
      <c r="W121" s="21"/>
      <c r="Y121" s="490"/>
    </row>
    <row r="122" spans="1:25" ht="45">
      <c r="A122" s="31">
        <v>119</v>
      </c>
      <c r="B122" s="22" t="s">
        <v>39</v>
      </c>
      <c r="C122" s="22" t="s">
        <v>216</v>
      </c>
      <c r="D122" s="22" t="s">
        <v>217</v>
      </c>
      <c r="E122" s="23" t="s">
        <v>226</v>
      </c>
      <c r="F122" s="22" t="s">
        <v>112</v>
      </c>
      <c r="G122" s="22" t="s">
        <v>227</v>
      </c>
      <c r="H122" s="22" t="s">
        <v>30</v>
      </c>
      <c r="I122" s="22" t="s">
        <v>228</v>
      </c>
      <c r="J122" s="101" t="s">
        <v>230</v>
      </c>
      <c r="K122" s="519" t="s">
        <v>969</v>
      </c>
      <c r="L122" s="521" t="s">
        <v>1052</v>
      </c>
      <c r="M122" s="521" t="s">
        <v>1053</v>
      </c>
      <c r="N122" s="521" t="s">
        <v>885</v>
      </c>
      <c r="O122" s="22" t="s">
        <v>174</v>
      </c>
      <c r="P122" s="69">
        <v>2016</v>
      </c>
      <c r="Q122" s="414">
        <f t="shared" ca="1" si="6"/>
        <v>42129.538929510527</v>
      </c>
      <c r="R122" s="335">
        <f t="shared" ca="1" si="4"/>
        <v>0</v>
      </c>
      <c r="S122" s="335">
        <f t="shared" ca="1" si="5"/>
        <v>0</v>
      </c>
      <c r="T122" s="429"/>
      <c r="U122" s="22"/>
      <c r="V122" s="24"/>
      <c r="W122" s="21"/>
      <c r="Y122" s="490"/>
    </row>
    <row r="123" spans="1:25" ht="45">
      <c r="A123" s="31">
        <v>120</v>
      </c>
      <c r="B123" s="22" t="s">
        <v>39</v>
      </c>
      <c r="C123" s="22" t="s">
        <v>216</v>
      </c>
      <c r="D123" s="22" t="s">
        <v>217</v>
      </c>
      <c r="E123" s="23" t="s">
        <v>226</v>
      </c>
      <c r="F123" s="22" t="s">
        <v>114</v>
      </c>
      <c r="G123" s="22" t="s">
        <v>227</v>
      </c>
      <c r="H123" s="22" t="s">
        <v>30</v>
      </c>
      <c r="I123" s="22" t="s">
        <v>228</v>
      </c>
      <c r="J123" s="101" t="s">
        <v>231</v>
      </c>
      <c r="K123" s="519" t="s">
        <v>969</v>
      </c>
      <c r="L123" s="521" t="s">
        <v>1054</v>
      </c>
      <c r="M123" s="521" t="s">
        <v>1055</v>
      </c>
      <c r="N123" s="521" t="s">
        <v>885</v>
      </c>
      <c r="O123" s="22" t="s">
        <v>174</v>
      </c>
      <c r="P123" s="69">
        <v>2016</v>
      </c>
      <c r="Q123" s="414">
        <f t="shared" ca="1" si="6"/>
        <v>304.37886208823659</v>
      </c>
      <c r="R123" s="335">
        <f t="shared" ca="1" si="4"/>
        <v>0</v>
      </c>
      <c r="S123" s="335">
        <f t="shared" ca="1" si="5"/>
        <v>0</v>
      </c>
      <c r="T123" s="429" t="s">
        <v>232</v>
      </c>
      <c r="U123" s="22" t="s">
        <v>233</v>
      </c>
      <c r="V123" s="24"/>
      <c r="W123" s="21"/>
      <c r="Y123" s="490"/>
    </row>
    <row r="124" spans="1:25" ht="45">
      <c r="A124" s="31">
        <v>121</v>
      </c>
      <c r="B124" s="22" t="s">
        <v>39</v>
      </c>
      <c r="C124" s="22" t="s">
        <v>216</v>
      </c>
      <c r="D124" s="22" t="s">
        <v>217</v>
      </c>
      <c r="E124" s="23" t="s">
        <v>234</v>
      </c>
      <c r="F124" s="22" t="s">
        <v>108</v>
      </c>
      <c r="G124" s="22" t="s">
        <v>235</v>
      </c>
      <c r="H124" s="22" t="s">
        <v>30</v>
      </c>
      <c r="I124" s="22" t="s">
        <v>236</v>
      </c>
      <c r="J124" s="101" t="s">
        <v>237</v>
      </c>
      <c r="K124" s="519" t="s">
        <v>969</v>
      </c>
      <c r="L124" s="521" t="s">
        <v>1056</v>
      </c>
      <c r="M124" s="521" t="s">
        <v>1057</v>
      </c>
      <c r="N124" s="521" t="s">
        <v>885</v>
      </c>
      <c r="O124" s="22" t="s">
        <v>174</v>
      </c>
      <c r="P124" s="69">
        <v>2016</v>
      </c>
      <c r="Q124" s="414">
        <f t="shared" ca="1" si="6"/>
        <v>1.3624876072368007E-2</v>
      </c>
      <c r="R124" s="335">
        <f t="shared" ca="1" si="4"/>
        <v>0</v>
      </c>
      <c r="S124" s="335">
        <f t="shared" ca="1" si="5"/>
        <v>0</v>
      </c>
      <c r="T124" s="429"/>
      <c r="U124" s="22"/>
      <c r="V124" s="24"/>
      <c r="W124" s="21"/>
      <c r="Y124" s="490"/>
    </row>
    <row r="125" spans="1:25" ht="45">
      <c r="A125" s="31">
        <v>122</v>
      </c>
      <c r="B125" s="22" t="s">
        <v>39</v>
      </c>
      <c r="C125" s="22" t="s">
        <v>216</v>
      </c>
      <c r="D125" s="22" t="s">
        <v>217</v>
      </c>
      <c r="E125" s="23" t="s">
        <v>234</v>
      </c>
      <c r="F125" s="22" t="s">
        <v>112</v>
      </c>
      <c r="G125" s="22" t="s">
        <v>235</v>
      </c>
      <c r="H125" s="22" t="s">
        <v>30</v>
      </c>
      <c r="I125" s="22" t="s">
        <v>236</v>
      </c>
      <c r="J125" s="101" t="s">
        <v>238</v>
      </c>
      <c r="K125" s="519" t="s">
        <v>969</v>
      </c>
      <c r="L125" s="521" t="s">
        <v>1058</v>
      </c>
      <c r="M125" s="521" t="s">
        <v>1059</v>
      </c>
      <c r="N125" s="521" t="s">
        <v>885</v>
      </c>
      <c r="O125" s="22" t="s">
        <v>174</v>
      </c>
      <c r="P125" s="69">
        <v>2016</v>
      </c>
      <c r="Q125" s="414">
        <f t="shared" ca="1" si="6"/>
        <v>50.942610555635461</v>
      </c>
      <c r="R125" s="335">
        <f t="shared" ca="1" si="4"/>
        <v>0</v>
      </c>
      <c r="S125" s="335">
        <f t="shared" ca="1" si="5"/>
        <v>0</v>
      </c>
      <c r="T125" s="429"/>
      <c r="U125" s="22"/>
      <c r="V125" s="24"/>
      <c r="W125" s="21"/>
      <c r="Y125" s="490"/>
    </row>
    <row r="126" spans="1:25" ht="45">
      <c r="A126" s="31">
        <v>123</v>
      </c>
      <c r="B126" s="22" t="s">
        <v>39</v>
      </c>
      <c r="C126" s="22" t="s">
        <v>216</v>
      </c>
      <c r="D126" s="22" t="s">
        <v>217</v>
      </c>
      <c r="E126" s="23" t="s">
        <v>234</v>
      </c>
      <c r="F126" s="22" t="s">
        <v>114</v>
      </c>
      <c r="G126" s="22" t="s">
        <v>235</v>
      </c>
      <c r="H126" s="22" t="s">
        <v>30</v>
      </c>
      <c r="I126" s="22" t="s">
        <v>236</v>
      </c>
      <c r="J126" s="101" t="s">
        <v>239</v>
      </c>
      <c r="K126" s="519" t="s">
        <v>969</v>
      </c>
      <c r="L126" s="521" t="s">
        <v>1060</v>
      </c>
      <c r="M126" s="521" t="s">
        <v>1061</v>
      </c>
      <c r="N126" s="521" t="s">
        <v>885</v>
      </c>
      <c r="O126" s="22" t="s">
        <v>174</v>
      </c>
      <c r="P126" s="69">
        <v>2016</v>
      </c>
      <c r="Q126" s="414">
        <f t="shared" ca="1" si="6"/>
        <v>0.36805217281672464</v>
      </c>
      <c r="R126" s="335">
        <f t="shared" ca="1" si="4"/>
        <v>0</v>
      </c>
      <c r="S126" s="335">
        <f t="shared" ca="1" si="5"/>
        <v>0</v>
      </c>
      <c r="T126" s="429" t="s">
        <v>240</v>
      </c>
      <c r="U126" s="22" t="s">
        <v>117</v>
      </c>
      <c r="V126" s="24"/>
      <c r="W126" s="21"/>
      <c r="Y126" s="490"/>
    </row>
    <row r="127" spans="1:25" ht="90">
      <c r="A127" s="31">
        <v>124</v>
      </c>
      <c r="B127" s="22" t="s">
        <v>39</v>
      </c>
      <c r="C127" s="22" t="s">
        <v>216</v>
      </c>
      <c r="D127" s="22" t="s">
        <v>241</v>
      </c>
      <c r="E127" s="23" t="s">
        <v>242</v>
      </c>
      <c r="F127" s="22" t="s">
        <v>142</v>
      </c>
      <c r="G127" s="22" t="s">
        <v>143</v>
      </c>
      <c r="H127" s="22" t="s">
        <v>30</v>
      </c>
      <c r="I127" s="22" t="s">
        <v>243</v>
      </c>
      <c r="J127" s="22" t="s">
        <v>244</v>
      </c>
      <c r="K127" s="519" t="s">
        <v>969</v>
      </c>
      <c r="L127" s="521" t="s">
        <v>1062</v>
      </c>
      <c r="M127" s="521" t="s">
        <v>1063</v>
      </c>
      <c r="N127" s="521" t="s">
        <v>885</v>
      </c>
      <c r="O127" s="22" t="s">
        <v>174</v>
      </c>
      <c r="P127" s="69">
        <v>2016</v>
      </c>
      <c r="Q127" s="533">
        <f t="shared" ca="1" si="6"/>
        <v>1.784727291138386E-3</v>
      </c>
      <c r="R127" s="335">
        <f t="shared" ca="1" si="4"/>
        <v>0</v>
      </c>
      <c r="S127" s="335">
        <f t="shared" ca="1" si="5"/>
        <v>0</v>
      </c>
      <c r="T127" s="429" t="s">
        <v>245</v>
      </c>
      <c r="U127" s="22" t="s">
        <v>246</v>
      </c>
      <c r="V127" s="24"/>
      <c r="W127" s="21"/>
      <c r="Y127" s="490"/>
    </row>
    <row r="128" spans="1:25" ht="90">
      <c r="A128" s="31">
        <v>125</v>
      </c>
      <c r="B128" s="22" t="s">
        <v>39</v>
      </c>
      <c r="C128" s="22" t="s">
        <v>216</v>
      </c>
      <c r="D128" s="22" t="s">
        <v>241</v>
      </c>
      <c r="E128" s="23" t="s">
        <v>247</v>
      </c>
      <c r="F128" s="22" t="s">
        <v>142</v>
      </c>
      <c r="G128" s="22" t="s">
        <v>143</v>
      </c>
      <c r="H128" s="22" t="s">
        <v>30</v>
      </c>
      <c r="I128" s="22" t="s">
        <v>248</v>
      </c>
      <c r="J128" s="22" t="s">
        <v>249</v>
      </c>
      <c r="K128" s="519" t="s">
        <v>969</v>
      </c>
      <c r="L128" s="521" t="s">
        <v>1064</v>
      </c>
      <c r="M128" s="521" t="s">
        <v>1065</v>
      </c>
      <c r="N128" s="521" t="s">
        <v>885</v>
      </c>
      <c r="O128" s="22" t="s">
        <v>174</v>
      </c>
      <c r="P128" s="69">
        <v>2016</v>
      </c>
      <c r="Q128" s="533">
        <f t="shared" ca="1" si="6"/>
        <v>1.5543325580859833E-3</v>
      </c>
      <c r="R128" s="335">
        <f t="shared" ca="1" si="4"/>
        <v>0</v>
      </c>
      <c r="S128" s="335">
        <f t="shared" ca="1" si="5"/>
        <v>0</v>
      </c>
      <c r="T128" s="429" t="s">
        <v>250</v>
      </c>
      <c r="U128" s="22" t="s">
        <v>251</v>
      </c>
      <c r="V128" s="24"/>
      <c r="W128" s="21"/>
      <c r="Y128" s="490"/>
    </row>
    <row r="129" spans="1:25" ht="75">
      <c r="A129" s="31">
        <v>126</v>
      </c>
      <c r="B129" s="22" t="s">
        <v>39</v>
      </c>
      <c r="C129" s="22" t="s">
        <v>216</v>
      </c>
      <c r="D129" s="22" t="s">
        <v>241</v>
      </c>
      <c r="E129" s="23" t="s">
        <v>252</v>
      </c>
      <c r="F129" s="22" t="s">
        <v>142</v>
      </c>
      <c r="G129" s="22" t="s">
        <v>253</v>
      </c>
      <c r="H129" s="22" t="s">
        <v>30</v>
      </c>
      <c r="I129" s="22" t="s">
        <v>254</v>
      </c>
      <c r="J129" s="22" t="s">
        <v>255</v>
      </c>
      <c r="K129" s="519" t="s">
        <v>969</v>
      </c>
      <c r="L129" s="521" t="s">
        <v>1066</v>
      </c>
      <c r="M129" s="521" t="s">
        <v>1067</v>
      </c>
      <c r="N129" s="521" t="s">
        <v>885</v>
      </c>
      <c r="O129" s="22" t="s">
        <v>174</v>
      </c>
      <c r="P129" s="69">
        <v>2016</v>
      </c>
      <c r="Q129" s="533">
        <f t="shared" ca="1" si="6"/>
        <v>1.4239845408019038E-3</v>
      </c>
      <c r="R129" s="335">
        <f t="shared" ca="1" si="4"/>
        <v>0</v>
      </c>
      <c r="S129" s="335">
        <f t="shared" ca="1" si="5"/>
        <v>0</v>
      </c>
      <c r="T129" s="429" t="s">
        <v>256</v>
      </c>
      <c r="U129" s="22"/>
      <c r="V129" s="24"/>
      <c r="W129" s="21"/>
      <c r="Y129" s="490"/>
    </row>
    <row r="130" spans="1:25" ht="75">
      <c r="A130" s="31">
        <v>127</v>
      </c>
      <c r="B130" s="22" t="s">
        <v>39</v>
      </c>
      <c r="C130" s="22" t="s">
        <v>216</v>
      </c>
      <c r="D130" s="22" t="s">
        <v>241</v>
      </c>
      <c r="E130" s="23" t="s">
        <v>257</v>
      </c>
      <c r="F130" s="22" t="s">
        <v>142</v>
      </c>
      <c r="G130" s="22" t="s">
        <v>149</v>
      </c>
      <c r="H130" s="22" t="s">
        <v>30</v>
      </c>
      <c r="I130" s="22" t="s">
        <v>258</v>
      </c>
      <c r="J130" s="22" t="s">
        <v>151</v>
      </c>
      <c r="K130" s="519" t="s">
        <v>969</v>
      </c>
      <c r="L130" s="521" t="s">
        <v>1068</v>
      </c>
      <c r="M130" s="521" t="s">
        <v>1069</v>
      </c>
      <c r="N130" s="521" t="s">
        <v>885</v>
      </c>
      <c r="O130" s="22" t="s">
        <v>174</v>
      </c>
      <c r="P130" s="69">
        <v>2016</v>
      </c>
      <c r="Q130" s="533">
        <f t="shared" ca="1" si="6"/>
        <v>2.4184587227923395E-3</v>
      </c>
      <c r="R130" s="335">
        <f t="shared" ca="1" si="4"/>
        <v>0</v>
      </c>
      <c r="S130" s="335">
        <f t="shared" ca="1" si="5"/>
        <v>0</v>
      </c>
      <c r="T130" s="429" t="s">
        <v>259</v>
      </c>
      <c r="U130" s="22" t="s">
        <v>260</v>
      </c>
      <c r="V130" s="24"/>
      <c r="W130" s="21"/>
      <c r="Y130" s="490"/>
    </row>
    <row r="131" spans="1:25" ht="105">
      <c r="A131" s="31">
        <v>128</v>
      </c>
      <c r="B131" s="22" t="s">
        <v>39</v>
      </c>
      <c r="C131" s="22" t="s">
        <v>216</v>
      </c>
      <c r="D131" s="22" t="s">
        <v>241</v>
      </c>
      <c r="E131" s="23" t="s">
        <v>261</v>
      </c>
      <c r="F131" s="22" t="s">
        <v>142</v>
      </c>
      <c r="G131" s="22" t="s">
        <v>154</v>
      </c>
      <c r="H131" s="22" t="s">
        <v>30</v>
      </c>
      <c r="I131" s="22" t="s">
        <v>262</v>
      </c>
      <c r="J131" s="22" t="s">
        <v>263</v>
      </c>
      <c r="K131" s="519" t="s">
        <v>969</v>
      </c>
      <c r="L131" s="521" t="s">
        <v>1070</v>
      </c>
      <c r="M131" s="521" t="s">
        <v>1071</v>
      </c>
      <c r="N131" s="521" t="s">
        <v>885</v>
      </c>
      <c r="O131" s="22" t="s">
        <v>174</v>
      </c>
      <c r="P131" s="69">
        <v>2016</v>
      </c>
      <c r="Q131" s="533">
        <f t="shared" ca="1" si="6"/>
        <v>1.7736248999632297E-3</v>
      </c>
      <c r="R131" s="335">
        <f t="shared" ref="R131:R194" ca="1" si="7">IF($N131 = "N","N/A",SUMIF(INDIRECT("'"&amp;K131&amp;"'!i:i"),L131,INDIRECT("'"&amp;K131&amp;"'!k:k")))</f>
        <v>0</v>
      </c>
      <c r="S131" s="335">
        <f t="shared" ref="S131:S194" ca="1" si="8">IF($N131 = "N","N/A",SUMIF(INDIRECT("'"&amp;K131&amp;"'!i:i"),M131,INDIRECT("'"&amp;K131&amp;"'!k:k")))</f>
        <v>0</v>
      </c>
      <c r="T131" s="429" t="s">
        <v>157</v>
      </c>
      <c r="U131"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31" s="24"/>
      <c r="W131" s="21"/>
      <c r="Y131" s="490"/>
    </row>
    <row r="132" spans="1:25" ht="60">
      <c r="A132" s="31">
        <v>129</v>
      </c>
      <c r="B132" s="22" t="s">
        <v>39</v>
      </c>
      <c r="C132" s="22" t="s">
        <v>216</v>
      </c>
      <c r="D132" s="22" t="s">
        <v>264</v>
      </c>
      <c r="E132" s="23" t="s">
        <v>265</v>
      </c>
      <c r="F132" s="22" t="s">
        <v>142</v>
      </c>
      <c r="G132" s="22" t="s">
        <v>266</v>
      </c>
      <c r="H132" s="22" t="s">
        <v>30</v>
      </c>
      <c r="I132" s="22" t="s">
        <v>267</v>
      </c>
      <c r="J132" s="22" t="s">
        <v>268</v>
      </c>
      <c r="K132" s="519" t="s">
        <v>969</v>
      </c>
      <c r="L132" s="521" t="s">
        <v>1072</v>
      </c>
      <c r="M132" s="521" t="s">
        <v>1073</v>
      </c>
      <c r="N132" s="521" t="s">
        <v>885</v>
      </c>
      <c r="O132" s="22" t="s">
        <v>174</v>
      </c>
      <c r="P132" s="69">
        <v>2016</v>
      </c>
      <c r="Q132" s="533">
        <f t="shared" ca="1" si="6"/>
        <v>2.3909472531483848E-2</v>
      </c>
      <c r="R132" s="335">
        <f t="shared" ca="1" si="7"/>
        <v>0</v>
      </c>
      <c r="S132" s="335">
        <f t="shared" ca="1" si="8"/>
        <v>0</v>
      </c>
      <c r="T132" s="429" t="s">
        <v>269</v>
      </c>
      <c r="U132" s="22"/>
      <c r="V132" s="24"/>
      <c r="W132" s="21"/>
      <c r="Y132" s="490"/>
    </row>
    <row r="133" spans="1:25" ht="45">
      <c r="A133" s="31">
        <v>130</v>
      </c>
      <c r="B133" s="22" t="s">
        <v>39</v>
      </c>
      <c r="C133" s="22" t="s">
        <v>216</v>
      </c>
      <c r="D133" s="22" t="s">
        <v>264</v>
      </c>
      <c r="E133" s="23" t="s">
        <v>270</v>
      </c>
      <c r="F133" s="22" t="s">
        <v>142</v>
      </c>
      <c r="G133" s="22" t="s">
        <v>271</v>
      </c>
      <c r="H133" s="22" t="s">
        <v>30</v>
      </c>
      <c r="I133" s="22" t="s">
        <v>272</v>
      </c>
      <c r="J133" s="22" t="s">
        <v>273</v>
      </c>
      <c r="K133" s="519" t="s">
        <v>969</v>
      </c>
      <c r="L133" s="521" t="s">
        <v>1074</v>
      </c>
      <c r="M133" s="521" t="s">
        <v>1075</v>
      </c>
      <c r="N133" s="521" t="s">
        <v>885</v>
      </c>
      <c r="O133" s="22" t="s">
        <v>174</v>
      </c>
      <c r="P133" s="69">
        <v>2016</v>
      </c>
      <c r="Q133" s="533">
        <f t="shared" ca="1" si="6"/>
        <v>3.1512605042016806E-2</v>
      </c>
      <c r="R133" s="335">
        <f t="shared" ca="1" si="7"/>
        <v>0</v>
      </c>
      <c r="S133" s="335">
        <f t="shared" ca="1" si="8"/>
        <v>0</v>
      </c>
      <c r="T133" s="429" t="s">
        <v>274</v>
      </c>
      <c r="U133" s="22"/>
      <c r="V133" s="24"/>
      <c r="W133" s="21"/>
      <c r="Y133" s="490"/>
    </row>
    <row r="134" spans="1:25" ht="30">
      <c r="A134" s="31">
        <v>131</v>
      </c>
      <c r="B134" s="22" t="s">
        <v>39</v>
      </c>
      <c r="C134" s="22" t="s">
        <v>216</v>
      </c>
      <c r="D134" s="22" t="s">
        <v>275</v>
      </c>
      <c r="E134" s="23" t="s">
        <v>91</v>
      </c>
      <c r="F134" s="22" t="s">
        <v>92</v>
      </c>
      <c r="G134" s="22" t="s">
        <v>93</v>
      </c>
      <c r="H134" s="22" t="s">
        <v>30</v>
      </c>
      <c r="I134" s="22" t="s">
        <v>276</v>
      </c>
      <c r="J134" s="22" t="s">
        <v>92</v>
      </c>
      <c r="K134" s="519" t="s">
        <v>969</v>
      </c>
      <c r="L134" s="521" t="s">
        <v>1076</v>
      </c>
      <c r="M134" s="521" t="s">
        <v>1077</v>
      </c>
      <c r="N134" s="521" t="s">
        <v>885</v>
      </c>
      <c r="O134" s="22" t="s">
        <v>174</v>
      </c>
      <c r="P134" s="69">
        <v>2016</v>
      </c>
      <c r="Q134" s="414">
        <f t="shared" ca="1" si="6"/>
        <v>562.91022488755902</v>
      </c>
      <c r="R134" s="335">
        <f t="shared" ca="1" si="7"/>
        <v>0</v>
      </c>
      <c r="S134" s="335">
        <f t="shared" ca="1" si="8"/>
        <v>0</v>
      </c>
      <c r="T134" s="429"/>
      <c r="U134" s="22"/>
      <c r="V134" s="24"/>
      <c r="W134" s="21"/>
      <c r="Y134" s="490"/>
    </row>
    <row r="135" spans="1:25" ht="30">
      <c r="A135" s="31">
        <v>132</v>
      </c>
      <c r="B135" s="22" t="s">
        <v>39</v>
      </c>
      <c r="C135" s="22" t="s">
        <v>216</v>
      </c>
      <c r="D135" s="22" t="s">
        <v>275</v>
      </c>
      <c r="E135" s="23" t="s">
        <v>91</v>
      </c>
      <c r="F135" s="22" t="s">
        <v>95</v>
      </c>
      <c r="G135" s="22" t="s">
        <v>93</v>
      </c>
      <c r="H135" s="22" t="s">
        <v>30</v>
      </c>
      <c r="I135" s="22" t="s">
        <v>276</v>
      </c>
      <c r="J135" s="22" t="s">
        <v>95</v>
      </c>
      <c r="K135" s="519" t="s">
        <v>969</v>
      </c>
      <c r="L135" s="521" t="s">
        <v>1078</v>
      </c>
      <c r="M135" s="521" t="s">
        <v>1079</v>
      </c>
      <c r="N135" s="521" t="s">
        <v>885</v>
      </c>
      <c r="O135" s="22" t="s">
        <v>174</v>
      </c>
      <c r="P135" s="69">
        <v>2016</v>
      </c>
      <c r="Q135" s="414">
        <f t="shared" ca="1" si="6"/>
        <v>0.15063111798501147</v>
      </c>
      <c r="R135" s="335">
        <f t="shared" ca="1" si="7"/>
        <v>0</v>
      </c>
      <c r="S135" s="335">
        <f t="shared" ca="1" si="8"/>
        <v>0</v>
      </c>
      <c r="T135" s="429"/>
      <c r="U135" s="22"/>
      <c r="V135" s="24"/>
      <c r="W135" s="21"/>
      <c r="Y135" s="490"/>
    </row>
    <row r="136" spans="1:25" ht="30">
      <c r="A136" s="31">
        <v>133</v>
      </c>
      <c r="B136" s="22" t="s">
        <v>39</v>
      </c>
      <c r="C136" s="22" t="s">
        <v>216</v>
      </c>
      <c r="D136" s="22" t="s">
        <v>275</v>
      </c>
      <c r="E136" s="23" t="s">
        <v>91</v>
      </c>
      <c r="F136" s="22" t="s">
        <v>96</v>
      </c>
      <c r="G136" s="22" t="s">
        <v>93</v>
      </c>
      <c r="H136" s="22" t="s">
        <v>30</v>
      </c>
      <c r="I136" s="22" t="s">
        <v>276</v>
      </c>
      <c r="J136" s="22" t="s">
        <v>96</v>
      </c>
      <c r="K136" s="519" t="s">
        <v>969</v>
      </c>
      <c r="L136" s="521" t="s">
        <v>1080</v>
      </c>
      <c r="M136" s="521" t="s">
        <v>1081</v>
      </c>
      <c r="N136" s="521" t="s">
        <v>885</v>
      </c>
      <c r="O136" s="22" t="s">
        <v>174</v>
      </c>
      <c r="P136" s="69">
        <v>2016</v>
      </c>
      <c r="Q136" s="414">
        <f t="shared" ca="1" si="6"/>
        <v>0.95696816915946536</v>
      </c>
      <c r="R136" s="335">
        <f t="shared" ca="1" si="7"/>
        <v>0</v>
      </c>
      <c r="S136" s="335">
        <f t="shared" ca="1" si="8"/>
        <v>0</v>
      </c>
      <c r="T136" s="429" t="s">
        <v>48</v>
      </c>
      <c r="U136" s="22" t="s">
        <v>49</v>
      </c>
      <c r="V136" s="24"/>
      <c r="W136" s="21"/>
      <c r="Y136" s="490"/>
    </row>
    <row r="137" spans="1:25" ht="30">
      <c r="A137" s="31">
        <v>134</v>
      </c>
      <c r="B137" s="22" t="s">
        <v>39</v>
      </c>
      <c r="C137" s="22" t="s">
        <v>216</v>
      </c>
      <c r="D137" s="22" t="s">
        <v>275</v>
      </c>
      <c r="E137" s="23" t="s">
        <v>91</v>
      </c>
      <c r="F137" s="22" t="s">
        <v>97</v>
      </c>
      <c r="G137" s="22" t="s">
        <v>93</v>
      </c>
      <c r="H137" s="22" t="s">
        <v>30</v>
      </c>
      <c r="I137" s="22" t="s">
        <v>276</v>
      </c>
      <c r="J137" s="22" t="s">
        <v>97</v>
      </c>
      <c r="K137" s="519" t="s">
        <v>969</v>
      </c>
      <c r="L137" s="521" t="s">
        <v>1082</v>
      </c>
      <c r="M137" s="521" t="s">
        <v>1083</v>
      </c>
      <c r="N137" s="521" t="s">
        <v>885</v>
      </c>
      <c r="O137" s="22" t="s">
        <v>174</v>
      </c>
      <c r="P137" s="69">
        <v>2016</v>
      </c>
      <c r="Q137" s="414">
        <f t="shared" ca="1" si="6"/>
        <v>694.25857685114306</v>
      </c>
      <c r="R137" s="335">
        <f t="shared" ca="1" si="7"/>
        <v>0</v>
      </c>
      <c r="S137" s="335">
        <f t="shared" ca="1" si="8"/>
        <v>0</v>
      </c>
      <c r="T137" s="429"/>
      <c r="U137" s="22"/>
      <c r="V137" s="24"/>
      <c r="W137" s="21"/>
      <c r="Y137" s="490"/>
    </row>
    <row r="138" spans="1:25" ht="30">
      <c r="A138" s="31">
        <v>135</v>
      </c>
      <c r="B138" s="22" t="s">
        <v>39</v>
      </c>
      <c r="C138" s="22" t="s">
        <v>216</v>
      </c>
      <c r="D138" s="22" t="s">
        <v>275</v>
      </c>
      <c r="E138" s="23" t="s">
        <v>91</v>
      </c>
      <c r="F138" s="22" t="s">
        <v>98</v>
      </c>
      <c r="G138" s="22" t="s">
        <v>93</v>
      </c>
      <c r="H138" s="22" t="s">
        <v>30</v>
      </c>
      <c r="I138" s="22" t="s">
        <v>276</v>
      </c>
      <c r="J138" s="22" t="s">
        <v>98</v>
      </c>
      <c r="K138" s="519" t="s">
        <v>969</v>
      </c>
      <c r="L138" s="521" t="s">
        <v>1084</v>
      </c>
      <c r="M138" s="521" t="s">
        <v>1085</v>
      </c>
      <c r="N138" s="521" t="s">
        <v>885</v>
      </c>
      <c r="O138" s="22" t="s">
        <v>174</v>
      </c>
      <c r="P138" s="69">
        <v>2016</v>
      </c>
      <c r="Q138" s="414">
        <f t="shared" ca="1" si="6"/>
        <v>0.18577908337454674</v>
      </c>
      <c r="R138" s="335">
        <f t="shared" ca="1" si="7"/>
        <v>0</v>
      </c>
      <c r="S138" s="335">
        <f t="shared" ca="1" si="8"/>
        <v>0</v>
      </c>
      <c r="T138" s="429"/>
      <c r="U138" s="22"/>
      <c r="V138" s="24"/>
      <c r="W138" s="21"/>
      <c r="Y138" s="490"/>
    </row>
    <row r="139" spans="1:25" ht="30">
      <c r="A139" s="31">
        <v>136</v>
      </c>
      <c r="B139" s="22" t="s">
        <v>39</v>
      </c>
      <c r="C139" s="22" t="s">
        <v>216</v>
      </c>
      <c r="D139" s="22" t="s">
        <v>275</v>
      </c>
      <c r="E139" s="23" t="s">
        <v>91</v>
      </c>
      <c r="F139" s="22" t="s">
        <v>99</v>
      </c>
      <c r="G139" s="22" t="s">
        <v>93</v>
      </c>
      <c r="H139" s="22" t="s">
        <v>30</v>
      </c>
      <c r="I139" s="22" t="s">
        <v>276</v>
      </c>
      <c r="J139" s="22" t="s">
        <v>99</v>
      </c>
      <c r="K139" s="519" t="s">
        <v>969</v>
      </c>
      <c r="L139" s="521" t="s">
        <v>1086</v>
      </c>
      <c r="M139" s="521" t="s">
        <v>1087</v>
      </c>
      <c r="N139" s="521" t="s">
        <v>885</v>
      </c>
      <c r="O139" s="22" t="s">
        <v>174</v>
      </c>
      <c r="P139" s="69">
        <v>2016</v>
      </c>
      <c r="Q139" s="414">
        <f t="shared" ca="1" si="6"/>
        <v>1.1802652178599251</v>
      </c>
      <c r="R139" s="335">
        <f t="shared" ca="1" si="7"/>
        <v>0</v>
      </c>
      <c r="S139" s="335">
        <f t="shared" ca="1" si="8"/>
        <v>0</v>
      </c>
      <c r="T139" s="429" t="s">
        <v>48</v>
      </c>
      <c r="U139" s="22" t="s">
        <v>49</v>
      </c>
      <c r="V139" s="24"/>
      <c r="W139" s="21"/>
      <c r="Y139" s="490"/>
    </row>
    <row r="140" spans="1:25" ht="45">
      <c r="A140" s="31">
        <v>137</v>
      </c>
      <c r="B140" s="22" t="s">
        <v>39</v>
      </c>
      <c r="C140" s="22" t="s">
        <v>216</v>
      </c>
      <c r="D140" s="22" t="s">
        <v>277</v>
      </c>
      <c r="E140" s="23" t="s">
        <v>278</v>
      </c>
      <c r="F140" s="22" t="s">
        <v>279</v>
      </c>
      <c r="G140" s="22" t="s">
        <v>280</v>
      </c>
      <c r="H140" s="22" t="s">
        <v>164</v>
      </c>
      <c r="I140" s="22" t="s">
        <v>281</v>
      </c>
      <c r="J140" s="22" t="s">
        <v>282</v>
      </c>
      <c r="K140" s="519" t="s">
        <v>969</v>
      </c>
      <c r="L140" s="521" t="s">
        <v>1088</v>
      </c>
      <c r="M140" s="521" t="s">
        <v>1089</v>
      </c>
      <c r="N140" s="521" t="s">
        <v>885</v>
      </c>
      <c r="O140" s="22" t="s">
        <v>174</v>
      </c>
      <c r="P140" s="69" t="s">
        <v>167</v>
      </c>
      <c r="Q140" s="414" t="s">
        <v>167</v>
      </c>
      <c r="R140" s="335">
        <f t="shared" ca="1" si="7"/>
        <v>0</v>
      </c>
      <c r="S140" s="335">
        <f t="shared" ca="1" si="8"/>
        <v>0</v>
      </c>
      <c r="T140" s="429" t="s">
        <v>283</v>
      </c>
      <c r="U140" s="22"/>
      <c r="V140" s="24"/>
      <c r="W140" s="21"/>
      <c r="Y140" s="490"/>
    </row>
    <row r="141" spans="1:25" ht="60">
      <c r="A141" s="31">
        <v>138</v>
      </c>
      <c r="B141" s="22" t="s">
        <v>39</v>
      </c>
      <c r="C141" s="22" t="s">
        <v>216</v>
      </c>
      <c r="D141" s="22" t="s">
        <v>277</v>
      </c>
      <c r="E141" s="23" t="s">
        <v>284</v>
      </c>
      <c r="F141" s="22" t="s">
        <v>285</v>
      </c>
      <c r="G141" s="22" t="s">
        <v>286</v>
      </c>
      <c r="H141" s="22" t="s">
        <v>164</v>
      </c>
      <c r="I141" s="22" t="s">
        <v>287</v>
      </c>
      <c r="J141" s="22" t="s">
        <v>288</v>
      </c>
      <c r="K141" s="519" t="s">
        <v>969</v>
      </c>
      <c r="L141" s="521" t="s">
        <v>1090</v>
      </c>
      <c r="M141" s="521" t="s">
        <v>1091</v>
      </c>
      <c r="N141" s="521" t="s">
        <v>885</v>
      </c>
      <c r="O141" s="22" t="s">
        <v>174</v>
      </c>
      <c r="P141" s="69" t="s">
        <v>167</v>
      </c>
      <c r="Q141" s="414" t="s">
        <v>167</v>
      </c>
      <c r="R141" s="335">
        <f t="shared" ca="1" si="7"/>
        <v>0</v>
      </c>
      <c r="S141" s="335">
        <f t="shared" ca="1" si="8"/>
        <v>0</v>
      </c>
      <c r="T141" s="429" t="s">
        <v>289</v>
      </c>
      <c r="U141" s="22"/>
      <c r="V141" s="24"/>
      <c r="W141" s="21"/>
      <c r="Y141" s="490"/>
    </row>
    <row r="142" spans="1:25" ht="45">
      <c r="A142" s="31">
        <v>139</v>
      </c>
      <c r="B142" s="22" t="s">
        <v>39</v>
      </c>
      <c r="C142" s="22" t="s">
        <v>290</v>
      </c>
      <c r="D142" s="22" t="s">
        <v>291</v>
      </c>
      <c r="E142" s="23" t="s">
        <v>51</v>
      </c>
      <c r="F142" s="22" t="s">
        <v>52</v>
      </c>
      <c r="G142" s="22" t="s">
        <v>53</v>
      </c>
      <c r="H142" s="22" t="s">
        <v>30</v>
      </c>
      <c r="I142" s="22" t="s">
        <v>292</v>
      </c>
      <c r="J142" s="22" t="s">
        <v>52</v>
      </c>
      <c r="K142" s="519" t="s">
        <v>1092</v>
      </c>
      <c r="L142" s="521" t="s">
        <v>1093</v>
      </c>
      <c r="M142" s="521" t="s">
        <v>1094</v>
      </c>
      <c r="N142" s="521" t="s">
        <v>815</v>
      </c>
      <c r="O142" s="22" t="s">
        <v>293</v>
      </c>
      <c r="P142" s="69">
        <v>2016</v>
      </c>
      <c r="Q142" s="414">
        <f t="shared" ref="Q142:Q185" ca="1" si="9">SUMIF(INDIRECT("'"&amp;K142&amp;"'!c:c"),A142,INDIRECT("'"&amp;K142&amp;"'!d:d"))</f>
        <v>20942.4105399621</v>
      </c>
      <c r="R142" s="335" t="str">
        <f t="shared" ca="1" si="7"/>
        <v>N/A</v>
      </c>
      <c r="S142" s="335" t="str">
        <f t="shared" ca="1" si="8"/>
        <v>N/A</v>
      </c>
      <c r="T142" s="429" t="s">
        <v>899</v>
      </c>
      <c r="U142" s="22"/>
      <c r="V142" s="24"/>
      <c r="W142" s="21"/>
      <c r="Y142" s="490"/>
    </row>
    <row r="143" spans="1:25" ht="45">
      <c r="A143" s="31">
        <v>140</v>
      </c>
      <c r="B143" s="22" t="s">
        <v>39</v>
      </c>
      <c r="C143" s="22" t="s">
        <v>290</v>
      </c>
      <c r="D143" s="22" t="s">
        <v>291</v>
      </c>
      <c r="E143" s="23" t="s">
        <v>51</v>
      </c>
      <c r="F143" s="22" t="s">
        <v>55</v>
      </c>
      <c r="G143" s="22" t="s">
        <v>53</v>
      </c>
      <c r="H143" s="22" t="s">
        <v>30</v>
      </c>
      <c r="I143" s="22" t="s">
        <v>292</v>
      </c>
      <c r="J143" s="22" t="s">
        <v>55</v>
      </c>
      <c r="K143" s="519" t="s">
        <v>1092</v>
      </c>
      <c r="L143" s="521" t="s">
        <v>1095</v>
      </c>
      <c r="M143" s="521" t="s">
        <v>1096</v>
      </c>
      <c r="N143" s="521" t="s">
        <v>815</v>
      </c>
      <c r="O143" s="22" t="s">
        <v>293</v>
      </c>
      <c r="P143" s="69">
        <v>2016</v>
      </c>
      <c r="Q143" s="414">
        <f t="shared" ca="1" si="9"/>
        <v>13928.8118527406</v>
      </c>
      <c r="R143" s="335" t="str">
        <f t="shared" ca="1" si="7"/>
        <v>N/A</v>
      </c>
      <c r="S143" s="335" t="str">
        <f t="shared" ca="1" si="8"/>
        <v>N/A</v>
      </c>
      <c r="T143" s="429" t="s">
        <v>899</v>
      </c>
      <c r="U143" s="22"/>
      <c r="V143" s="24"/>
      <c r="W143" s="21"/>
      <c r="Y143" s="490"/>
    </row>
    <row r="144" spans="1:25" ht="45">
      <c r="A144" s="31">
        <v>141</v>
      </c>
      <c r="B144" s="22" t="s">
        <v>39</v>
      </c>
      <c r="C144" s="22" t="s">
        <v>290</v>
      </c>
      <c r="D144" s="22" t="s">
        <v>291</v>
      </c>
      <c r="E144" s="23" t="s">
        <v>51</v>
      </c>
      <c r="F144" s="22" t="s">
        <v>56</v>
      </c>
      <c r="G144" s="22" t="s">
        <v>53</v>
      </c>
      <c r="H144" s="22" t="s">
        <v>30</v>
      </c>
      <c r="I144" s="22" t="s">
        <v>292</v>
      </c>
      <c r="J144" s="22" t="s">
        <v>56</v>
      </c>
      <c r="K144" s="519" t="s">
        <v>1092</v>
      </c>
      <c r="L144" s="521" t="s">
        <v>1097</v>
      </c>
      <c r="M144" s="521" t="s">
        <v>1098</v>
      </c>
      <c r="N144" s="521" t="s">
        <v>815</v>
      </c>
      <c r="O144" s="22" t="s">
        <v>293</v>
      </c>
      <c r="P144" s="69">
        <v>2016</v>
      </c>
      <c r="Q144" s="414">
        <f t="shared" ca="1" si="9"/>
        <v>104208248.482759</v>
      </c>
      <c r="R144" s="335" t="str">
        <f t="shared" ca="1" si="7"/>
        <v>N/A</v>
      </c>
      <c r="S144" s="335" t="str">
        <f t="shared" ca="1" si="8"/>
        <v>N/A</v>
      </c>
      <c r="T144" s="429" t="s">
        <v>899</v>
      </c>
      <c r="U144" s="22"/>
      <c r="V144" s="24"/>
      <c r="W144" s="21"/>
      <c r="Y144" s="490"/>
    </row>
    <row r="145" spans="1:25" ht="45">
      <c r="A145" s="31">
        <v>142</v>
      </c>
      <c r="B145" s="22" t="s">
        <v>39</v>
      </c>
      <c r="C145" s="22" t="s">
        <v>290</v>
      </c>
      <c r="D145" s="22" t="s">
        <v>291</v>
      </c>
      <c r="E145" s="23" t="s">
        <v>51</v>
      </c>
      <c r="F145" s="22" t="s">
        <v>57</v>
      </c>
      <c r="G145" s="22" t="s">
        <v>53</v>
      </c>
      <c r="H145" s="22" t="s">
        <v>30</v>
      </c>
      <c r="I145" s="22" t="s">
        <v>292</v>
      </c>
      <c r="J145" s="22" t="s">
        <v>57</v>
      </c>
      <c r="K145" s="519" t="s">
        <v>1092</v>
      </c>
      <c r="L145" s="521" t="s">
        <v>1099</v>
      </c>
      <c r="M145" s="521" t="s">
        <v>1100</v>
      </c>
      <c r="N145" s="521" t="s">
        <v>815</v>
      </c>
      <c r="O145" s="22" t="s">
        <v>293</v>
      </c>
      <c r="P145" s="69">
        <v>2016</v>
      </c>
      <c r="Q145" s="414">
        <f t="shared" ca="1" si="9"/>
        <v>68461323.543331504</v>
      </c>
      <c r="R145" s="335" t="str">
        <f t="shared" ca="1" si="7"/>
        <v>N/A</v>
      </c>
      <c r="S145" s="335" t="str">
        <f t="shared" ca="1" si="8"/>
        <v>N/A</v>
      </c>
      <c r="T145" s="429" t="s">
        <v>899</v>
      </c>
      <c r="U145" s="22"/>
      <c r="V145" s="24"/>
      <c r="W145" s="21"/>
      <c r="Y145" s="490"/>
    </row>
    <row r="146" spans="1:25" ht="45">
      <c r="A146" s="31">
        <v>143</v>
      </c>
      <c r="B146" s="22" t="s">
        <v>39</v>
      </c>
      <c r="C146" s="22" t="s">
        <v>290</v>
      </c>
      <c r="D146" s="22" t="s">
        <v>291</v>
      </c>
      <c r="E146" s="23" t="s">
        <v>51</v>
      </c>
      <c r="F146" s="22" t="s">
        <v>58</v>
      </c>
      <c r="G146" s="22" t="s">
        <v>53</v>
      </c>
      <c r="H146" s="22" t="s">
        <v>30</v>
      </c>
      <c r="I146" s="22" t="s">
        <v>292</v>
      </c>
      <c r="J146" s="22" t="s">
        <v>58</v>
      </c>
      <c r="K146" s="519" t="s">
        <v>1092</v>
      </c>
      <c r="L146" s="521" t="s">
        <v>1101</v>
      </c>
      <c r="M146" s="521" t="s">
        <v>1102</v>
      </c>
      <c r="N146" s="521" t="s">
        <v>815</v>
      </c>
      <c r="O146" s="22" t="s">
        <v>293</v>
      </c>
      <c r="P146" s="69">
        <v>2016</v>
      </c>
      <c r="Q146" s="414">
        <f t="shared" ca="1" si="9"/>
        <v>651631.97110123001</v>
      </c>
      <c r="R146" s="335" t="str">
        <f t="shared" ca="1" si="7"/>
        <v>N/A</v>
      </c>
      <c r="S146" s="335" t="str">
        <f t="shared" ca="1" si="8"/>
        <v>N/A</v>
      </c>
      <c r="T146" s="429" t="s">
        <v>899</v>
      </c>
      <c r="U146" s="22" t="s">
        <v>295</v>
      </c>
      <c r="V146" s="24"/>
      <c r="W146" s="21"/>
      <c r="Y146" s="490"/>
    </row>
    <row r="147" spans="1:25" ht="45">
      <c r="A147" s="31">
        <v>144</v>
      </c>
      <c r="B147" s="22" t="s">
        <v>39</v>
      </c>
      <c r="C147" s="22" t="s">
        <v>290</v>
      </c>
      <c r="D147" s="22" t="s">
        <v>291</v>
      </c>
      <c r="E147" s="23" t="s">
        <v>51</v>
      </c>
      <c r="F147" s="22" t="s">
        <v>60</v>
      </c>
      <c r="G147" s="22" t="s">
        <v>53</v>
      </c>
      <c r="H147" s="22" t="s">
        <v>30</v>
      </c>
      <c r="I147" s="22" t="s">
        <v>292</v>
      </c>
      <c r="J147" s="22" t="s">
        <v>60</v>
      </c>
      <c r="K147" s="519" t="s">
        <v>1092</v>
      </c>
      <c r="L147" s="521" t="s">
        <v>1103</v>
      </c>
      <c r="M147" s="521" t="s">
        <v>1104</v>
      </c>
      <c r="N147" s="521" t="s">
        <v>815</v>
      </c>
      <c r="O147" s="22" t="s">
        <v>293</v>
      </c>
      <c r="P147" s="69">
        <v>2016</v>
      </c>
      <c r="Q147" s="414">
        <f t="shared" ca="1" si="9"/>
        <v>398717.23456308001</v>
      </c>
      <c r="R147" s="335" t="str">
        <f t="shared" ca="1" si="7"/>
        <v>N/A</v>
      </c>
      <c r="S147" s="335" t="str">
        <f t="shared" ca="1" si="8"/>
        <v>N/A</v>
      </c>
      <c r="T147" s="429" t="s">
        <v>899</v>
      </c>
      <c r="U147" s="22" t="s">
        <v>49</v>
      </c>
      <c r="V147" s="24"/>
      <c r="W147" s="21"/>
      <c r="Y147" s="490"/>
    </row>
    <row r="148" spans="1:25" ht="45">
      <c r="A148" s="31">
        <v>145</v>
      </c>
      <c r="B148" s="22" t="s">
        <v>39</v>
      </c>
      <c r="C148" s="22" t="s">
        <v>290</v>
      </c>
      <c r="D148" s="22" t="s">
        <v>291</v>
      </c>
      <c r="E148" s="23" t="s">
        <v>51</v>
      </c>
      <c r="F148" s="22" t="s">
        <v>61</v>
      </c>
      <c r="G148" s="22" t="s">
        <v>53</v>
      </c>
      <c r="H148" s="22" t="s">
        <v>30</v>
      </c>
      <c r="I148" s="22" t="s">
        <v>292</v>
      </c>
      <c r="J148" s="22" t="s">
        <v>61</v>
      </c>
      <c r="K148" s="519" t="s">
        <v>1092</v>
      </c>
      <c r="L148" s="521" t="s">
        <v>1105</v>
      </c>
      <c r="M148" s="521" t="s">
        <v>1106</v>
      </c>
      <c r="N148" s="521" t="s">
        <v>815</v>
      </c>
      <c r="O148" s="22" t="s">
        <v>293</v>
      </c>
      <c r="P148" s="69">
        <v>2016</v>
      </c>
      <c r="Q148" s="414">
        <f t="shared" ca="1" si="9"/>
        <v>224342.18687198</v>
      </c>
      <c r="R148" s="335" t="str">
        <f t="shared" ca="1" si="7"/>
        <v>N/A</v>
      </c>
      <c r="S148" s="335" t="str">
        <f t="shared" ca="1" si="8"/>
        <v>N/A</v>
      </c>
      <c r="T148" s="429" t="s">
        <v>899</v>
      </c>
      <c r="U148" s="22"/>
      <c r="V148" s="24"/>
      <c r="W148" s="21"/>
      <c r="Y148" s="490"/>
    </row>
    <row r="149" spans="1:25" ht="45">
      <c r="A149" s="31">
        <v>146</v>
      </c>
      <c r="B149" s="22" t="s">
        <v>39</v>
      </c>
      <c r="C149" s="22" t="s">
        <v>290</v>
      </c>
      <c r="D149" s="22" t="s">
        <v>291</v>
      </c>
      <c r="E149" s="23" t="s">
        <v>51</v>
      </c>
      <c r="F149" s="22" t="s">
        <v>62</v>
      </c>
      <c r="G149" s="22" t="s">
        <v>53</v>
      </c>
      <c r="H149" s="22" t="s">
        <v>30</v>
      </c>
      <c r="I149" s="22" t="s">
        <v>292</v>
      </c>
      <c r="J149" s="22" t="s">
        <v>62</v>
      </c>
      <c r="K149" s="519" t="s">
        <v>1092</v>
      </c>
      <c r="L149" s="521" t="s">
        <v>1107</v>
      </c>
      <c r="M149" s="521" t="s">
        <v>1108</v>
      </c>
      <c r="N149" s="521" t="s">
        <v>815</v>
      </c>
      <c r="O149" s="22" t="s">
        <v>293</v>
      </c>
      <c r="P149" s="69">
        <v>2016</v>
      </c>
      <c r="Q149" s="414">
        <f t="shared" ca="1" si="9"/>
        <v>148324.13226125401</v>
      </c>
      <c r="R149" s="335" t="str">
        <f t="shared" ca="1" si="7"/>
        <v>N/A</v>
      </c>
      <c r="S149" s="335" t="str">
        <f t="shared" ca="1" si="8"/>
        <v>N/A</v>
      </c>
      <c r="T149" s="429" t="s">
        <v>899</v>
      </c>
      <c r="U149" s="22"/>
      <c r="V149" s="24"/>
      <c r="W149" s="21"/>
      <c r="Y149" s="490"/>
    </row>
    <row r="150" spans="1:25" ht="45">
      <c r="A150" s="31">
        <v>147</v>
      </c>
      <c r="B150" s="22" t="s">
        <v>39</v>
      </c>
      <c r="C150" s="22" t="s">
        <v>290</v>
      </c>
      <c r="D150" s="22" t="s">
        <v>291</v>
      </c>
      <c r="E150" s="23" t="s">
        <v>51</v>
      </c>
      <c r="F150" s="22" t="s">
        <v>63</v>
      </c>
      <c r="G150" s="22" t="s">
        <v>53</v>
      </c>
      <c r="H150" s="22" t="s">
        <v>30</v>
      </c>
      <c r="I150" s="22" t="s">
        <v>292</v>
      </c>
      <c r="J150" s="22" t="s">
        <v>63</v>
      </c>
      <c r="K150" s="519" t="s">
        <v>1092</v>
      </c>
      <c r="L150" s="521" t="s">
        <v>1109</v>
      </c>
      <c r="M150" s="521" t="s">
        <v>1110</v>
      </c>
      <c r="N150" s="521" t="s">
        <v>815</v>
      </c>
      <c r="O150" s="22" t="s">
        <v>293</v>
      </c>
      <c r="P150" s="69">
        <v>2016</v>
      </c>
      <c r="Q150" s="414">
        <f t="shared" ca="1" si="9"/>
        <v>1116254876.27507</v>
      </c>
      <c r="R150" s="335" t="str">
        <f t="shared" ca="1" si="7"/>
        <v>N/A</v>
      </c>
      <c r="S150" s="335" t="str">
        <f t="shared" ca="1" si="8"/>
        <v>N/A</v>
      </c>
      <c r="T150" s="429" t="s">
        <v>899</v>
      </c>
      <c r="U150" s="22"/>
      <c r="V150" s="24"/>
      <c r="W150" s="21"/>
      <c r="Y150" s="490"/>
    </row>
    <row r="151" spans="1:25" ht="45">
      <c r="A151" s="31">
        <v>148</v>
      </c>
      <c r="B151" s="22" t="s">
        <v>39</v>
      </c>
      <c r="C151" s="22" t="s">
        <v>290</v>
      </c>
      <c r="D151" s="22" t="s">
        <v>291</v>
      </c>
      <c r="E151" s="23" t="s">
        <v>51</v>
      </c>
      <c r="F151" s="22" t="s">
        <v>64</v>
      </c>
      <c r="G151" s="22" t="s">
        <v>53</v>
      </c>
      <c r="H151" s="22" t="s">
        <v>30</v>
      </c>
      <c r="I151" s="22" t="s">
        <v>292</v>
      </c>
      <c r="J151" s="22" t="s">
        <v>64</v>
      </c>
      <c r="K151" s="519" t="s">
        <v>1092</v>
      </c>
      <c r="L151" s="521" t="s">
        <v>1111</v>
      </c>
      <c r="M151" s="521" t="s">
        <v>1112</v>
      </c>
      <c r="N151" s="521" t="s">
        <v>815</v>
      </c>
      <c r="O151" s="22" t="s">
        <v>293</v>
      </c>
      <c r="P151" s="69">
        <v>2016</v>
      </c>
      <c r="Q151" s="414">
        <f t="shared" ca="1" si="9"/>
        <v>731257355.60763001</v>
      </c>
      <c r="R151" s="335" t="str">
        <f t="shared" ca="1" si="7"/>
        <v>N/A</v>
      </c>
      <c r="S151" s="335" t="str">
        <f t="shared" ca="1" si="8"/>
        <v>N/A</v>
      </c>
      <c r="T151" s="429" t="s">
        <v>899</v>
      </c>
      <c r="U151" s="22"/>
      <c r="V151" s="24"/>
      <c r="W151" s="21"/>
      <c r="Y151" s="490"/>
    </row>
    <row r="152" spans="1:25" ht="45">
      <c r="A152" s="31">
        <v>149</v>
      </c>
      <c r="B152" s="22" t="s">
        <v>39</v>
      </c>
      <c r="C152" s="22" t="s">
        <v>290</v>
      </c>
      <c r="D152" s="22" t="s">
        <v>291</v>
      </c>
      <c r="E152" s="23" t="s">
        <v>51</v>
      </c>
      <c r="F152" s="22" t="s">
        <v>65</v>
      </c>
      <c r="G152" s="22" t="s">
        <v>53</v>
      </c>
      <c r="H152" s="22" t="s">
        <v>30</v>
      </c>
      <c r="I152" s="22" t="s">
        <v>292</v>
      </c>
      <c r="J152" s="22" t="s">
        <v>65</v>
      </c>
      <c r="K152" s="519" t="s">
        <v>1092</v>
      </c>
      <c r="L152" s="521" t="s">
        <v>1113</v>
      </c>
      <c r="M152" s="521" t="s">
        <v>1114</v>
      </c>
      <c r="N152" s="521" t="s">
        <v>815</v>
      </c>
      <c r="O152" s="22" t="s">
        <v>293</v>
      </c>
      <c r="P152" s="69">
        <v>2016</v>
      </c>
      <c r="Q152" s="414">
        <f t="shared" ca="1" si="9"/>
        <v>5043399.1145049604</v>
      </c>
      <c r="R152" s="335" t="str">
        <f t="shared" ca="1" si="7"/>
        <v>N/A</v>
      </c>
      <c r="S152" s="335" t="str">
        <f t="shared" ca="1" si="8"/>
        <v>N/A</v>
      </c>
      <c r="T152" s="429" t="s">
        <v>899</v>
      </c>
      <c r="U152" s="22" t="s">
        <v>49</v>
      </c>
      <c r="V152" s="24"/>
      <c r="W152" s="21"/>
      <c r="Y152" s="490"/>
    </row>
    <row r="153" spans="1:25" ht="45">
      <c r="A153" s="31">
        <v>150</v>
      </c>
      <c r="B153" s="22" t="s">
        <v>39</v>
      </c>
      <c r="C153" s="22" t="s">
        <v>290</v>
      </c>
      <c r="D153" s="22" t="s">
        <v>291</v>
      </c>
      <c r="E153" s="23" t="s">
        <v>51</v>
      </c>
      <c r="F153" s="22" t="s">
        <v>66</v>
      </c>
      <c r="G153" s="22" t="s">
        <v>53</v>
      </c>
      <c r="H153" s="22" t="s">
        <v>30</v>
      </c>
      <c r="I153" s="22" t="s">
        <v>292</v>
      </c>
      <c r="J153" s="22" t="s">
        <v>66</v>
      </c>
      <c r="K153" s="519" t="s">
        <v>1092</v>
      </c>
      <c r="L153" s="521" t="s">
        <v>1115</v>
      </c>
      <c r="M153" s="521" t="s">
        <v>1116</v>
      </c>
      <c r="N153" s="521" t="s">
        <v>815</v>
      </c>
      <c r="O153" s="22" t="s">
        <v>293</v>
      </c>
      <c r="P153" s="69">
        <v>2016</v>
      </c>
      <c r="Q153" s="414">
        <f t="shared" ca="1" si="9"/>
        <v>3035633.0210892698</v>
      </c>
      <c r="R153" s="335" t="str">
        <f t="shared" ca="1" si="7"/>
        <v>N/A</v>
      </c>
      <c r="S153" s="335" t="str">
        <f t="shared" ca="1" si="8"/>
        <v>N/A</v>
      </c>
      <c r="T153" s="429" t="s">
        <v>899</v>
      </c>
      <c r="U153" s="22" t="s">
        <v>49</v>
      </c>
      <c r="V153" s="24"/>
      <c r="W153" s="21"/>
      <c r="Y153" s="490"/>
    </row>
    <row r="154" spans="1:25" ht="60">
      <c r="A154" s="31">
        <v>151</v>
      </c>
      <c r="B154" s="22" t="s">
        <v>39</v>
      </c>
      <c r="C154" s="22" t="s">
        <v>290</v>
      </c>
      <c r="D154" s="22" t="s">
        <v>291</v>
      </c>
      <c r="E154" s="23" t="s">
        <v>296</v>
      </c>
      <c r="F154" s="22" t="s">
        <v>297</v>
      </c>
      <c r="G154" s="22" t="s">
        <v>298</v>
      </c>
      <c r="H154" s="22" t="s">
        <v>30</v>
      </c>
      <c r="I154" s="22" t="s">
        <v>299</v>
      </c>
      <c r="J154" s="22" t="s">
        <v>297</v>
      </c>
      <c r="K154" s="519" t="s">
        <v>1092</v>
      </c>
      <c r="L154" s="521" t="s">
        <v>1117</v>
      </c>
      <c r="M154" s="521" t="s">
        <v>1118</v>
      </c>
      <c r="N154" s="521" t="s">
        <v>885</v>
      </c>
      <c r="O154" s="22" t="s">
        <v>293</v>
      </c>
      <c r="P154" s="69">
        <v>2016</v>
      </c>
      <c r="Q154" s="533">
        <f t="shared" ca="1" si="9"/>
        <v>1.5334391610619742E-2</v>
      </c>
      <c r="R154" s="335">
        <f t="shared" ca="1" si="7"/>
        <v>0</v>
      </c>
      <c r="S154" s="335">
        <f t="shared" ca="1" si="8"/>
        <v>0</v>
      </c>
      <c r="T154" s="429"/>
      <c r="U154" s="22"/>
      <c r="V154" s="24"/>
      <c r="W154" s="21"/>
      <c r="Y154" s="490"/>
    </row>
    <row r="155" spans="1:25" ht="60">
      <c r="A155" s="31">
        <v>152</v>
      </c>
      <c r="B155" s="22" t="s">
        <v>39</v>
      </c>
      <c r="C155" s="22" t="s">
        <v>290</v>
      </c>
      <c r="D155" s="22" t="s">
        <v>291</v>
      </c>
      <c r="E155" s="23" t="s">
        <v>296</v>
      </c>
      <c r="F155" s="22" t="s">
        <v>300</v>
      </c>
      <c r="G155" s="22" t="s">
        <v>298</v>
      </c>
      <c r="H155" s="22" t="s">
        <v>30</v>
      </c>
      <c r="I155" s="22" t="s">
        <v>299</v>
      </c>
      <c r="J155" s="22" t="s">
        <v>300</v>
      </c>
      <c r="K155" s="519" t="s">
        <v>1092</v>
      </c>
      <c r="L155" s="521" t="s">
        <v>1119</v>
      </c>
      <c r="M155" s="521" t="s">
        <v>1120</v>
      </c>
      <c r="N155" s="521" t="s">
        <v>885</v>
      </c>
      <c r="O155" s="22" t="s">
        <v>293</v>
      </c>
      <c r="P155" s="69">
        <v>2016</v>
      </c>
      <c r="Q155" s="533">
        <f t="shared" ca="1" si="9"/>
        <v>1.0198914552505607E-2</v>
      </c>
      <c r="R155" s="335">
        <f t="shared" ca="1" si="7"/>
        <v>0</v>
      </c>
      <c r="S155" s="335">
        <f t="shared" ca="1" si="8"/>
        <v>0</v>
      </c>
      <c r="T155" s="429"/>
      <c r="U155" s="22"/>
      <c r="V155" s="24"/>
      <c r="W155" s="21"/>
      <c r="Y155" s="490"/>
    </row>
    <row r="156" spans="1:25" ht="60">
      <c r="A156" s="31">
        <v>153</v>
      </c>
      <c r="B156" s="22" t="s">
        <v>39</v>
      </c>
      <c r="C156" s="22" t="s">
        <v>290</v>
      </c>
      <c r="D156" s="22" t="s">
        <v>291</v>
      </c>
      <c r="E156" s="23" t="s">
        <v>296</v>
      </c>
      <c r="F156" s="22" t="s">
        <v>301</v>
      </c>
      <c r="G156" s="22" t="s">
        <v>298</v>
      </c>
      <c r="H156" s="22" t="s">
        <v>30</v>
      </c>
      <c r="I156" s="22" t="s">
        <v>299</v>
      </c>
      <c r="J156" s="22" t="s">
        <v>301</v>
      </c>
      <c r="K156" s="519" t="s">
        <v>1092</v>
      </c>
      <c r="L156" s="521" t="s">
        <v>1121</v>
      </c>
      <c r="M156" s="521" t="s">
        <v>1122</v>
      </c>
      <c r="N156" s="521" t="s">
        <v>885</v>
      </c>
      <c r="O156" s="22" t="s">
        <v>293</v>
      </c>
      <c r="P156" s="69">
        <v>2016</v>
      </c>
      <c r="Q156" s="533">
        <f t="shared" ca="1" si="9"/>
        <v>1.3939495285402873E-2</v>
      </c>
      <c r="R156" s="335">
        <f t="shared" ca="1" si="7"/>
        <v>0</v>
      </c>
      <c r="S156" s="335">
        <f t="shared" ca="1" si="8"/>
        <v>0</v>
      </c>
      <c r="T156" s="429"/>
      <c r="U156" s="22"/>
      <c r="V156" s="24"/>
      <c r="W156" s="21"/>
      <c r="Y156" s="490"/>
    </row>
    <row r="157" spans="1:25" ht="60">
      <c r="A157" s="31">
        <v>154</v>
      </c>
      <c r="B157" s="22" t="s">
        <v>39</v>
      </c>
      <c r="C157" s="22" t="s">
        <v>290</v>
      </c>
      <c r="D157" s="22" t="s">
        <v>291</v>
      </c>
      <c r="E157" s="23" t="s">
        <v>296</v>
      </c>
      <c r="F157" s="22" t="s">
        <v>302</v>
      </c>
      <c r="G157" s="22" t="s">
        <v>298</v>
      </c>
      <c r="H157" s="22" t="s">
        <v>30</v>
      </c>
      <c r="I157" s="22" t="s">
        <v>299</v>
      </c>
      <c r="J157" s="22" t="s">
        <v>302</v>
      </c>
      <c r="K157" s="519" t="s">
        <v>1092</v>
      </c>
      <c r="L157" s="521" t="s">
        <v>1123</v>
      </c>
      <c r="M157" s="521" t="s">
        <v>1124</v>
      </c>
      <c r="N157" s="521" t="s">
        <v>885</v>
      </c>
      <c r="O157" s="22" t="s">
        <v>293</v>
      </c>
      <c r="P157" s="69">
        <v>2016</v>
      </c>
      <c r="Q157" s="533">
        <f t="shared" ca="1" si="9"/>
        <v>9.1577807962351411E-3</v>
      </c>
      <c r="R157" s="335">
        <f t="shared" ca="1" si="7"/>
        <v>0</v>
      </c>
      <c r="S157" s="335">
        <f t="shared" ca="1" si="8"/>
        <v>0</v>
      </c>
      <c r="T157" s="429"/>
      <c r="U157" s="22"/>
      <c r="V157" s="24"/>
      <c r="W157" s="21"/>
      <c r="Y157" s="490"/>
    </row>
    <row r="158" spans="1:25" ht="60">
      <c r="A158" s="31">
        <v>155</v>
      </c>
      <c r="B158" s="22" t="s">
        <v>39</v>
      </c>
      <c r="C158" s="22" t="s">
        <v>290</v>
      </c>
      <c r="D158" s="22" t="s">
        <v>291</v>
      </c>
      <c r="E158" s="23" t="s">
        <v>296</v>
      </c>
      <c r="F158" s="22" t="s">
        <v>303</v>
      </c>
      <c r="G158" s="22" t="s">
        <v>298</v>
      </c>
      <c r="H158" s="22" t="s">
        <v>30</v>
      </c>
      <c r="I158" s="22" t="s">
        <v>299</v>
      </c>
      <c r="J158" s="22" t="s">
        <v>303</v>
      </c>
      <c r="K158" s="519" t="s">
        <v>1092</v>
      </c>
      <c r="L158" s="521" t="s">
        <v>1125</v>
      </c>
      <c r="M158" s="521" t="s">
        <v>1126</v>
      </c>
      <c r="N158" s="521" t="s">
        <v>885</v>
      </c>
      <c r="O158" s="22" t="s">
        <v>293</v>
      </c>
      <c r="P158" s="69">
        <v>2016</v>
      </c>
      <c r="Q158" s="533">
        <f t="shared" ca="1" si="9"/>
        <v>3.3800781417530033E-3</v>
      </c>
      <c r="R158" s="335">
        <f t="shared" ca="1" si="7"/>
        <v>0</v>
      </c>
      <c r="S158" s="335">
        <f t="shared" ca="1" si="8"/>
        <v>0</v>
      </c>
      <c r="T158" s="429" t="s">
        <v>304</v>
      </c>
      <c r="U158" s="22" t="s">
        <v>49</v>
      </c>
      <c r="V158" s="24"/>
      <c r="W158" s="21"/>
      <c r="Y158" s="490"/>
    </row>
    <row r="159" spans="1:25" ht="60">
      <c r="A159" s="31">
        <v>156</v>
      </c>
      <c r="B159" s="22" t="s">
        <v>39</v>
      </c>
      <c r="C159" s="22" t="s">
        <v>290</v>
      </c>
      <c r="D159" s="22" t="s">
        <v>291</v>
      </c>
      <c r="E159" s="23" t="s">
        <v>296</v>
      </c>
      <c r="F159" s="22" t="s">
        <v>305</v>
      </c>
      <c r="G159" s="22" t="s">
        <v>298</v>
      </c>
      <c r="H159" s="22" t="s">
        <v>30</v>
      </c>
      <c r="I159" s="22" t="s">
        <v>299</v>
      </c>
      <c r="J159" s="22" t="s">
        <v>305</v>
      </c>
      <c r="K159" s="519" t="s">
        <v>1092</v>
      </c>
      <c r="L159" s="521" t="s">
        <v>1127</v>
      </c>
      <c r="M159" s="521" t="s">
        <v>1128</v>
      </c>
      <c r="N159" s="521" t="s">
        <v>885</v>
      </c>
      <c r="O159" s="22" t="s">
        <v>293</v>
      </c>
      <c r="P159" s="69">
        <v>2016</v>
      </c>
      <c r="Q159" s="533">
        <f t="shared" ca="1" si="9"/>
        <v>2.0681849096650744E-3</v>
      </c>
      <c r="R159" s="335">
        <f t="shared" ca="1" si="7"/>
        <v>0</v>
      </c>
      <c r="S159" s="335">
        <f t="shared" ca="1" si="8"/>
        <v>0</v>
      </c>
      <c r="T159" s="429" t="s">
        <v>304</v>
      </c>
      <c r="U159" s="22" t="s">
        <v>49</v>
      </c>
      <c r="V159" s="24"/>
      <c r="W159" s="21"/>
      <c r="Y159" s="490"/>
    </row>
    <row r="160" spans="1:25" ht="60">
      <c r="A160" s="31">
        <v>157</v>
      </c>
      <c r="B160" s="22" t="s">
        <v>39</v>
      </c>
      <c r="C160" s="22" t="s">
        <v>290</v>
      </c>
      <c r="D160" s="22" t="s">
        <v>291</v>
      </c>
      <c r="E160" s="23" t="s">
        <v>296</v>
      </c>
      <c r="F160" s="22" t="s">
        <v>306</v>
      </c>
      <c r="G160" s="22" t="s">
        <v>298</v>
      </c>
      <c r="H160" s="22" t="s">
        <v>30</v>
      </c>
      <c r="I160" s="22" t="s">
        <v>299</v>
      </c>
      <c r="J160" s="22" t="s">
        <v>306</v>
      </c>
      <c r="K160" s="519" t="s">
        <v>1092</v>
      </c>
      <c r="L160" s="521" t="s">
        <v>1129</v>
      </c>
      <c r="M160" s="521" t="s">
        <v>1130</v>
      </c>
      <c r="N160" s="521" t="s">
        <v>885</v>
      </c>
      <c r="O160" s="22" t="s">
        <v>293</v>
      </c>
      <c r="P160" s="69">
        <v>2016</v>
      </c>
      <c r="Q160" s="533">
        <f t="shared" ca="1" si="9"/>
        <v>0.16426719081422428</v>
      </c>
      <c r="R160" s="335">
        <f t="shared" ca="1" si="7"/>
        <v>0</v>
      </c>
      <c r="S160" s="335">
        <f t="shared" ca="1" si="8"/>
        <v>0</v>
      </c>
      <c r="T160" s="429"/>
      <c r="U160" s="22"/>
      <c r="V160" s="24"/>
      <c r="W160" s="21"/>
      <c r="Y160" s="490"/>
    </row>
    <row r="161" spans="1:25" ht="60">
      <c r="A161" s="31">
        <v>158</v>
      </c>
      <c r="B161" s="22" t="s">
        <v>39</v>
      </c>
      <c r="C161" s="22" t="s">
        <v>290</v>
      </c>
      <c r="D161" s="22" t="s">
        <v>291</v>
      </c>
      <c r="E161" s="23" t="s">
        <v>296</v>
      </c>
      <c r="F161" s="22" t="s">
        <v>307</v>
      </c>
      <c r="G161" s="22" t="s">
        <v>298</v>
      </c>
      <c r="H161" s="22" t="s">
        <v>30</v>
      </c>
      <c r="I161" s="22" t="s">
        <v>299</v>
      </c>
      <c r="J161" s="22" t="s">
        <v>307</v>
      </c>
      <c r="K161" s="519" t="s">
        <v>1092</v>
      </c>
      <c r="L161" s="521" t="s">
        <v>1131</v>
      </c>
      <c r="M161" s="521" t="s">
        <v>1132</v>
      </c>
      <c r="N161" s="521" t="s">
        <v>885</v>
      </c>
      <c r="O161" s="22" t="s">
        <v>293</v>
      </c>
      <c r="P161" s="69">
        <v>2016</v>
      </c>
      <c r="Q161" s="533">
        <f t="shared" ca="1" si="9"/>
        <v>0.10860546951170323</v>
      </c>
      <c r="R161" s="335">
        <f t="shared" ca="1" si="7"/>
        <v>0</v>
      </c>
      <c r="S161" s="335">
        <f t="shared" ca="1" si="8"/>
        <v>0</v>
      </c>
      <c r="T161" s="429"/>
      <c r="U161" s="22"/>
      <c r="V161" s="24"/>
      <c r="W161" s="21"/>
      <c r="Y161" s="490"/>
    </row>
    <row r="162" spans="1:25" ht="60">
      <c r="A162" s="31">
        <v>159</v>
      </c>
      <c r="B162" s="22" t="s">
        <v>39</v>
      </c>
      <c r="C162" s="22" t="s">
        <v>290</v>
      </c>
      <c r="D162" s="22" t="s">
        <v>291</v>
      </c>
      <c r="E162" s="23" t="s">
        <v>296</v>
      </c>
      <c r="F162" s="22" t="s">
        <v>308</v>
      </c>
      <c r="G162" s="22" t="s">
        <v>298</v>
      </c>
      <c r="H162" s="22" t="s">
        <v>30</v>
      </c>
      <c r="I162" s="22" t="s">
        <v>299</v>
      </c>
      <c r="J162" s="22" t="s">
        <v>308</v>
      </c>
      <c r="K162" s="519" t="s">
        <v>1092</v>
      </c>
      <c r="L162" s="521" t="s">
        <v>1133</v>
      </c>
      <c r="M162" s="521" t="s">
        <v>1134</v>
      </c>
      <c r="N162" s="521" t="s">
        <v>885</v>
      </c>
      <c r="O162" s="22" t="s">
        <v>293</v>
      </c>
      <c r="P162" s="69">
        <v>2016</v>
      </c>
      <c r="Q162" s="533">
        <f t="shared" ca="1" si="9"/>
        <v>0.14931667897401302</v>
      </c>
      <c r="R162" s="335">
        <f t="shared" ca="1" si="7"/>
        <v>0</v>
      </c>
      <c r="S162" s="335">
        <f t="shared" ca="1" si="8"/>
        <v>0</v>
      </c>
      <c r="T162" s="429"/>
      <c r="U162" s="22"/>
      <c r="V162" s="24"/>
      <c r="W162" s="21"/>
      <c r="Y162" s="490"/>
    </row>
    <row r="163" spans="1:25" ht="60">
      <c r="A163" s="31">
        <v>160</v>
      </c>
      <c r="B163" s="22" t="s">
        <v>39</v>
      </c>
      <c r="C163" s="22" t="s">
        <v>290</v>
      </c>
      <c r="D163" s="22" t="s">
        <v>291</v>
      </c>
      <c r="E163" s="23" t="s">
        <v>296</v>
      </c>
      <c r="F163" s="22" t="s">
        <v>309</v>
      </c>
      <c r="G163" s="22" t="s">
        <v>298</v>
      </c>
      <c r="H163" s="22" t="s">
        <v>30</v>
      </c>
      <c r="I163" s="22" t="s">
        <v>299</v>
      </c>
      <c r="J163" s="22" t="s">
        <v>309</v>
      </c>
      <c r="K163" s="519" t="s">
        <v>1092</v>
      </c>
      <c r="L163" s="521" t="s">
        <v>1135</v>
      </c>
      <c r="M163" s="521" t="s">
        <v>1136</v>
      </c>
      <c r="N163" s="521" t="s">
        <v>885</v>
      </c>
      <c r="O163" s="22" t="s">
        <v>293</v>
      </c>
      <c r="P163" s="69">
        <v>2016</v>
      </c>
      <c r="Q163" s="533">
        <f t="shared" ca="1" si="9"/>
        <v>9.7817194025626455E-2</v>
      </c>
      <c r="R163" s="335">
        <f t="shared" ca="1" si="7"/>
        <v>0</v>
      </c>
      <c r="S163" s="335">
        <f t="shared" ca="1" si="8"/>
        <v>0</v>
      </c>
      <c r="T163" s="429"/>
      <c r="U163" s="22"/>
      <c r="V163" s="24"/>
      <c r="W163" s="21"/>
      <c r="Y163" s="490"/>
    </row>
    <row r="164" spans="1:25" ht="60">
      <c r="A164" s="31">
        <v>161</v>
      </c>
      <c r="B164" s="22" t="s">
        <v>39</v>
      </c>
      <c r="C164" s="22" t="s">
        <v>290</v>
      </c>
      <c r="D164" s="22" t="s">
        <v>291</v>
      </c>
      <c r="E164" s="23" t="s">
        <v>296</v>
      </c>
      <c r="F164" s="22" t="s">
        <v>310</v>
      </c>
      <c r="G164" s="22" t="s">
        <v>298</v>
      </c>
      <c r="H164" s="22" t="s">
        <v>30</v>
      </c>
      <c r="I164" s="22" t="s">
        <v>299</v>
      </c>
      <c r="J164" s="22" t="s">
        <v>310</v>
      </c>
      <c r="K164" s="519" t="s">
        <v>1092</v>
      </c>
      <c r="L164" s="521" t="s">
        <v>1137</v>
      </c>
      <c r="M164" s="521" t="s">
        <v>1138</v>
      </c>
      <c r="N164" s="521" t="s">
        <v>885</v>
      </c>
      <c r="O164" s="22" t="s">
        <v>293</v>
      </c>
      <c r="P164" s="69">
        <v>2016</v>
      </c>
      <c r="Q164" s="533">
        <f t="shared" ca="1" si="9"/>
        <v>2.6160599637654106E-2</v>
      </c>
      <c r="R164" s="335">
        <f t="shared" ca="1" si="7"/>
        <v>0</v>
      </c>
      <c r="S164" s="335">
        <f t="shared" ca="1" si="8"/>
        <v>0</v>
      </c>
      <c r="T164" s="429" t="s">
        <v>304</v>
      </c>
      <c r="U164" s="22" t="s">
        <v>49</v>
      </c>
      <c r="V164" s="24"/>
      <c r="W164" s="21"/>
      <c r="Y164" s="490"/>
    </row>
    <row r="165" spans="1:25" ht="60">
      <c r="A165" s="31">
        <v>162</v>
      </c>
      <c r="B165" s="22" t="s">
        <v>39</v>
      </c>
      <c r="C165" s="22" t="s">
        <v>290</v>
      </c>
      <c r="D165" s="22" t="s">
        <v>291</v>
      </c>
      <c r="E165" s="23" t="s">
        <v>296</v>
      </c>
      <c r="F165" s="22" t="s">
        <v>311</v>
      </c>
      <c r="G165" s="22" t="s">
        <v>298</v>
      </c>
      <c r="H165" s="22" t="s">
        <v>30</v>
      </c>
      <c r="I165" s="22" t="s">
        <v>299</v>
      </c>
      <c r="J165" s="22" t="s">
        <v>311</v>
      </c>
      <c r="K165" s="519" t="s">
        <v>1092</v>
      </c>
      <c r="L165" s="521" t="s">
        <v>1139</v>
      </c>
      <c r="M165" s="521" t="s">
        <v>1140</v>
      </c>
      <c r="N165" s="521" t="s">
        <v>885</v>
      </c>
      <c r="O165" s="22" t="s">
        <v>293</v>
      </c>
      <c r="P165" s="69">
        <v>2016</v>
      </c>
      <c r="Q165" s="533">
        <f t="shared" ca="1" si="9"/>
        <v>1.5746122467912942E-2</v>
      </c>
      <c r="R165" s="335">
        <f t="shared" ca="1" si="7"/>
        <v>0</v>
      </c>
      <c r="S165" s="335">
        <f t="shared" ca="1" si="8"/>
        <v>0</v>
      </c>
      <c r="T165" s="429" t="s">
        <v>304</v>
      </c>
      <c r="U165" s="22" t="s">
        <v>49</v>
      </c>
      <c r="V165" s="24"/>
      <c r="W165" s="21"/>
      <c r="Y165" s="490"/>
    </row>
    <row r="166" spans="1:25" ht="30">
      <c r="A166" s="31">
        <v>163</v>
      </c>
      <c r="B166" s="22" t="s">
        <v>39</v>
      </c>
      <c r="C166" s="22" t="s">
        <v>290</v>
      </c>
      <c r="D166" s="22" t="s">
        <v>312</v>
      </c>
      <c r="E166" s="23" t="s">
        <v>42</v>
      </c>
      <c r="F166" s="22" t="s">
        <v>43</v>
      </c>
      <c r="G166" s="22" t="s">
        <v>44</v>
      </c>
      <c r="H166" s="22" t="s">
        <v>30</v>
      </c>
      <c r="I166" s="22" t="s">
        <v>313</v>
      </c>
      <c r="J166" s="22" t="s">
        <v>314</v>
      </c>
      <c r="K166" s="519" t="s">
        <v>1092</v>
      </c>
      <c r="L166" s="521" t="s">
        <v>1141</v>
      </c>
      <c r="M166" s="521" t="s">
        <v>1142</v>
      </c>
      <c r="N166" s="521" t="s">
        <v>815</v>
      </c>
      <c r="O166" s="22" t="s">
        <v>293</v>
      </c>
      <c r="P166" s="69">
        <v>2016</v>
      </c>
      <c r="Q166" s="414">
        <f t="shared" ca="1" si="9"/>
        <v>50515.357088319695</v>
      </c>
      <c r="R166" s="335" t="str">
        <f t="shared" ca="1" si="7"/>
        <v>N/A</v>
      </c>
      <c r="S166" s="335" t="str">
        <f t="shared" ca="1" si="8"/>
        <v>N/A</v>
      </c>
      <c r="T166" s="429" t="s">
        <v>48</v>
      </c>
      <c r="U166" s="22"/>
      <c r="V166" s="24"/>
      <c r="W166" s="21"/>
      <c r="Y166" s="490"/>
    </row>
    <row r="167" spans="1:25" ht="45">
      <c r="A167" s="31">
        <v>164</v>
      </c>
      <c r="B167" s="22" t="s">
        <v>39</v>
      </c>
      <c r="C167" s="22" t="s">
        <v>290</v>
      </c>
      <c r="D167" s="22" t="s">
        <v>315</v>
      </c>
      <c r="E167" s="23" t="s">
        <v>316</v>
      </c>
      <c r="F167" s="22" t="s">
        <v>317</v>
      </c>
      <c r="G167" s="22" t="s">
        <v>318</v>
      </c>
      <c r="H167" s="22" t="s">
        <v>30</v>
      </c>
      <c r="I167" s="22" t="s">
        <v>319</v>
      </c>
      <c r="J167" s="22" t="s">
        <v>317</v>
      </c>
      <c r="K167" s="519" t="s">
        <v>1092</v>
      </c>
      <c r="L167" s="521" t="s">
        <v>1143</v>
      </c>
      <c r="M167" s="521" t="s">
        <v>1144</v>
      </c>
      <c r="N167" s="521" t="s">
        <v>885</v>
      </c>
      <c r="O167" s="22" t="s">
        <v>293</v>
      </c>
      <c r="P167" s="69">
        <v>2016</v>
      </c>
      <c r="Q167" s="533">
        <f t="shared" ca="1" si="9"/>
        <v>0</v>
      </c>
      <c r="R167" s="335">
        <f t="shared" ca="1" si="7"/>
        <v>0</v>
      </c>
      <c r="S167" s="335">
        <f t="shared" ca="1" si="8"/>
        <v>0</v>
      </c>
      <c r="T167" s="429"/>
      <c r="U167" s="22"/>
      <c r="V167" s="24"/>
      <c r="W167" s="21"/>
      <c r="Y167" s="490"/>
    </row>
    <row r="168" spans="1:25" ht="45">
      <c r="A168" s="31">
        <v>165</v>
      </c>
      <c r="B168" s="22" t="s">
        <v>39</v>
      </c>
      <c r="C168" s="22" t="s">
        <v>290</v>
      </c>
      <c r="D168" s="22" t="s">
        <v>315</v>
      </c>
      <c r="E168" s="23" t="s">
        <v>316</v>
      </c>
      <c r="F168" s="22" t="s">
        <v>320</v>
      </c>
      <c r="G168" s="22" t="s">
        <v>318</v>
      </c>
      <c r="H168" s="22" t="s">
        <v>30</v>
      </c>
      <c r="I168" s="22" t="s">
        <v>319</v>
      </c>
      <c r="J168" s="22" t="s">
        <v>320</v>
      </c>
      <c r="K168" s="519" t="s">
        <v>1092</v>
      </c>
      <c r="L168" s="521" t="s">
        <v>1145</v>
      </c>
      <c r="M168" s="521" t="s">
        <v>1146</v>
      </c>
      <c r="N168" s="521" t="s">
        <v>885</v>
      </c>
      <c r="O168" s="22" t="s">
        <v>293</v>
      </c>
      <c r="P168" s="69">
        <v>2016</v>
      </c>
      <c r="Q168" s="533">
        <f t="shared" ca="1" si="9"/>
        <v>0.61136294769803268</v>
      </c>
      <c r="R168" s="335">
        <f t="shared" ca="1" si="7"/>
        <v>0</v>
      </c>
      <c r="S168" s="335">
        <f t="shared" ca="1" si="8"/>
        <v>0</v>
      </c>
      <c r="T168" s="429"/>
      <c r="U168" s="22"/>
      <c r="V168" s="24"/>
      <c r="W168" s="21"/>
      <c r="Y168" s="490"/>
    </row>
    <row r="169" spans="1:25" ht="105">
      <c r="A169" s="31">
        <v>166</v>
      </c>
      <c r="B169" s="22" t="s">
        <v>39</v>
      </c>
      <c r="C169" s="22" t="s">
        <v>290</v>
      </c>
      <c r="D169" s="22" t="s">
        <v>315</v>
      </c>
      <c r="E169" s="23" t="s">
        <v>316</v>
      </c>
      <c r="F169" s="22" t="s">
        <v>321</v>
      </c>
      <c r="G169" s="22" t="s">
        <v>318</v>
      </c>
      <c r="H169" s="22" t="s">
        <v>30</v>
      </c>
      <c r="I169" s="22" t="s">
        <v>319</v>
      </c>
      <c r="J169" s="22" t="s">
        <v>321</v>
      </c>
      <c r="K169" s="519" t="s">
        <v>1092</v>
      </c>
      <c r="L169" s="521" t="s">
        <v>1147</v>
      </c>
      <c r="M169" s="521" t="s">
        <v>1148</v>
      </c>
      <c r="N169" s="521" t="s">
        <v>885</v>
      </c>
      <c r="O169" s="22" t="s">
        <v>293</v>
      </c>
      <c r="P169" s="69">
        <v>2016</v>
      </c>
      <c r="Q169" s="533">
        <f t="shared" ca="1" si="9"/>
        <v>6.1756990309597172E-2</v>
      </c>
      <c r="R169" s="335">
        <f t="shared" ca="1" si="7"/>
        <v>0</v>
      </c>
      <c r="S169" s="335">
        <f t="shared" ca="1" si="8"/>
        <v>0</v>
      </c>
      <c r="T169" s="429" t="s">
        <v>322</v>
      </c>
      <c r="U169" s="22"/>
      <c r="V169" s="24" t="s">
        <v>323</v>
      </c>
      <c r="W169" s="21"/>
      <c r="Y169" s="490"/>
    </row>
    <row r="170" spans="1:25" ht="90">
      <c r="A170" s="31">
        <v>167</v>
      </c>
      <c r="B170" s="22" t="s">
        <v>39</v>
      </c>
      <c r="C170" s="22" t="s">
        <v>290</v>
      </c>
      <c r="D170" s="22" t="s">
        <v>324</v>
      </c>
      <c r="E170" s="23" t="s">
        <v>325</v>
      </c>
      <c r="F170" s="22" t="s">
        <v>142</v>
      </c>
      <c r="G170" s="22" t="s">
        <v>143</v>
      </c>
      <c r="H170" s="22" t="s">
        <v>30</v>
      </c>
      <c r="I170" s="22" t="s">
        <v>326</v>
      </c>
      <c r="J170" s="22" t="s">
        <v>327</v>
      </c>
      <c r="K170" s="519" t="s">
        <v>1092</v>
      </c>
      <c r="L170" s="521" t="s">
        <v>1149</v>
      </c>
      <c r="M170" s="521" t="s">
        <v>1150</v>
      </c>
      <c r="N170" s="521" t="s">
        <v>885</v>
      </c>
      <c r="O170" s="22" t="s">
        <v>293</v>
      </c>
      <c r="P170" s="69">
        <v>2016</v>
      </c>
      <c r="Q170" s="533">
        <f t="shared" ca="1" si="9"/>
        <v>0.25304465493910688</v>
      </c>
      <c r="R170" s="335">
        <f t="shared" ca="1" si="7"/>
        <v>0</v>
      </c>
      <c r="S170" s="335">
        <f t="shared" ca="1" si="8"/>
        <v>0</v>
      </c>
      <c r="T170" s="429" t="s">
        <v>328</v>
      </c>
      <c r="U170" s="22" t="s">
        <v>246</v>
      </c>
      <c r="V170" s="24"/>
      <c r="W170" s="21"/>
      <c r="Y170" s="490"/>
    </row>
    <row r="171" spans="1:25" ht="90">
      <c r="A171" s="31">
        <v>168</v>
      </c>
      <c r="B171" s="22" t="s">
        <v>39</v>
      </c>
      <c r="C171" s="22" t="s">
        <v>290</v>
      </c>
      <c r="D171" s="22" t="s">
        <v>324</v>
      </c>
      <c r="E171" s="23" t="s">
        <v>329</v>
      </c>
      <c r="F171" s="22" t="s">
        <v>142</v>
      </c>
      <c r="G171" s="22" t="s">
        <v>143</v>
      </c>
      <c r="H171" s="22" t="s">
        <v>30</v>
      </c>
      <c r="I171" s="22" t="s">
        <v>326</v>
      </c>
      <c r="J171" s="22" t="s">
        <v>330</v>
      </c>
      <c r="K171" s="519" t="s">
        <v>1092</v>
      </c>
      <c r="L171" s="521" t="s">
        <v>1151</v>
      </c>
      <c r="M171" s="521" t="s">
        <v>1152</v>
      </c>
      <c r="N171" s="521" t="s">
        <v>885</v>
      </c>
      <c r="O171" s="22" t="s">
        <v>293</v>
      </c>
      <c r="P171" s="69">
        <v>2016</v>
      </c>
      <c r="Q171" s="533">
        <f t="shared" ca="1" si="9"/>
        <v>0.11800347442904961</v>
      </c>
      <c r="R171" s="335">
        <f t="shared" ca="1" si="7"/>
        <v>0</v>
      </c>
      <c r="S171" s="335">
        <f t="shared" ca="1" si="8"/>
        <v>0</v>
      </c>
      <c r="T171" s="429" t="s">
        <v>328</v>
      </c>
      <c r="U171" s="22" t="s">
        <v>246</v>
      </c>
      <c r="V171" s="24"/>
      <c r="W171" s="21"/>
      <c r="Y171" s="490"/>
    </row>
    <row r="172" spans="1:25" ht="90">
      <c r="A172" s="31">
        <v>169</v>
      </c>
      <c r="B172" s="22" t="s">
        <v>39</v>
      </c>
      <c r="C172" s="22" t="s">
        <v>290</v>
      </c>
      <c r="D172" s="22" t="s">
        <v>324</v>
      </c>
      <c r="E172" s="23" t="s">
        <v>331</v>
      </c>
      <c r="F172" s="22" t="s">
        <v>142</v>
      </c>
      <c r="G172" s="22" t="s">
        <v>143</v>
      </c>
      <c r="H172" s="22" t="s">
        <v>30</v>
      </c>
      <c r="I172" s="22" t="s">
        <v>332</v>
      </c>
      <c r="J172" s="22" t="s">
        <v>333</v>
      </c>
      <c r="K172" s="519" t="s">
        <v>1092</v>
      </c>
      <c r="L172" s="521" t="s">
        <v>1153</v>
      </c>
      <c r="M172" s="521" t="s">
        <v>1154</v>
      </c>
      <c r="N172" s="521" t="s">
        <v>885</v>
      </c>
      <c r="O172" s="22" t="s">
        <v>293</v>
      </c>
      <c r="P172" s="69">
        <v>2016</v>
      </c>
      <c r="Q172" s="533">
        <f t="shared" ca="1" si="9"/>
        <v>5.4201714764828386E-2</v>
      </c>
      <c r="R172" s="335">
        <f t="shared" ca="1" si="7"/>
        <v>0</v>
      </c>
      <c r="S172" s="335">
        <f t="shared" ca="1" si="8"/>
        <v>0</v>
      </c>
      <c r="T172" s="429" t="s">
        <v>328</v>
      </c>
      <c r="U172" s="22" t="s">
        <v>246</v>
      </c>
      <c r="V172" s="24"/>
      <c r="W172" s="21"/>
      <c r="Y172" s="490"/>
    </row>
    <row r="173" spans="1:25" ht="135">
      <c r="A173" s="31">
        <v>170</v>
      </c>
      <c r="B173" s="22" t="s">
        <v>39</v>
      </c>
      <c r="C173" s="22" t="s">
        <v>290</v>
      </c>
      <c r="D173" s="22" t="s">
        <v>324</v>
      </c>
      <c r="E173" s="23" t="s">
        <v>252</v>
      </c>
      <c r="F173" s="22" t="s">
        <v>142</v>
      </c>
      <c r="G173" s="22" t="s">
        <v>253</v>
      </c>
      <c r="H173" s="22" t="s">
        <v>30</v>
      </c>
      <c r="I173" s="22" t="s">
        <v>334</v>
      </c>
      <c r="J173" s="22" t="s">
        <v>335</v>
      </c>
      <c r="K173" s="519" t="s">
        <v>1092</v>
      </c>
      <c r="L173" s="521" t="s">
        <v>1155</v>
      </c>
      <c r="M173" s="521" t="s">
        <v>1156</v>
      </c>
      <c r="N173" s="521" t="s">
        <v>885</v>
      </c>
      <c r="O173" s="22" t="s">
        <v>293</v>
      </c>
      <c r="P173" s="69">
        <v>2016</v>
      </c>
      <c r="Q173" s="533">
        <f t="shared" ca="1" si="9"/>
        <v>5.5483784073566821E-2</v>
      </c>
      <c r="R173" s="335">
        <f t="shared" ca="1" si="7"/>
        <v>0</v>
      </c>
      <c r="S173" s="335">
        <f t="shared" ca="1" si="8"/>
        <v>0</v>
      </c>
      <c r="T173" s="429" t="s">
        <v>336</v>
      </c>
      <c r="U173" s="96" t="s">
        <v>337</v>
      </c>
      <c r="V173" s="24" t="s">
        <v>338</v>
      </c>
      <c r="W173" s="21"/>
      <c r="Y173" s="490"/>
    </row>
    <row r="174" spans="1:25" ht="105">
      <c r="A174" s="31">
        <v>171</v>
      </c>
      <c r="B174" s="22" t="s">
        <v>39</v>
      </c>
      <c r="C174" s="22" t="s">
        <v>290</v>
      </c>
      <c r="D174" s="22" t="s">
        <v>324</v>
      </c>
      <c r="E174" s="23" t="s">
        <v>153</v>
      </c>
      <c r="F174" s="22" t="s">
        <v>142</v>
      </c>
      <c r="G174" s="22" t="s">
        <v>154</v>
      </c>
      <c r="H174" s="22" t="s">
        <v>30</v>
      </c>
      <c r="I174" s="22" t="s">
        <v>339</v>
      </c>
      <c r="J174" s="22" t="s">
        <v>156</v>
      </c>
      <c r="K174" s="519" t="s">
        <v>1092</v>
      </c>
      <c r="L174" s="521" t="s">
        <v>1157</v>
      </c>
      <c r="M174" s="521" t="s">
        <v>1158</v>
      </c>
      <c r="N174" s="521" t="s">
        <v>885</v>
      </c>
      <c r="O174" s="22" t="s">
        <v>293</v>
      </c>
      <c r="P174" s="69">
        <v>2016</v>
      </c>
      <c r="Q174" s="533">
        <f t="shared" ca="1" si="9"/>
        <v>6.6221698730532658E-2</v>
      </c>
      <c r="R174" s="335">
        <f t="shared" ca="1" si="7"/>
        <v>0</v>
      </c>
      <c r="S174" s="335">
        <f t="shared" ca="1" si="8"/>
        <v>0</v>
      </c>
      <c r="T174" s="429" t="s">
        <v>340</v>
      </c>
      <c r="U174"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74" s="24"/>
      <c r="W174" s="21"/>
      <c r="Y174" s="490"/>
    </row>
    <row r="175" spans="1:25" ht="135">
      <c r="A175" s="31">
        <v>172</v>
      </c>
      <c r="B175" s="22" t="s">
        <v>39</v>
      </c>
      <c r="C175" s="22" t="s">
        <v>290</v>
      </c>
      <c r="D175" s="22" t="s">
        <v>341</v>
      </c>
      <c r="E175" s="23" t="s">
        <v>342</v>
      </c>
      <c r="F175" s="22" t="s">
        <v>142</v>
      </c>
      <c r="G175" s="22" t="s">
        <v>343</v>
      </c>
      <c r="H175" s="22" t="s">
        <v>30</v>
      </c>
      <c r="I175" s="22" t="s">
        <v>344</v>
      </c>
      <c r="J175" s="22" t="s">
        <v>345</v>
      </c>
      <c r="K175" s="519" t="s">
        <v>1092</v>
      </c>
      <c r="L175" s="521" t="s">
        <v>1159</v>
      </c>
      <c r="M175" s="521" t="s">
        <v>1160</v>
      </c>
      <c r="N175" s="521" t="s">
        <v>885</v>
      </c>
      <c r="O175" s="22" t="s">
        <v>293</v>
      </c>
      <c r="P175" s="69">
        <v>2016</v>
      </c>
      <c r="Q175" s="533">
        <f t="shared" ca="1" si="9"/>
        <v>4.3746802894956537E-3</v>
      </c>
      <c r="R175" s="335">
        <f t="shared" ca="1" si="7"/>
        <v>0</v>
      </c>
      <c r="S175" s="335">
        <f t="shared" ca="1" si="8"/>
        <v>0</v>
      </c>
      <c r="T175" s="429" t="s">
        <v>336</v>
      </c>
      <c r="U175" s="96" t="s">
        <v>337</v>
      </c>
      <c r="V175" s="24" t="s">
        <v>338</v>
      </c>
      <c r="W175" s="21"/>
      <c r="Y175" s="490"/>
    </row>
    <row r="176" spans="1:25" ht="75">
      <c r="A176" s="31">
        <v>173</v>
      </c>
      <c r="B176" s="22" t="s">
        <v>39</v>
      </c>
      <c r="C176" s="22" t="s">
        <v>290</v>
      </c>
      <c r="D176" s="22" t="s">
        <v>341</v>
      </c>
      <c r="E176" s="23" t="s">
        <v>346</v>
      </c>
      <c r="F176" s="22" t="s">
        <v>142</v>
      </c>
      <c r="G176" s="22" t="s">
        <v>347</v>
      </c>
      <c r="H176" s="22" t="s">
        <v>30</v>
      </c>
      <c r="I176" s="22" t="s">
        <v>348</v>
      </c>
      <c r="J176" s="22" t="s">
        <v>349</v>
      </c>
      <c r="K176" s="519" t="s">
        <v>1092</v>
      </c>
      <c r="L176" s="521" t="s">
        <v>1161</v>
      </c>
      <c r="M176" s="521" t="s">
        <v>1162</v>
      </c>
      <c r="N176" s="521" t="s">
        <v>885</v>
      </c>
      <c r="O176" s="22" t="s">
        <v>293</v>
      </c>
      <c r="P176" s="69">
        <v>2016</v>
      </c>
      <c r="Q176" s="533">
        <f t="shared" ca="1" si="9"/>
        <v>0.10622462787550745</v>
      </c>
      <c r="R176" s="335">
        <f t="shared" ca="1" si="7"/>
        <v>0</v>
      </c>
      <c r="S176" s="335">
        <f t="shared" ca="1" si="8"/>
        <v>0</v>
      </c>
      <c r="T176" s="429" t="s">
        <v>350</v>
      </c>
      <c r="U176" s="96" t="s">
        <v>351</v>
      </c>
      <c r="V176" s="24"/>
      <c r="W176" s="21"/>
      <c r="Y176" s="490"/>
    </row>
    <row r="177" spans="1:25" ht="75">
      <c r="A177" s="31">
        <v>174</v>
      </c>
      <c r="B177" s="22" t="s">
        <v>39</v>
      </c>
      <c r="C177" s="22" t="s">
        <v>290</v>
      </c>
      <c r="D177" s="22" t="s">
        <v>341</v>
      </c>
      <c r="E177" s="23" t="s">
        <v>352</v>
      </c>
      <c r="F177" s="22" t="s">
        <v>142</v>
      </c>
      <c r="G177" s="22" t="s">
        <v>347</v>
      </c>
      <c r="H177" s="22" t="s">
        <v>30</v>
      </c>
      <c r="I177" s="22" t="s">
        <v>353</v>
      </c>
      <c r="J177" s="22" t="s">
        <v>354</v>
      </c>
      <c r="K177" s="519" t="s">
        <v>1092</v>
      </c>
      <c r="L177" s="521" t="s">
        <v>1163</v>
      </c>
      <c r="M177" s="521" t="s">
        <v>1164</v>
      </c>
      <c r="N177" s="521" t="s">
        <v>885</v>
      </c>
      <c r="O177" s="22" t="s">
        <v>293</v>
      </c>
      <c r="P177" s="69">
        <v>2016</v>
      </c>
      <c r="Q177" s="533">
        <f t="shared" ca="1" si="9"/>
        <v>1.4109571628320834E-2</v>
      </c>
      <c r="R177" s="335">
        <f t="shared" ca="1" si="7"/>
        <v>0</v>
      </c>
      <c r="S177" s="335">
        <f t="shared" ca="1" si="8"/>
        <v>0</v>
      </c>
      <c r="T177" s="429" t="s">
        <v>355</v>
      </c>
      <c r="U177" s="96" t="s">
        <v>351</v>
      </c>
      <c r="V177" s="24"/>
      <c r="W177" s="21"/>
      <c r="Y177" s="490"/>
    </row>
    <row r="178" spans="1:25" ht="75">
      <c r="A178" s="31">
        <v>175</v>
      </c>
      <c r="B178" s="22" t="s">
        <v>39</v>
      </c>
      <c r="C178" s="22" t="s">
        <v>290</v>
      </c>
      <c r="D178" s="22" t="s">
        <v>341</v>
      </c>
      <c r="E178" s="23" t="s">
        <v>356</v>
      </c>
      <c r="F178" s="22" t="s">
        <v>142</v>
      </c>
      <c r="G178" s="22" t="s">
        <v>347</v>
      </c>
      <c r="H178" s="22" t="s">
        <v>30</v>
      </c>
      <c r="I178" s="22" t="s">
        <v>357</v>
      </c>
      <c r="J178" s="22" t="s">
        <v>358</v>
      </c>
      <c r="K178" s="519" t="s">
        <v>1092</v>
      </c>
      <c r="L178" s="521" t="s">
        <v>1165</v>
      </c>
      <c r="M178" s="521" t="s">
        <v>1166</v>
      </c>
      <c r="N178" s="521" t="s">
        <v>885</v>
      </c>
      <c r="O178" s="22" t="s">
        <v>293</v>
      </c>
      <c r="P178" s="69">
        <v>2016</v>
      </c>
      <c r="Q178" s="533">
        <f t="shared" ca="1" si="9"/>
        <v>2.5964893300516592E-3</v>
      </c>
      <c r="R178" s="335">
        <f t="shared" ca="1" si="7"/>
        <v>0</v>
      </c>
      <c r="S178" s="335">
        <f t="shared" ca="1" si="8"/>
        <v>0</v>
      </c>
      <c r="T178" s="429" t="s">
        <v>359</v>
      </c>
      <c r="U178" s="96" t="s">
        <v>351</v>
      </c>
      <c r="V178" s="24"/>
      <c r="W178" s="21"/>
      <c r="Y178" s="490"/>
    </row>
    <row r="179" spans="1:25" ht="75">
      <c r="A179" s="31">
        <v>176</v>
      </c>
      <c r="B179" s="22" t="s">
        <v>39</v>
      </c>
      <c r="C179" s="22" t="s">
        <v>290</v>
      </c>
      <c r="D179" s="22" t="s">
        <v>341</v>
      </c>
      <c r="E179" s="23" t="s">
        <v>270</v>
      </c>
      <c r="F179" s="22" t="s">
        <v>142</v>
      </c>
      <c r="G179" s="22" t="s">
        <v>360</v>
      </c>
      <c r="H179" s="22" t="s">
        <v>30</v>
      </c>
      <c r="I179" s="22" t="s">
        <v>361</v>
      </c>
      <c r="J179" s="22" t="s">
        <v>362</v>
      </c>
      <c r="K179" s="519" t="s">
        <v>1092</v>
      </c>
      <c r="L179" s="521" t="s">
        <v>1167</v>
      </c>
      <c r="M179" s="521" t="s">
        <v>1168</v>
      </c>
      <c r="N179" s="521" t="s">
        <v>885</v>
      </c>
      <c r="O179" s="22" t="s">
        <v>293</v>
      </c>
      <c r="P179" s="69">
        <v>2016</v>
      </c>
      <c r="Q179" s="533">
        <f t="shared" ca="1" si="9"/>
        <v>1.3083867591259977E-3</v>
      </c>
      <c r="R179" s="335">
        <f t="shared" ca="1" si="7"/>
        <v>0</v>
      </c>
      <c r="S179" s="335">
        <f t="shared" ca="1" si="8"/>
        <v>0</v>
      </c>
      <c r="T179" s="429" t="s">
        <v>363</v>
      </c>
      <c r="U179" s="22"/>
      <c r="V179" s="24"/>
      <c r="W179" s="21"/>
      <c r="Y179" s="490"/>
    </row>
    <row r="180" spans="1:25" ht="30">
      <c r="A180" s="31">
        <v>177</v>
      </c>
      <c r="B180" s="22" t="s">
        <v>39</v>
      </c>
      <c r="C180" s="22" t="s">
        <v>290</v>
      </c>
      <c r="D180" s="22" t="s">
        <v>364</v>
      </c>
      <c r="E180" s="23" t="s">
        <v>91</v>
      </c>
      <c r="F180" s="22" t="s">
        <v>92</v>
      </c>
      <c r="G180" s="22" t="s">
        <v>93</v>
      </c>
      <c r="H180" s="22" t="s">
        <v>30</v>
      </c>
      <c r="I180" s="22" t="s">
        <v>365</v>
      </c>
      <c r="J180" s="22" t="s">
        <v>92</v>
      </c>
      <c r="K180" s="519" t="s">
        <v>1092</v>
      </c>
      <c r="L180" s="521" t="s">
        <v>1169</v>
      </c>
      <c r="M180" s="521" t="s">
        <v>1170</v>
      </c>
      <c r="N180" s="521" t="s">
        <v>885</v>
      </c>
      <c r="O180" s="22" t="s">
        <v>293</v>
      </c>
      <c r="P180" s="69">
        <v>2016</v>
      </c>
      <c r="Q180" s="414">
        <f t="shared" ca="1" si="9"/>
        <v>308.75989172309579</v>
      </c>
      <c r="R180" s="335">
        <f t="shared" ca="1" si="7"/>
        <v>0</v>
      </c>
      <c r="S180" s="335">
        <f t="shared" ca="1" si="8"/>
        <v>0</v>
      </c>
      <c r="T180" s="429"/>
      <c r="U180" s="22"/>
      <c r="V180" s="24"/>
      <c r="W180" s="21"/>
      <c r="Y180" s="490"/>
    </row>
    <row r="181" spans="1:25" ht="30">
      <c r="A181" s="31">
        <v>178</v>
      </c>
      <c r="B181" s="22" t="s">
        <v>39</v>
      </c>
      <c r="C181" s="22" t="s">
        <v>290</v>
      </c>
      <c r="D181" s="22" t="s">
        <v>364</v>
      </c>
      <c r="E181" s="23" t="s">
        <v>91</v>
      </c>
      <c r="F181" s="22" t="s">
        <v>95</v>
      </c>
      <c r="G181" s="22" t="s">
        <v>93</v>
      </c>
      <c r="H181" s="22" t="s">
        <v>30</v>
      </c>
      <c r="I181" s="22" t="s">
        <v>365</v>
      </c>
      <c r="J181" s="22" t="s">
        <v>95</v>
      </c>
      <c r="K181" s="519" t="s">
        <v>1092</v>
      </c>
      <c r="L181" s="521" t="s">
        <v>1171</v>
      </c>
      <c r="M181" s="521" t="s">
        <v>1172</v>
      </c>
      <c r="N181" s="521" t="s">
        <v>885</v>
      </c>
      <c r="O181" s="22" t="s">
        <v>293</v>
      </c>
      <c r="P181" s="69">
        <v>2016</v>
      </c>
      <c r="Q181" s="414">
        <f t="shared" ca="1" si="9"/>
        <v>6.2627121171113395E-2</v>
      </c>
      <c r="R181" s="335">
        <f t="shared" ca="1" si="7"/>
        <v>0</v>
      </c>
      <c r="S181" s="335">
        <f t="shared" ca="1" si="8"/>
        <v>0</v>
      </c>
      <c r="T181" s="429"/>
      <c r="U181" s="22"/>
      <c r="V181" s="24"/>
      <c r="W181" s="21"/>
      <c r="Y181" s="490"/>
    </row>
    <row r="182" spans="1:25" ht="30">
      <c r="A182" s="31">
        <v>179</v>
      </c>
      <c r="B182" s="22" t="s">
        <v>39</v>
      </c>
      <c r="C182" s="22" t="s">
        <v>290</v>
      </c>
      <c r="D182" s="22" t="s">
        <v>364</v>
      </c>
      <c r="E182" s="23" t="s">
        <v>91</v>
      </c>
      <c r="F182" s="22" t="s">
        <v>96</v>
      </c>
      <c r="G182" s="22" t="s">
        <v>93</v>
      </c>
      <c r="H182" s="22" t="s">
        <v>30</v>
      </c>
      <c r="I182" s="22" t="s">
        <v>365</v>
      </c>
      <c r="J182" s="22" t="s">
        <v>96</v>
      </c>
      <c r="K182" s="519" t="s">
        <v>1092</v>
      </c>
      <c r="L182" s="521" t="s">
        <v>1173</v>
      </c>
      <c r="M182" s="521" t="s">
        <v>1174</v>
      </c>
      <c r="N182" s="521" t="s">
        <v>885</v>
      </c>
      <c r="O182" s="22" t="s">
        <v>293</v>
      </c>
      <c r="P182" s="69">
        <v>2016</v>
      </c>
      <c r="Q182" s="414">
        <f t="shared" ca="1" si="9"/>
        <v>0.4769468424327129</v>
      </c>
      <c r="R182" s="335">
        <f t="shared" ca="1" si="7"/>
        <v>0</v>
      </c>
      <c r="S182" s="335">
        <f t="shared" ca="1" si="8"/>
        <v>0</v>
      </c>
      <c r="T182" s="429" t="s">
        <v>48</v>
      </c>
      <c r="U182" s="22" t="s">
        <v>49</v>
      </c>
      <c r="V182" s="24"/>
      <c r="W182" s="21"/>
      <c r="Y182" s="490"/>
    </row>
    <row r="183" spans="1:25" ht="30">
      <c r="A183" s="31">
        <v>180</v>
      </c>
      <c r="B183" s="22" t="s">
        <v>39</v>
      </c>
      <c r="C183" s="22" t="s">
        <v>290</v>
      </c>
      <c r="D183" s="22" t="s">
        <v>364</v>
      </c>
      <c r="E183" s="23" t="s">
        <v>91</v>
      </c>
      <c r="F183" s="22" t="s">
        <v>97</v>
      </c>
      <c r="G183" s="22" t="s">
        <v>93</v>
      </c>
      <c r="H183" s="22" t="s">
        <v>30</v>
      </c>
      <c r="I183" s="22" t="s">
        <v>365</v>
      </c>
      <c r="J183" s="22" t="s">
        <v>97</v>
      </c>
      <c r="K183" s="519" t="s">
        <v>1092</v>
      </c>
      <c r="L183" s="521" t="s">
        <v>1175</v>
      </c>
      <c r="M183" s="521" t="s">
        <v>1176</v>
      </c>
      <c r="N183" s="521" t="s">
        <v>885</v>
      </c>
      <c r="O183" s="22" t="s">
        <v>293</v>
      </c>
      <c r="P183" s="69">
        <v>2016</v>
      </c>
      <c r="Q183" s="414">
        <f t="shared" ca="1" si="9"/>
        <v>376.71386639097682</v>
      </c>
      <c r="R183" s="335">
        <f t="shared" ca="1" si="7"/>
        <v>0</v>
      </c>
      <c r="S183" s="335">
        <f t="shared" ca="1" si="8"/>
        <v>0</v>
      </c>
      <c r="T183" s="429"/>
      <c r="U183" s="22"/>
      <c r="V183" s="24"/>
      <c r="W183" s="21"/>
      <c r="Y183" s="490"/>
    </row>
    <row r="184" spans="1:25" ht="30">
      <c r="A184" s="31">
        <v>181</v>
      </c>
      <c r="B184" s="22" t="s">
        <v>39</v>
      </c>
      <c r="C184" s="22" t="s">
        <v>290</v>
      </c>
      <c r="D184" s="22" t="s">
        <v>364</v>
      </c>
      <c r="E184" s="23" t="s">
        <v>91</v>
      </c>
      <c r="F184" s="22" t="s">
        <v>98</v>
      </c>
      <c r="G184" s="22" t="s">
        <v>93</v>
      </c>
      <c r="H184" s="22" t="s">
        <v>30</v>
      </c>
      <c r="I184" s="22" t="s">
        <v>365</v>
      </c>
      <c r="J184" s="22" t="s">
        <v>98</v>
      </c>
      <c r="K184" s="519" t="s">
        <v>1092</v>
      </c>
      <c r="L184" s="521" t="s">
        <v>1177</v>
      </c>
      <c r="M184" s="521" t="s">
        <v>1178</v>
      </c>
      <c r="N184" s="521" t="s">
        <v>885</v>
      </c>
      <c r="O184" s="22" t="s">
        <v>293</v>
      </c>
      <c r="P184" s="69">
        <v>2016</v>
      </c>
      <c r="Q184" s="414">
        <f t="shared" ca="1" si="9"/>
        <v>7.6410523483615933E-2</v>
      </c>
      <c r="R184" s="335">
        <f t="shared" ca="1" si="7"/>
        <v>0</v>
      </c>
      <c r="S184" s="335">
        <f t="shared" ca="1" si="8"/>
        <v>0</v>
      </c>
      <c r="T184" s="429"/>
      <c r="U184" s="22"/>
      <c r="V184" s="24"/>
      <c r="W184" s="21"/>
      <c r="Y184" s="490"/>
    </row>
    <row r="185" spans="1:25" ht="30">
      <c r="A185" s="31">
        <v>182</v>
      </c>
      <c r="B185" s="22" t="s">
        <v>39</v>
      </c>
      <c r="C185" s="22" t="s">
        <v>290</v>
      </c>
      <c r="D185" s="22" t="s">
        <v>364</v>
      </c>
      <c r="E185" s="23" t="s">
        <v>91</v>
      </c>
      <c r="F185" s="22" t="s">
        <v>99</v>
      </c>
      <c r="G185" s="22" t="s">
        <v>93</v>
      </c>
      <c r="H185" s="22" t="s">
        <v>30</v>
      </c>
      <c r="I185" s="22" t="s">
        <v>365</v>
      </c>
      <c r="J185" s="22" t="s">
        <v>99</v>
      </c>
      <c r="K185" s="519" t="s">
        <v>1092</v>
      </c>
      <c r="L185" s="521" t="s">
        <v>1179</v>
      </c>
      <c r="M185" s="521" t="s">
        <v>1180</v>
      </c>
      <c r="N185" s="521" t="s">
        <v>885</v>
      </c>
      <c r="O185" s="22" t="s">
        <v>293</v>
      </c>
      <c r="P185" s="69">
        <v>2016</v>
      </c>
      <c r="Q185" s="414">
        <f t="shared" ca="1" si="9"/>
        <v>0.58191654386551739</v>
      </c>
      <c r="R185" s="335">
        <f t="shared" ca="1" si="7"/>
        <v>0</v>
      </c>
      <c r="S185" s="335">
        <f t="shared" ca="1" si="8"/>
        <v>0</v>
      </c>
      <c r="T185" s="429" t="s">
        <v>48</v>
      </c>
      <c r="U185" s="22" t="s">
        <v>49</v>
      </c>
      <c r="V185" s="24"/>
      <c r="W185" s="21"/>
      <c r="Y185" s="490"/>
    </row>
    <row r="186" spans="1:25" ht="60">
      <c r="A186" s="31">
        <v>183</v>
      </c>
      <c r="B186" s="22" t="s">
        <v>39</v>
      </c>
      <c r="C186" s="22" t="s">
        <v>366</v>
      </c>
      <c r="D186" s="22" t="s">
        <v>367</v>
      </c>
      <c r="E186" s="23" t="s">
        <v>368</v>
      </c>
      <c r="F186" s="22" t="s">
        <v>142</v>
      </c>
      <c r="G186" s="22" t="s">
        <v>369</v>
      </c>
      <c r="H186" s="22" t="s">
        <v>164</v>
      </c>
      <c r="I186" s="22" t="s">
        <v>370</v>
      </c>
      <c r="J186" s="22" t="s">
        <v>371</v>
      </c>
      <c r="K186" s="519" t="s">
        <v>1092</v>
      </c>
      <c r="L186" s="521" t="s">
        <v>1181</v>
      </c>
      <c r="M186" s="521" t="s">
        <v>1182</v>
      </c>
      <c r="N186" s="521" t="s">
        <v>885</v>
      </c>
      <c r="O186" s="22" t="s">
        <v>293</v>
      </c>
      <c r="P186" s="69" t="s">
        <v>167</v>
      </c>
      <c r="Q186" s="533" t="s">
        <v>167</v>
      </c>
      <c r="R186" s="335">
        <f t="shared" ca="1" si="7"/>
        <v>0</v>
      </c>
      <c r="S186" s="335">
        <f t="shared" ca="1" si="8"/>
        <v>0</v>
      </c>
      <c r="T186" s="429" t="s">
        <v>372</v>
      </c>
      <c r="U186" s="22"/>
      <c r="V186" s="24"/>
      <c r="W186" s="21"/>
      <c r="Y186" s="490"/>
    </row>
    <row r="187" spans="1:25" ht="45">
      <c r="A187" s="31">
        <v>184</v>
      </c>
      <c r="B187" s="22" t="s">
        <v>39</v>
      </c>
      <c r="C187" s="22" t="s">
        <v>366</v>
      </c>
      <c r="D187" s="22" t="s">
        <v>367</v>
      </c>
      <c r="E187" s="23" t="s">
        <v>373</v>
      </c>
      <c r="F187" s="22" t="s">
        <v>142</v>
      </c>
      <c r="G187" s="22" t="s">
        <v>369</v>
      </c>
      <c r="H187" s="22" t="s">
        <v>164</v>
      </c>
      <c r="I187" s="22" t="s">
        <v>374</v>
      </c>
      <c r="J187" s="22" t="s">
        <v>375</v>
      </c>
      <c r="K187" s="519" t="s">
        <v>1092</v>
      </c>
      <c r="L187" s="521" t="s">
        <v>1183</v>
      </c>
      <c r="M187" s="521" t="s">
        <v>1184</v>
      </c>
      <c r="N187" s="521" t="s">
        <v>885</v>
      </c>
      <c r="O187" s="22" t="s">
        <v>293</v>
      </c>
      <c r="P187" s="69" t="s">
        <v>167</v>
      </c>
      <c r="Q187" s="533" t="s">
        <v>167</v>
      </c>
      <c r="R187" s="335">
        <f t="shared" ca="1" si="7"/>
        <v>0</v>
      </c>
      <c r="S187" s="335">
        <f t="shared" ca="1" si="8"/>
        <v>0</v>
      </c>
      <c r="T187" s="429" t="s">
        <v>376</v>
      </c>
      <c r="U187" s="22"/>
      <c r="V187" s="24"/>
      <c r="W187" s="21"/>
      <c r="Y187" s="490"/>
    </row>
    <row r="188" spans="1:25" ht="30">
      <c r="A188" s="31">
        <v>185</v>
      </c>
      <c r="B188" s="22" t="s">
        <v>39</v>
      </c>
      <c r="C188" s="22" t="s">
        <v>366</v>
      </c>
      <c r="D188" s="22" t="s">
        <v>377</v>
      </c>
      <c r="E188" s="23" t="s">
        <v>378</v>
      </c>
      <c r="F188" s="22" t="s">
        <v>142</v>
      </c>
      <c r="G188" s="22" t="s">
        <v>379</v>
      </c>
      <c r="H188" s="22" t="s">
        <v>164</v>
      </c>
      <c r="I188" s="22" t="s">
        <v>380</v>
      </c>
      <c r="J188" s="22" t="s">
        <v>381</v>
      </c>
      <c r="K188" s="519" t="s">
        <v>1092</v>
      </c>
      <c r="L188" s="521" t="s">
        <v>1185</v>
      </c>
      <c r="M188" s="521" t="s">
        <v>1186</v>
      </c>
      <c r="N188" s="521" t="s">
        <v>885</v>
      </c>
      <c r="O188" s="22" t="s">
        <v>293</v>
      </c>
      <c r="P188" s="69" t="s">
        <v>167</v>
      </c>
      <c r="Q188" s="533" t="s">
        <v>167</v>
      </c>
      <c r="R188" s="335">
        <f t="shared" ca="1" si="7"/>
        <v>0</v>
      </c>
      <c r="S188" s="335">
        <f t="shared" ca="1" si="8"/>
        <v>0</v>
      </c>
      <c r="T188" s="429" t="s">
        <v>383</v>
      </c>
      <c r="U188" s="22"/>
      <c r="V188" s="24"/>
      <c r="W188" s="21"/>
      <c r="Y188" s="490"/>
    </row>
    <row r="189" spans="1:25" ht="30">
      <c r="A189" s="31">
        <v>186</v>
      </c>
      <c r="B189" s="22" t="s">
        <v>39</v>
      </c>
      <c r="C189" s="22" t="s">
        <v>366</v>
      </c>
      <c r="D189" s="22" t="s">
        <v>377</v>
      </c>
      <c r="E189" s="23" t="s">
        <v>384</v>
      </c>
      <c r="F189" s="22" t="s">
        <v>142</v>
      </c>
      <c r="G189" s="22" t="s">
        <v>379</v>
      </c>
      <c r="H189" s="22" t="s">
        <v>164</v>
      </c>
      <c r="I189" s="22" t="s">
        <v>385</v>
      </c>
      <c r="J189" s="22" t="s">
        <v>386</v>
      </c>
      <c r="K189" s="519" t="s">
        <v>1092</v>
      </c>
      <c r="L189" s="521" t="s">
        <v>1187</v>
      </c>
      <c r="M189" s="521" t="s">
        <v>1188</v>
      </c>
      <c r="N189" s="521" t="s">
        <v>885</v>
      </c>
      <c r="O189" s="22" t="s">
        <v>293</v>
      </c>
      <c r="P189" s="69" t="s">
        <v>167</v>
      </c>
      <c r="Q189" s="533" t="s">
        <v>167</v>
      </c>
      <c r="R189" s="335">
        <f t="shared" ca="1" si="7"/>
        <v>0</v>
      </c>
      <c r="S189" s="335">
        <f t="shared" ca="1" si="8"/>
        <v>0</v>
      </c>
      <c r="T189" s="429" t="s">
        <v>383</v>
      </c>
      <c r="U189" s="22"/>
      <c r="V189" s="24"/>
      <c r="W189" s="21"/>
      <c r="Y189" s="490"/>
    </row>
    <row r="190" spans="1:25" ht="30">
      <c r="A190" s="31">
        <v>187</v>
      </c>
      <c r="B190" s="22" t="s">
        <v>39</v>
      </c>
      <c r="C190" s="22" t="s">
        <v>366</v>
      </c>
      <c r="D190" s="22" t="s">
        <v>387</v>
      </c>
      <c r="E190" s="23" t="s">
        <v>388</v>
      </c>
      <c r="F190" s="22" t="s">
        <v>142</v>
      </c>
      <c r="G190" s="22" t="s">
        <v>389</v>
      </c>
      <c r="H190" s="22" t="s">
        <v>164</v>
      </c>
      <c r="I190" s="22" t="s">
        <v>390</v>
      </c>
      <c r="J190" s="22" t="s">
        <v>391</v>
      </c>
      <c r="K190" s="519" t="s">
        <v>1092</v>
      </c>
      <c r="L190" s="521" t="s">
        <v>1189</v>
      </c>
      <c r="M190" s="521" t="s">
        <v>1190</v>
      </c>
      <c r="N190" s="521" t="s">
        <v>885</v>
      </c>
      <c r="O190" s="22" t="s">
        <v>293</v>
      </c>
      <c r="P190" s="69" t="s">
        <v>167</v>
      </c>
      <c r="Q190" s="533" t="s">
        <v>167</v>
      </c>
      <c r="R190" s="335">
        <f t="shared" ca="1" si="7"/>
        <v>0</v>
      </c>
      <c r="S190" s="335">
        <f t="shared" ca="1" si="8"/>
        <v>0</v>
      </c>
      <c r="T190" s="429" t="s">
        <v>392</v>
      </c>
      <c r="U190" s="22"/>
      <c r="V190" s="24"/>
      <c r="W190" s="21"/>
      <c r="Y190" s="490"/>
    </row>
    <row r="191" spans="1:25" ht="45">
      <c r="A191" s="31">
        <v>188</v>
      </c>
      <c r="B191" s="22" t="s">
        <v>39</v>
      </c>
      <c r="C191" s="22" t="s">
        <v>366</v>
      </c>
      <c r="D191" s="22" t="s">
        <v>141</v>
      </c>
      <c r="E191" s="23" t="s">
        <v>51</v>
      </c>
      <c r="F191" s="22" t="s">
        <v>52</v>
      </c>
      <c r="G191" s="22" t="s">
        <v>53</v>
      </c>
      <c r="H191" s="22" t="s">
        <v>30</v>
      </c>
      <c r="I191" s="22" t="s">
        <v>393</v>
      </c>
      <c r="J191" s="22" t="s">
        <v>52</v>
      </c>
      <c r="K191" s="519" t="s">
        <v>1191</v>
      </c>
      <c r="L191" s="521" t="s">
        <v>1192</v>
      </c>
      <c r="M191" s="521" t="s">
        <v>1193</v>
      </c>
      <c r="N191" s="521" t="s">
        <v>815</v>
      </c>
      <c r="O191" s="22" t="s">
        <v>394</v>
      </c>
      <c r="P191" s="69">
        <v>2016</v>
      </c>
      <c r="Q191" s="414">
        <f t="shared" ref="Q191:Q203" ca="1" si="10">SUMIF(INDIRECT("'"&amp;K191&amp;"'!c:c"),A191,INDIRECT("'"&amp;K191&amp;"'!d:d"))</f>
        <v>4590.9439276523699</v>
      </c>
      <c r="R191" s="335" t="str">
        <f t="shared" ca="1" si="7"/>
        <v>N/A</v>
      </c>
      <c r="S191" s="335" t="str">
        <f t="shared" ca="1" si="8"/>
        <v>N/A</v>
      </c>
      <c r="T191" s="429" t="s">
        <v>899</v>
      </c>
      <c r="U191" s="22"/>
      <c r="V191" s="24"/>
      <c r="W191" s="21"/>
      <c r="Y191" s="490"/>
    </row>
    <row r="192" spans="1:25" ht="45">
      <c r="A192" s="31">
        <v>189</v>
      </c>
      <c r="B192" s="22" t="s">
        <v>39</v>
      </c>
      <c r="C192" s="22" t="s">
        <v>366</v>
      </c>
      <c r="D192" s="22" t="s">
        <v>141</v>
      </c>
      <c r="E192" s="23" t="s">
        <v>51</v>
      </c>
      <c r="F192" s="22" t="s">
        <v>55</v>
      </c>
      <c r="G192" s="22" t="s">
        <v>53</v>
      </c>
      <c r="H192" s="22" t="s">
        <v>30</v>
      </c>
      <c r="I192" s="22" t="s">
        <v>393</v>
      </c>
      <c r="J192" s="22" t="s">
        <v>55</v>
      </c>
      <c r="K192" s="519" t="s">
        <v>1191</v>
      </c>
      <c r="L192" s="521" t="s">
        <v>1194</v>
      </c>
      <c r="M192" s="521" t="s">
        <v>1195</v>
      </c>
      <c r="N192" s="521" t="s">
        <v>815</v>
      </c>
      <c r="O192" s="22" t="s">
        <v>394</v>
      </c>
      <c r="P192" s="69">
        <v>2016</v>
      </c>
      <c r="Q192" s="414">
        <f t="shared" ca="1" si="10"/>
        <v>3554.7299791819801</v>
      </c>
      <c r="R192" s="335" t="str">
        <f t="shared" ca="1" si="7"/>
        <v>N/A</v>
      </c>
      <c r="S192" s="335" t="str">
        <f t="shared" ca="1" si="8"/>
        <v>N/A</v>
      </c>
      <c r="T192" s="429" t="s">
        <v>899</v>
      </c>
      <c r="U192" s="22"/>
      <c r="V192" s="24"/>
      <c r="W192" s="21"/>
      <c r="Y192" s="490"/>
    </row>
    <row r="193" spans="1:25" ht="45">
      <c r="A193" s="31">
        <v>190</v>
      </c>
      <c r="B193" s="22" t="s">
        <v>39</v>
      </c>
      <c r="C193" s="22" t="s">
        <v>366</v>
      </c>
      <c r="D193" s="22" t="s">
        <v>141</v>
      </c>
      <c r="E193" s="23" t="s">
        <v>51</v>
      </c>
      <c r="F193" s="22" t="s">
        <v>56</v>
      </c>
      <c r="G193" s="22" t="s">
        <v>53</v>
      </c>
      <c r="H193" s="22" t="s">
        <v>30</v>
      </c>
      <c r="I193" s="22" t="s">
        <v>393</v>
      </c>
      <c r="J193" s="22" t="s">
        <v>56</v>
      </c>
      <c r="K193" s="519" t="s">
        <v>1191</v>
      </c>
      <c r="L193" s="521" t="s">
        <v>1196</v>
      </c>
      <c r="M193" s="521" t="s">
        <v>1197</v>
      </c>
      <c r="N193" s="521" t="s">
        <v>815</v>
      </c>
      <c r="O193" s="22" t="s">
        <v>394</v>
      </c>
      <c r="P193" s="69">
        <v>2016</v>
      </c>
      <c r="Q193" s="414">
        <f t="shared" ca="1" si="10"/>
        <v>17529533.075263601</v>
      </c>
      <c r="R193" s="335" t="str">
        <f t="shared" ca="1" si="7"/>
        <v>N/A</v>
      </c>
      <c r="S193" s="335" t="str">
        <f t="shared" ca="1" si="8"/>
        <v>N/A</v>
      </c>
      <c r="T193" s="429" t="s">
        <v>899</v>
      </c>
      <c r="U193" s="22"/>
      <c r="V193" s="24"/>
      <c r="W193" s="21"/>
      <c r="Y193" s="490"/>
    </row>
    <row r="194" spans="1:25" ht="45">
      <c r="A194" s="31">
        <v>191</v>
      </c>
      <c r="B194" s="22" t="s">
        <v>39</v>
      </c>
      <c r="C194" s="22" t="s">
        <v>366</v>
      </c>
      <c r="D194" s="22" t="s">
        <v>141</v>
      </c>
      <c r="E194" s="23" t="s">
        <v>51</v>
      </c>
      <c r="F194" s="22" t="s">
        <v>57</v>
      </c>
      <c r="G194" s="22" t="s">
        <v>53</v>
      </c>
      <c r="H194" s="22" t="s">
        <v>30</v>
      </c>
      <c r="I194" s="22" t="s">
        <v>393</v>
      </c>
      <c r="J194" s="22" t="s">
        <v>57</v>
      </c>
      <c r="K194" s="519" t="s">
        <v>1191</v>
      </c>
      <c r="L194" s="521" t="s">
        <v>1198</v>
      </c>
      <c r="M194" s="521" t="s">
        <v>1199</v>
      </c>
      <c r="N194" s="521" t="s">
        <v>815</v>
      </c>
      <c r="O194" s="22" t="s">
        <v>394</v>
      </c>
      <c r="P194" s="69">
        <v>2016</v>
      </c>
      <c r="Q194" s="414">
        <f t="shared" ca="1" si="10"/>
        <v>12908801.461421</v>
      </c>
      <c r="R194" s="335" t="str">
        <f t="shared" ca="1" si="7"/>
        <v>N/A</v>
      </c>
      <c r="S194" s="335" t="str">
        <f t="shared" ca="1" si="8"/>
        <v>N/A</v>
      </c>
      <c r="T194" s="429" t="s">
        <v>899</v>
      </c>
      <c r="U194" s="22"/>
      <c r="V194" s="24"/>
      <c r="W194" s="21"/>
      <c r="Y194" s="490"/>
    </row>
    <row r="195" spans="1:25" ht="45">
      <c r="A195" s="31">
        <v>192</v>
      </c>
      <c r="B195" s="22" t="s">
        <v>39</v>
      </c>
      <c r="C195" s="22" t="s">
        <v>366</v>
      </c>
      <c r="D195" s="22" t="s">
        <v>141</v>
      </c>
      <c r="E195" s="23" t="s">
        <v>51</v>
      </c>
      <c r="F195" s="22" t="s">
        <v>58</v>
      </c>
      <c r="G195" s="22" t="s">
        <v>53</v>
      </c>
      <c r="H195" s="22" t="s">
        <v>30</v>
      </c>
      <c r="I195" s="22" t="s">
        <v>393</v>
      </c>
      <c r="J195" s="22" t="s">
        <v>58</v>
      </c>
      <c r="K195" s="519" t="s">
        <v>1191</v>
      </c>
      <c r="L195" s="521" t="s">
        <v>1200</v>
      </c>
      <c r="M195" s="521" t="s">
        <v>1201</v>
      </c>
      <c r="N195" s="521" t="s">
        <v>815</v>
      </c>
      <c r="O195" s="22" t="s">
        <v>394</v>
      </c>
      <c r="P195" s="69">
        <v>2016</v>
      </c>
      <c r="Q195" s="414">
        <f t="shared" ca="1" si="10"/>
        <v>658150.57731771597</v>
      </c>
      <c r="R195" s="335" t="str">
        <f t="shared" ref="R195:R258" ca="1" si="11">IF($N195 = "N","N/A",SUMIF(INDIRECT("'"&amp;K195&amp;"'!i:i"),L195,INDIRECT("'"&amp;K195&amp;"'!k:k")))</f>
        <v>N/A</v>
      </c>
      <c r="S195" s="335" t="str">
        <f t="shared" ref="S195:S258" ca="1" si="12">IF($N195 = "N","N/A",SUMIF(INDIRECT("'"&amp;K195&amp;"'!i:i"),M195,INDIRECT("'"&amp;K195&amp;"'!k:k")))</f>
        <v>N/A</v>
      </c>
      <c r="T195" s="429" t="s">
        <v>899</v>
      </c>
      <c r="U195" s="305" t="s">
        <v>395</v>
      </c>
      <c r="V195" s="24"/>
      <c r="W195" s="21"/>
      <c r="Y195" s="490"/>
    </row>
    <row r="196" spans="1:25" ht="45">
      <c r="A196" s="31">
        <v>193</v>
      </c>
      <c r="B196" s="22" t="s">
        <v>39</v>
      </c>
      <c r="C196" s="22" t="s">
        <v>366</v>
      </c>
      <c r="D196" s="22" t="s">
        <v>141</v>
      </c>
      <c r="E196" s="23" t="s">
        <v>51</v>
      </c>
      <c r="F196" s="22" t="s">
        <v>60</v>
      </c>
      <c r="G196" s="22" t="s">
        <v>53</v>
      </c>
      <c r="H196" s="22" t="s">
        <v>30</v>
      </c>
      <c r="I196" s="22" t="s">
        <v>393</v>
      </c>
      <c r="J196" s="22" t="s">
        <v>60</v>
      </c>
      <c r="K196" s="519" t="s">
        <v>1191</v>
      </c>
      <c r="L196" s="521" t="s">
        <v>1202</v>
      </c>
      <c r="M196" s="521" t="s">
        <v>1203</v>
      </c>
      <c r="N196" s="521" t="s">
        <v>815</v>
      </c>
      <c r="O196" s="22" t="s">
        <v>394</v>
      </c>
      <c r="P196" s="69">
        <v>2016</v>
      </c>
      <c r="Q196" s="414">
        <f t="shared" ca="1" si="10"/>
        <v>395429.50560636498</v>
      </c>
      <c r="R196" s="335" t="str">
        <f t="shared" ca="1" si="11"/>
        <v>N/A</v>
      </c>
      <c r="S196" s="335" t="str">
        <f t="shared" ca="1" si="12"/>
        <v>N/A</v>
      </c>
      <c r="T196" s="429" t="s">
        <v>899</v>
      </c>
      <c r="U196" s="305" t="s">
        <v>395</v>
      </c>
      <c r="V196" s="24"/>
      <c r="W196" s="21"/>
      <c r="Y196" s="490"/>
    </row>
    <row r="197" spans="1:25" ht="45">
      <c r="A197" s="31">
        <v>194</v>
      </c>
      <c r="B197" s="22" t="s">
        <v>39</v>
      </c>
      <c r="C197" s="22" t="s">
        <v>366</v>
      </c>
      <c r="D197" s="22" t="s">
        <v>141</v>
      </c>
      <c r="E197" s="23" t="s">
        <v>51</v>
      </c>
      <c r="F197" s="22" t="s">
        <v>61</v>
      </c>
      <c r="G197" s="22" t="s">
        <v>53</v>
      </c>
      <c r="H197" s="22" t="s">
        <v>30</v>
      </c>
      <c r="I197" s="22" t="s">
        <v>393</v>
      </c>
      <c r="J197" s="22" t="s">
        <v>61</v>
      </c>
      <c r="K197" s="519" t="s">
        <v>1191</v>
      </c>
      <c r="L197" s="521" t="s">
        <v>1204</v>
      </c>
      <c r="M197" s="521" t="s">
        <v>1205</v>
      </c>
      <c r="N197" s="521" t="s">
        <v>815</v>
      </c>
      <c r="O197" s="22" t="s">
        <v>394</v>
      </c>
      <c r="P197" s="69">
        <v>2016</v>
      </c>
      <c r="Q197" s="414">
        <f t="shared" ca="1" si="10"/>
        <v>55180.001106433003</v>
      </c>
      <c r="R197" s="335" t="str">
        <f t="shared" ca="1" si="11"/>
        <v>N/A</v>
      </c>
      <c r="S197" s="335" t="str">
        <f t="shared" ca="1" si="12"/>
        <v>N/A</v>
      </c>
      <c r="T197" s="429" t="s">
        <v>899</v>
      </c>
      <c r="U197" s="22"/>
      <c r="V197" s="24"/>
      <c r="W197" s="21"/>
      <c r="Y197" s="490"/>
    </row>
    <row r="198" spans="1:25" ht="45">
      <c r="A198" s="31">
        <v>195</v>
      </c>
      <c r="B198" s="22" t="s">
        <v>39</v>
      </c>
      <c r="C198" s="22" t="s">
        <v>366</v>
      </c>
      <c r="D198" s="22" t="s">
        <v>141</v>
      </c>
      <c r="E198" s="23" t="s">
        <v>51</v>
      </c>
      <c r="F198" s="22" t="s">
        <v>62</v>
      </c>
      <c r="G198" s="22" t="s">
        <v>53</v>
      </c>
      <c r="H198" s="22" t="s">
        <v>30</v>
      </c>
      <c r="I198" s="22" t="s">
        <v>393</v>
      </c>
      <c r="J198" s="22" t="s">
        <v>62</v>
      </c>
      <c r="K198" s="519" t="s">
        <v>1191</v>
      </c>
      <c r="L198" s="521" t="s">
        <v>1206</v>
      </c>
      <c r="M198" s="521" t="s">
        <v>1207</v>
      </c>
      <c r="N198" s="521" t="s">
        <v>815</v>
      </c>
      <c r="O198" s="22" t="s">
        <v>394</v>
      </c>
      <c r="P198" s="69">
        <v>2016</v>
      </c>
      <c r="Q198" s="414">
        <f t="shared" ca="1" si="10"/>
        <v>41747.003227813402</v>
      </c>
      <c r="R198" s="335" t="str">
        <f t="shared" ca="1" si="11"/>
        <v>N/A</v>
      </c>
      <c r="S198" s="335" t="str">
        <f t="shared" ca="1" si="12"/>
        <v>N/A</v>
      </c>
      <c r="T198" s="429" t="s">
        <v>899</v>
      </c>
      <c r="U198" s="22"/>
      <c r="V198" s="24"/>
      <c r="W198" s="21"/>
      <c r="Y198" s="490"/>
    </row>
    <row r="199" spans="1:25" ht="45">
      <c r="A199" s="31">
        <v>196</v>
      </c>
      <c r="B199" s="22" t="s">
        <v>39</v>
      </c>
      <c r="C199" s="22" t="s">
        <v>366</v>
      </c>
      <c r="D199" s="22" t="s">
        <v>141</v>
      </c>
      <c r="E199" s="23" t="s">
        <v>51</v>
      </c>
      <c r="F199" s="22" t="s">
        <v>63</v>
      </c>
      <c r="G199" s="22" t="s">
        <v>53</v>
      </c>
      <c r="H199" s="22" t="s">
        <v>30</v>
      </c>
      <c r="I199" s="22" t="s">
        <v>393</v>
      </c>
      <c r="J199" s="22" t="s">
        <v>63</v>
      </c>
      <c r="K199" s="519" t="s">
        <v>1191</v>
      </c>
      <c r="L199" s="521" t="s">
        <v>1208</v>
      </c>
      <c r="M199" s="521" t="s">
        <v>1209</v>
      </c>
      <c r="N199" s="521" t="s">
        <v>815</v>
      </c>
      <c r="O199" s="22" t="s">
        <v>394</v>
      </c>
      <c r="P199" s="69">
        <v>2016</v>
      </c>
      <c r="Q199" s="414">
        <f t="shared" ca="1" si="10"/>
        <v>215162157.76574799</v>
      </c>
      <c r="R199" s="335" t="str">
        <f t="shared" ca="1" si="11"/>
        <v>N/A</v>
      </c>
      <c r="S199" s="335" t="str">
        <f t="shared" ca="1" si="12"/>
        <v>N/A</v>
      </c>
      <c r="T199" s="429" t="s">
        <v>899</v>
      </c>
      <c r="U199" s="22"/>
      <c r="V199" s="24"/>
      <c r="W199" s="21"/>
      <c r="Y199" s="490"/>
    </row>
    <row r="200" spans="1:25" ht="45">
      <c r="A200" s="31">
        <v>197</v>
      </c>
      <c r="B200" s="22" t="s">
        <v>39</v>
      </c>
      <c r="C200" s="22" t="s">
        <v>366</v>
      </c>
      <c r="D200" s="22" t="s">
        <v>141</v>
      </c>
      <c r="E200" s="23" t="s">
        <v>51</v>
      </c>
      <c r="F200" s="22" t="s">
        <v>64</v>
      </c>
      <c r="G200" s="22" t="s">
        <v>53</v>
      </c>
      <c r="H200" s="22" t="s">
        <v>30</v>
      </c>
      <c r="I200" s="22" t="s">
        <v>393</v>
      </c>
      <c r="J200" s="22" t="s">
        <v>64</v>
      </c>
      <c r="K200" s="519" t="s">
        <v>1191</v>
      </c>
      <c r="L200" s="521" t="s">
        <v>1210</v>
      </c>
      <c r="M200" s="521" t="s">
        <v>1211</v>
      </c>
      <c r="N200" s="521" t="s">
        <v>815</v>
      </c>
      <c r="O200" s="22" t="s">
        <v>394</v>
      </c>
      <c r="P200" s="69">
        <v>2016</v>
      </c>
      <c r="Q200" s="414">
        <f t="shared" ca="1" si="10"/>
        <v>155638967.50607699</v>
      </c>
      <c r="R200" s="335" t="str">
        <f t="shared" ca="1" si="11"/>
        <v>N/A</v>
      </c>
      <c r="S200" s="335" t="str">
        <f t="shared" ca="1" si="12"/>
        <v>N/A</v>
      </c>
      <c r="T200" s="429" t="s">
        <v>899</v>
      </c>
      <c r="U200" s="22"/>
      <c r="V200" s="24"/>
      <c r="W200" s="21"/>
      <c r="Y200" s="490"/>
    </row>
    <row r="201" spans="1:25" ht="45">
      <c r="A201" s="31">
        <v>198</v>
      </c>
      <c r="B201" s="22" t="s">
        <v>39</v>
      </c>
      <c r="C201" s="22" t="s">
        <v>366</v>
      </c>
      <c r="D201" s="22" t="s">
        <v>141</v>
      </c>
      <c r="E201" s="23" t="s">
        <v>51</v>
      </c>
      <c r="F201" s="22" t="s">
        <v>65</v>
      </c>
      <c r="G201" s="22" t="s">
        <v>53</v>
      </c>
      <c r="H201" s="22" t="s">
        <v>30</v>
      </c>
      <c r="I201" s="22" t="s">
        <v>393</v>
      </c>
      <c r="J201" s="22" t="s">
        <v>65</v>
      </c>
      <c r="K201" s="519" t="s">
        <v>1191</v>
      </c>
      <c r="L201" s="521" t="s">
        <v>1212</v>
      </c>
      <c r="M201" s="521" t="s">
        <v>1213</v>
      </c>
      <c r="N201" s="521" t="s">
        <v>815</v>
      </c>
      <c r="O201" s="22" t="s">
        <v>394</v>
      </c>
      <c r="P201" s="69">
        <v>2016</v>
      </c>
      <c r="Q201" s="414">
        <f t="shared" ca="1" si="10"/>
        <v>9847643.0532631408</v>
      </c>
      <c r="R201" s="335" t="str">
        <f t="shared" ca="1" si="11"/>
        <v>N/A</v>
      </c>
      <c r="S201" s="335" t="str">
        <f t="shared" ca="1" si="12"/>
        <v>N/A</v>
      </c>
      <c r="T201" s="429" t="s">
        <v>899</v>
      </c>
      <c r="U201" s="305"/>
      <c r="V201" s="24"/>
      <c r="W201" s="21"/>
      <c r="Y201" s="490"/>
    </row>
    <row r="202" spans="1:25" ht="45">
      <c r="A202" s="31">
        <v>199</v>
      </c>
      <c r="B202" s="22" t="s">
        <v>39</v>
      </c>
      <c r="C202" s="22" t="s">
        <v>366</v>
      </c>
      <c r="D202" s="22" t="s">
        <v>141</v>
      </c>
      <c r="E202" s="23" t="s">
        <v>51</v>
      </c>
      <c r="F202" s="22" t="s">
        <v>66</v>
      </c>
      <c r="G202" s="22" t="s">
        <v>53</v>
      </c>
      <c r="H202" s="22" t="s">
        <v>30</v>
      </c>
      <c r="I202" s="22" t="s">
        <v>393</v>
      </c>
      <c r="J202" s="22" t="s">
        <v>66</v>
      </c>
      <c r="K202" s="519" t="s">
        <v>1191</v>
      </c>
      <c r="L202" s="521" t="s">
        <v>1214</v>
      </c>
      <c r="M202" s="521" t="s">
        <v>1215</v>
      </c>
      <c r="N202" s="521" t="s">
        <v>815</v>
      </c>
      <c r="O202" s="22" t="s">
        <v>394</v>
      </c>
      <c r="P202" s="69">
        <v>2016</v>
      </c>
      <c r="Q202" s="414">
        <f t="shared" ca="1" si="10"/>
        <v>6000837.5956774</v>
      </c>
      <c r="R202" s="335" t="str">
        <f t="shared" ca="1" si="11"/>
        <v>N/A</v>
      </c>
      <c r="S202" s="335" t="str">
        <f t="shared" ca="1" si="12"/>
        <v>N/A</v>
      </c>
      <c r="T202" s="429" t="s">
        <v>899</v>
      </c>
      <c r="U202" s="305"/>
      <c r="V202" s="24"/>
      <c r="W202" s="21"/>
      <c r="Y202" s="490"/>
    </row>
    <row r="203" spans="1:25" ht="60">
      <c r="A203" s="31">
        <v>200</v>
      </c>
      <c r="B203" s="22" t="s">
        <v>39</v>
      </c>
      <c r="C203" s="22" t="s">
        <v>366</v>
      </c>
      <c r="D203" s="22" t="s">
        <v>252</v>
      </c>
      <c r="E203" s="23" t="s">
        <v>42</v>
      </c>
      <c r="F203" s="22" t="s">
        <v>43</v>
      </c>
      <c r="G203" s="22" t="s">
        <v>44</v>
      </c>
      <c r="H203" s="22" t="s">
        <v>30</v>
      </c>
      <c r="I203" s="22" t="s">
        <v>396</v>
      </c>
      <c r="J203" s="22" t="s">
        <v>314</v>
      </c>
      <c r="K203" s="519" t="s">
        <v>1191</v>
      </c>
      <c r="L203" s="521" t="s">
        <v>1216</v>
      </c>
      <c r="M203" s="521" t="s">
        <v>1217</v>
      </c>
      <c r="N203" s="521" t="s">
        <v>815</v>
      </c>
      <c r="O203" s="22" t="s">
        <v>394</v>
      </c>
      <c r="P203" s="69">
        <v>2016</v>
      </c>
      <c r="Q203" s="414">
        <f t="shared" ca="1" si="10"/>
        <v>11222.29901293838</v>
      </c>
      <c r="R203" s="335" t="str">
        <f t="shared" ca="1" si="11"/>
        <v>N/A</v>
      </c>
      <c r="S203" s="335" t="str">
        <f t="shared" ca="1" si="12"/>
        <v>N/A</v>
      </c>
      <c r="T203" s="429" t="s">
        <v>48</v>
      </c>
      <c r="U203" s="22"/>
      <c r="V203" s="24"/>
      <c r="W203" s="21"/>
      <c r="Y203" s="490"/>
    </row>
    <row r="204" spans="1:25" ht="45">
      <c r="A204" s="31">
        <v>201</v>
      </c>
      <c r="B204" s="22" t="s">
        <v>39</v>
      </c>
      <c r="C204" s="22" t="s">
        <v>366</v>
      </c>
      <c r="D204" s="22" t="s">
        <v>397</v>
      </c>
      <c r="E204" s="23" t="s">
        <v>398</v>
      </c>
      <c r="F204" s="22" t="s">
        <v>399</v>
      </c>
      <c r="G204" s="22" t="s">
        <v>219</v>
      </c>
      <c r="H204" s="22" t="s">
        <v>164</v>
      </c>
      <c r="I204" s="22" t="s">
        <v>400</v>
      </c>
      <c r="J204" s="22" t="s">
        <v>401</v>
      </c>
      <c r="K204" s="519" t="s">
        <v>1191</v>
      </c>
      <c r="L204" s="521" t="s">
        <v>1218</v>
      </c>
      <c r="M204" s="521" t="s">
        <v>1219</v>
      </c>
      <c r="N204" s="521" t="s">
        <v>885</v>
      </c>
      <c r="O204" s="22" t="s">
        <v>394</v>
      </c>
      <c r="P204" s="69" t="s">
        <v>167</v>
      </c>
      <c r="Q204" s="533" t="s">
        <v>167</v>
      </c>
      <c r="R204" s="335">
        <f t="shared" ca="1" si="11"/>
        <v>0</v>
      </c>
      <c r="S204" s="335">
        <f t="shared" ca="1" si="12"/>
        <v>0</v>
      </c>
      <c r="T204" s="429"/>
      <c r="U204" s="22"/>
      <c r="V204" s="24"/>
      <c r="W204" s="21"/>
      <c r="Y204" s="490"/>
    </row>
    <row r="205" spans="1:25" ht="45">
      <c r="A205" s="31">
        <v>202</v>
      </c>
      <c r="B205" s="22" t="s">
        <v>39</v>
      </c>
      <c r="C205" s="22" t="s">
        <v>366</v>
      </c>
      <c r="D205" s="22" t="s">
        <v>397</v>
      </c>
      <c r="E205" s="23" t="s">
        <v>398</v>
      </c>
      <c r="F205" s="22" t="s">
        <v>402</v>
      </c>
      <c r="G205" s="22" t="s">
        <v>219</v>
      </c>
      <c r="H205" s="22" t="s">
        <v>164</v>
      </c>
      <c r="I205" s="22" t="s">
        <v>400</v>
      </c>
      <c r="J205" s="22" t="s">
        <v>403</v>
      </c>
      <c r="K205" s="519" t="s">
        <v>1191</v>
      </c>
      <c r="L205" s="521" t="s">
        <v>1220</v>
      </c>
      <c r="M205" s="521" t="s">
        <v>1221</v>
      </c>
      <c r="N205" s="521" t="s">
        <v>885</v>
      </c>
      <c r="O205" s="22" t="s">
        <v>394</v>
      </c>
      <c r="P205" s="69" t="s">
        <v>167</v>
      </c>
      <c r="Q205" s="533" t="s">
        <v>167</v>
      </c>
      <c r="R205" s="335">
        <f t="shared" ca="1" si="11"/>
        <v>0</v>
      </c>
      <c r="S205" s="335">
        <f t="shared" ca="1" si="12"/>
        <v>0</v>
      </c>
      <c r="T205" s="429"/>
      <c r="U205" s="22"/>
      <c r="V205" s="24"/>
      <c r="W205" s="21"/>
      <c r="Y205" s="490"/>
    </row>
    <row r="206" spans="1:25" ht="75">
      <c r="A206" s="31">
        <v>203</v>
      </c>
      <c r="B206" s="22" t="s">
        <v>39</v>
      </c>
      <c r="C206" s="22" t="s">
        <v>366</v>
      </c>
      <c r="D206" s="22" t="s">
        <v>397</v>
      </c>
      <c r="E206" s="23" t="s">
        <v>398</v>
      </c>
      <c r="F206" s="22" t="s">
        <v>404</v>
      </c>
      <c r="G206" s="22" t="s">
        <v>219</v>
      </c>
      <c r="H206" s="22" t="s">
        <v>164</v>
      </c>
      <c r="I206" s="22" t="s">
        <v>400</v>
      </c>
      <c r="J206" s="22" t="s">
        <v>405</v>
      </c>
      <c r="K206" s="519" t="s">
        <v>1191</v>
      </c>
      <c r="L206" s="521" t="s">
        <v>1222</v>
      </c>
      <c r="M206" s="521" t="s">
        <v>1223</v>
      </c>
      <c r="N206" s="521" t="s">
        <v>885</v>
      </c>
      <c r="O206" s="22" t="s">
        <v>394</v>
      </c>
      <c r="P206" s="69" t="s">
        <v>167</v>
      </c>
      <c r="Q206" s="533" t="s">
        <v>167</v>
      </c>
      <c r="R206" s="335">
        <f t="shared" ca="1" si="11"/>
        <v>0</v>
      </c>
      <c r="S206" s="335">
        <f t="shared" ca="1" si="12"/>
        <v>0</v>
      </c>
      <c r="T206" s="429" t="s">
        <v>406</v>
      </c>
      <c r="U206" s="22" t="s">
        <v>407</v>
      </c>
      <c r="V206" s="24"/>
      <c r="W206" s="21"/>
      <c r="Y206" s="490"/>
    </row>
    <row r="207" spans="1:25" ht="45">
      <c r="A207" s="31">
        <v>204</v>
      </c>
      <c r="B207" s="22" t="s">
        <v>39</v>
      </c>
      <c r="C207" s="22" t="s">
        <v>366</v>
      </c>
      <c r="D207" s="22" t="s">
        <v>397</v>
      </c>
      <c r="E207" s="23" t="s">
        <v>234</v>
      </c>
      <c r="F207" s="22" t="s">
        <v>408</v>
      </c>
      <c r="G207" s="22" t="s">
        <v>235</v>
      </c>
      <c r="H207" s="22" t="s">
        <v>164</v>
      </c>
      <c r="I207" s="22" t="s">
        <v>409</v>
      </c>
      <c r="J207" s="22" t="s">
        <v>410</v>
      </c>
      <c r="K207" s="519" t="s">
        <v>1191</v>
      </c>
      <c r="L207" s="521" t="s">
        <v>1224</v>
      </c>
      <c r="M207" s="521" t="s">
        <v>1225</v>
      </c>
      <c r="N207" s="521" t="s">
        <v>815</v>
      </c>
      <c r="O207" s="22" t="s">
        <v>394</v>
      </c>
      <c r="P207" s="69" t="s">
        <v>167</v>
      </c>
      <c r="Q207" s="414" t="s">
        <v>167</v>
      </c>
      <c r="R207" s="335" t="str">
        <f t="shared" ca="1" si="11"/>
        <v>N/A</v>
      </c>
      <c r="S207" s="335" t="str">
        <f t="shared" ca="1" si="12"/>
        <v>N/A</v>
      </c>
      <c r="T207" s="429"/>
      <c r="U207" s="22"/>
      <c r="V207" s="24"/>
      <c r="W207" s="21"/>
      <c r="Y207" s="490"/>
    </row>
    <row r="208" spans="1:25" ht="45">
      <c r="A208" s="31">
        <v>205</v>
      </c>
      <c r="B208" s="22" t="s">
        <v>39</v>
      </c>
      <c r="C208" s="22" t="s">
        <v>366</v>
      </c>
      <c r="D208" s="22" t="s">
        <v>397</v>
      </c>
      <c r="E208" s="23" t="s">
        <v>234</v>
      </c>
      <c r="F208" s="22" t="s">
        <v>411</v>
      </c>
      <c r="G208" s="22" t="s">
        <v>235</v>
      </c>
      <c r="H208" s="22" t="s">
        <v>164</v>
      </c>
      <c r="I208" s="22" t="s">
        <v>409</v>
      </c>
      <c r="J208" s="22" t="s">
        <v>410</v>
      </c>
      <c r="K208" s="519" t="s">
        <v>1191</v>
      </c>
      <c r="L208" s="521" t="s">
        <v>1226</v>
      </c>
      <c r="M208" s="521" t="s">
        <v>1227</v>
      </c>
      <c r="N208" s="521" t="s">
        <v>815</v>
      </c>
      <c r="O208" s="22" t="s">
        <v>394</v>
      </c>
      <c r="P208" s="69" t="s">
        <v>167</v>
      </c>
      <c r="Q208" s="414" t="s">
        <v>167</v>
      </c>
      <c r="R208" s="335" t="str">
        <f t="shared" ca="1" si="11"/>
        <v>N/A</v>
      </c>
      <c r="S208" s="335" t="str">
        <f t="shared" ca="1" si="12"/>
        <v>N/A</v>
      </c>
      <c r="T208" s="429"/>
      <c r="U208" s="22"/>
      <c r="V208" s="24"/>
      <c r="W208" s="21"/>
      <c r="Y208" s="490"/>
    </row>
    <row r="209" spans="1:25" ht="60">
      <c r="A209" s="31">
        <v>206</v>
      </c>
      <c r="B209" s="22" t="s">
        <v>39</v>
      </c>
      <c r="C209" s="22" t="s">
        <v>366</v>
      </c>
      <c r="D209" s="22" t="s">
        <v>397</v>
      </c>
      <c r="E209" s="23" t="s">
        <v>234</v>
      </c>
      <c r="F209" s="22" t="s">
        <v>412</v>
      </c>
      <c r="G209" s="22" t="s">
        <v>235</v>
      </c>
      <c r="H209" s="22" t="s">
        <v>164</v>
      </c>
      <c r="I209" s="22" t="s">
        <v>409</v>
      </c>
      <c r="J209" s="22" t="s">
        <v>413</v>
      </c>
      <c r="K209" s="519" t="s">
        <v>1191</v>
      </c>
      <c r="L209" s="521" t="s">
        <v>1228</v>
      </c>
      <c r="M209" s="521" t="s">
        <v>1229</v>
      </c>
      <c r="N209" s="521" t="s">
        <v>815</v>
      </c>
      <c r="O209" s="22" t="s">
        <v>394</v>
      </c>
      <c r="P209" s="69" t="s">
        <v>167</v>
      </c>
      <c r="Q209" s="414" t="s">
        <v>167</v>
      </c>
      <c r="R209" s="335" t="str">
        <f t="shared" ca="1" si="11"/>
        <v>N/A</v>
      </c>
      <c r="S209" s="335" t="str">
        <f t="shared" ca="1" si="12"/>
        <v>N/A</v>
      </c>
      <c r="T209" s="429" t="s">
        <v>414</v>
      </c>
      <c r="U209" s="22"/>
      <c r="V209" s="24"/>
      <c r="W209" s="21"/>
      <c r="Y209" s="490"/>
    </row>
    <row r="210" spans="1:25" ht="45">
      <c r="A210" s="31">
        <v>207</v>
      </c>
      <c r="B210" s="22" t="s">
        <v>39</v>
      </c>
      <c r="C210" s="22" t="s">
        <v>366</v>
      </c>
      <c r="D210" s="22" t="s">
        <v>397</v>
      </c>
      <c r="E210" s="23" t="s">
        <v>415</v>
      </c>
      <c r="F210" s="22" t="s">
        <v>408</v>
      </c>
      <c r="G210" s="22" t="s">
        <v>416</v>
      </c>
      <c r="H210" s="22" t="s">
        <v>164</v>
      </c>
      <c r="I210" s="22" t="s">
        <v>417</v>
      </c>
      <c r="J210" s="22" t="s">
        <v>418</v>
      </c>
      <c r="K210" s="519" t="s">
        <v>1191</v>
      </c>
      <c r="L210" s="521" t="s">
        <v>1230</v>
      </c>
      <c r="M210" s="521" t="s">
        <v>1231</v>
      </c>
      <c r="N210" s="521" t="s">
        <v>885</v>
      </c>
      <c r="O210" s="22" t="s">
        <v>394</v>
      </c>
      <c r="P210" s="69" t="s">
        <v>167</v>
      </c>
      <c r="Q210" s="414" t="s">
        <v>167</v>
      </c>
      <c r="R210" s="335">
        <f t="shared" ca="1" si="11"/>
        <v>0</v>
      </c>
      <c r="S210" s="335">
        <f t="shared" ca="1" si="12"/>
        <v>0</v>
      </c>
      <c r="T210" s="429"/>
      <c r="U210" s="22"/>
      <c r="V210" s="24"/>
      <c r="W210" s="21"/>
      <c r="Y210" s="490"/>
    </row>
    <row r="211" spans="1:25" ht="45">
      <c r="A211" s="31">
        <v>208</v>
      </c>
      <c r="B211" s="22" t="s">
        <v>39</v>
      </c>
      <c r="C211" s="22" t="s">
        <v>366</v>
      </c>
      <c r="D211" s="22" t="s">
        <v>397</v>
      </c>
      <c r="E211" s="23" t="s">
        <v>415</v>
      </c>
      <c r="F211" s="22" t="s">
        <v>411</v>
      </c>
      <c r="G211" s="22" t="s">
        <v>416</v>
      </c>
      <c r="H211" s="22" t="s">
        <v>164</v>
      </c>
      <c r="I211" s="22" t="s">
        <v>417</v>
      </c>
      <c r="J211" s="22" t="s">
        <v>419</v>
      </c>
      <c r="K211" s="519" t="s">
        <v>1191</v>
      </c>
      <c r="L211" s="521" t="s">
        <v>1232</v>
      </c>
      <c r="M211" s="521" t="s">
        <v>1233</v>
      </c>
      <c r="N211" s="521" t="s">
        <v>885</v>
      </c>
      <c r="O211" s="22" t="s">
        <v>394</v>
      </c>
      <c r="P211" s="69" t="s">
        <v>167</v>
      </c>
      <c r="Q211" s="414" t="s">
        <v>167</v>
      </c>
      <c r="R211" s="335">
        <f t="shared" ca="1" si="11"/>
        <v>0</v>
      </c>
      <c r="S211" s="335">
        <f t="shared" ca="1" si="12"/>
        <v>0</v>
      </c>
      <c r="T211" s="429"/>
      <c r="U211" s="22"/>
      <c r="V211" s="24"/>
      <c r="W211" s="21"/>
      <c r="Y211" s="490"/>
    </row>
    <row r="212" spans="1:25" ht="60">
      <c r="A212" s="31">
        <v>209</v>
      </c>
      <c r="B212" s="22" t="s">
        <v>39</v>
      </c>
      <c r="C212" s="22" t="s">
        <v>366</v>
      </c>
      <c r="D212" s="22" t="s">
        <v>397</v>
      </c>
      <c r="E212" s="23" t="s">
        <v>415</v>
      </c>
      <c r="F212" s="22" t="s">
        <v>412</v>
      </c>
      <c r="G212" s="22" t="s">
        <v>416</v>
      </c>
      <c r="H212" s="22" t="s">
        <v>164</v>
      </c>
      <c r="I212" s="22" t="s">
        <v>417</v>
      </c>
      <c r="J212" s="22" t="s">
        <v>420</v>
      </c>
      <c r="K212" s="519" t="s">
        <v>1191</v>
      </c>
      <c r="L212" s="521" t="s">
        <v>1234</v>
      </c>
      <c r="M212" s="521" t="s">
        <v>1235</v>
      </c>
      <c r="N212" s="521" t="s">
        <v>885</v>
      </c>
      <c r="O212" s="22" t="s">
        <v>394</v>
      </c>
      <c r="P212" s="69" t="s">
        <v>167</v>
      </c>
      <c r="Q212" s="414" t="s">
        <v>167</v>
      </c>
      <c r="R212" s="335">
        <f t="shared" ca="1" si="11"/>
        <v>0</v>
      </c>
      <c r="S212" s="335">
        <f t="shared" ca="1" si="12"/>
        <v>0</v>
      </c>
      <c r="T212" s="429" t="s">
        <v>421</v>
      </c>
      <c r="U212" s="22"/>
      <c r="V212" s="24"/>
      <c r="W212" s="21"/>
      <c r="Y212" s="490"/>
    </row>
    <row r="213" spans="1:25" ht="90">
      <c r="A213" s="31">
        <v>210</v>
      </c>
      <c r="B213" s="22" t="s">
        <v>39</v>
      </c>
      <c r="C213" s="22" t="s">
        <v>422</v>
      </c>
      <c r="D213" s="22" t="s">
        <v>153</v>
      </c>
      <c r="E213" s="23" t="s">
        <v>141</v>
      </c>
      <c r="F213" s="22" t="s">
        <v>142</v>
      </c>
      <c r="G213" s="22" t="s">
        <v>143</v>
      </c>
      <c r="H213" s="22" t="s">
        <v>30</v>
      </c>
      <c r="I213" s="22" t="s">
        <v>423</v>
      </c>
      <c r="J213" s="22" t="s">
        <v>424</v>
      </c>
      <c r="K213" s="519" t="s">
        <v>1191</v>
      </c>
      <c r="L213" s="521" t="s">
        <v>1236</v>
      </c>
      <c r="M213" s="521" t="s">
        <v>1237</v>
      </c>
      <c r="N213" s="521" t="s">
        <v>885</v>
      </c>
      <c r="O213" s="22" t="s">
        <v>394</v>
      </c>
      <c r="P213" s="69">
        <v>2016</v>
      </c>
      <c r="Q213" s="533">
        <f ca="1">SUMIF(INDIRECT("'"&amp;K213&amp;"'!c:c"),A213,INDIRECT("'"&amp;K213&amp;"'!d:d"))</f>
        <v>3.4340854264225909E-2</v>
      </c>
      <c r="R213" s="335">
        <f t="shared" ca="1" si="11"/>
        <v>0</v>
      </c>
      <c r="S213" s="335">
        <f t="shared" ca="1" si="12"/>
        <v>0</v>
      </c>
      <c r="T213" s="429" t="s">
        <v>425</v>
      </c>
      <c r="U213" s="22" t="s">
        <v>246</v>
      </c>
      <c r="V213" s="24"/>
      <c r="W213" s="21"/>
      <c r="Y213" s="490"/>
    </row>
    <row r="214" spans="1:25" ht="75">
      <c r="A214" s="31">
        <v>211</v>
      </c>
      <c r="B214" s="22" t="s">
        <v>39</v>
      </c>
      <c r="C214" s="22" t="s">
        <v>422</v>
      </c>
      <c r="D214" s="22" t="s">
        <v>426</v>
      </c>
      <c r="E214" s="23" t="s">
        <v>252</v>
      </c>
      <c r="F214" s="22" t="s">
        <v>142</v>
      </c>
      <c r="G214" s="22" t="s">
        <v>253</v>
      </c>
      <c r="H214" s="22" t="s">
        <v>164</v>
      </c>
      <c r="I214" s="22" t="s">
        <v>427</v>
      </c>
      <c r="J214" s="22" t="s">
        <v>428</v>
      </c>
      <c r="K214" s="519" t="s">
        <v>1191</v>
      </c>
      <c r="L214" s="521" t="s">
        <v>1238</v>
      </c>
      <c r="M214" s="521" t="s">
        <v>1239</v>
      </c>
      <c r="N214" s="521" t="s">
        <v>885</v>
      </c>
      <c r="O214" s="22" t="s">
        <v>394</v>
      </c>
      <c r="P214" s="69" t="s">
        <v>167</v>
      </c>
      <c r="Q214" s="533" t="s">
        <v>167</v>
      </c>
      <c r="R214" s="335">
        <f t="shared" ca="1" si="11"/>
        <v>0</v>
      </c>
      <c r="S214" s="335">
        <f t="shared" ca="1" si="12"/>
        <v>0</v>
      </c>
      <c r="T214" s="429" t="s">
        <v>429</v>
      </c>
      <c r="U214" s="22"/>
      <c r="V214" s="24"/>
      <c r="W214" s="21"/>
      <c r="Y214" s="490"/>
    </row>
    <row r="215" spans="1:25" ht="105">
      <c r="A215" s="31">
        <v>212</v>
      </c>
      <c r="B215" s="22" t="s">
        <v>39</v>
      </c>
      <c r="C215" s="22" t="s">
        <v>422</v>
      </c>
      <c r="D215" s="22" t="s">
        <v>426</v>
      </c>
      <c r="E215" s="23" t="s">
        <v>430</v>
      </c>
      <c r="F215" s="22" t="s">
        <v>142</v>
      </c>
      <c r="G215" s="22" t="s">
        <v>416</v>
      </c>
      <c r="H215" s="22" t="s">
        <v>164</v>
      </c>
      <c r="I215" s="22" t="s">
        <v>431</v>
      </c>
      <c r="J215" s="22" t="s">
        <v>432</v>
      </c>
      <c r="K215" s="519" t="s">
        <v>1191</v>
      </c>
      <c r="L215" s="521" t="s">
        <v>1240</v>
      </c>
      <c r="M215" s="521" t="s">
        <v>1241</v>
      </c>
      <c r="N215" s="521" t="s">
        <v>885</v>
      </c>
      <c r="O215" s="22" t="s">
        <v>394</v>
      </c>
      <c r="P215" s="69" t="s">
        <v>167</v>
      </c>
      <c r="Q215" s="533" t="s">
        <v>167</v>
      </c>
      <c r="R215" s="335">
        <f t="shared" ca="1" si="11"/>
        <v>0</v>
      </c>
      <c r="S215" s="335">
        <f t="shared" ca="1" si="12"/>
        <v>0</v>
      </c>
      <c r="T215" s="429" t="s">
        <v>433</v>
      </c>
      <c r="U215" s="22"/>
      <c r="V215" s="24"/>
      <c r="W215" s="21"/>
      <c r="Y215" s="490"/>
    </row>
    <row r="216" spans="1:25" ht="30">
      <c r="A216" s="31">
        <v>213</v>
      </c>
      <c r="B216" s="22" t="s">
        <v>39</v>
      </c>
      <c r="C216" s="22" t="s">
        <v>422</v>
      </c>
      <c r="D216" s="22" t="s">
        <v>434</v>
      </c>
      <c r="E216" s="23" t="s">
        <v>91</v>
      </c>
      <c r="F216" s="22" t="s">
        <v>92</v>
      </c>
      <c r="G216" s="22" t="s">
        <v>93</v>
      </c>
      <c r="H216" s="22" t="s">
        <v>30</v>
      </c>
      <c r="I216" s="22" t="s">
        <v>435</v>
      </c>
      <c r="J216" s="22" t="s">
        <v>92</v>
      </c>
      <c r="K216" s="519" t="s">
        <v>1191</v>
      </c>
      <c r="L216" s="521" t="s">
        <v>1242</v>
      </c>
      <c r="M216" s="521" t="s">
        <v>1243</v>
      </c>
      <c r="N216" s="521" t="s">
        <v>885</v>
      </c>
      <c r="O216" s="22" t="s">
        <v>394</v>
      </c>
      <c r="P216" s="69">
        <v>2016</v>
      </c>
      <c r="Q216" s="414">
        <f t="shared" ref="Q216:Q224" ca="1" si="13">SUMIF(INDIRECT("'"&amp;K216&amp;"'!c:c"),A216,INDIRECT("'"&amp;K216&amp;"'!d:d"))</f>
        <v>252.79448034943113</v>
      </c>
      <c r="R216" s="335">
        <f t="shared" ca="1" si="11"/>
        <v>0</v>
      </c>
      <c r="S216" s="335">
        <f t="shared" ca="1" si="12"/>
        <v>0</v>
      </c>
      <c r="T216" s="429"/>
      <c r="U216" s="22"/>
      <c r="V216" s="24"/>
      <c r="W216" s="21"/>
      <c r="Y216" s="490"/>
    </row>
    <row r="217" spans="1:25" ht="30">
      <c r="A217" s="31">
        <v>214</v>
      </c>
      <c r="B217" s="22" t="s">
        <v>39</v>
      </c>
      <c r="C217" s="22" t="s">
        <v>422</v>
      </c>
      <c r="D217" s="22" t="s">
        <v>434</v>
      </c>
      <c r="E217" s="23" t="s">
        <v>91</v>
      </c>
      <c r="F217" s="22" t="s">
        <v>95</v>
      </c>
      <c r="G217" s="22" t="s">
        <v>93</v>
      </c>
      <c r="H217" s="22" t="s">
        <v>30</v>
      </c>
      <c r="I217" s="22" t="s">
        <v>435</v>
      </c>
      <c r="J217" s="22" t="s">
        <v>95</v>
      </c>
      <c r="K217" s="519" t="s">
        <v>1191</v>
      </c>
      <c r="L217" s="521" t="s">
        <v>1244</v>
      </c>
      <c r="M217" s="521" t="s">
        <v>1245</v>
      </c>
      <c r="N217" s="521" t="s">
        <v>885</v>
      </c>
      <c r="O217" s="22" t="s">
        <v>394</v>
      </c>
      <c r="P217" s="69">
        <v>2016</v>
      </c>
      <c r="Q217" s="719">
        <f t="shared" ca="1" si="13"/>
        <v>6.7807003324595175E-2</v>
      </c>
      <c r="R217" s="335">
        <f t="shared" ca="1" si="11"/>
        <v>0</v>
      </c>
      <c r="S217" s="335">
        <f t="shared" ca="1" si="12"/>
        <v>0</v>
      </c>
      <c r="T217" s="429"/>
      <c r="U217" s="22"/>
      <c r="V217" s="24"/>
      <c r="W217" s="21"/>
      <c r="Y217" s="490"/>
    </row>
    <row r="218" spans="1:25" ht="30">
      <c r="A218" s="31">
        <v>215</v>
      </c>
      <c r="B218" s="22" t="s">
        <v>39</v>
      </c>
      <c r="C218" s="22" t="s">
        <v>422</v>
      </c>
      <c r="D218" s="22" t="s">
        <v>434</v>
      </c>
      <c r="E218" s="23" t="s">
        <v>91</v>
      </c>
      <c r="F218" s="22" t="s">
        <v>96</v>
      </c>
      <c r="G218" s="22" t="s">
        <v>93</v>
      </c>
      <c r="H218" s="22" t="s">
        <v>30</v>
      </c>
      <c r="I218" s="22" t="s">
        <v>435</v>
      </c>
      <c r="J218" s="22" t="s">
        <v>96</v>
      </c>
      <c r="K218" s="519" t="s">
        <v>1191</v>
      </c>
      <c r="L218" s="521" t="s">
        <v>1246</v>
      </c>
      <c r="M218" s="521" t="s">
        <v>1247</v>
      </c>
      <c r="N218" s="521" t="s">
        <v>885</v>
      </c>
      <c r="O218" s="22" t="s">
        <v>394</v>
      </c>
      <c r="P218" s="69">
        <v>2016</v>
      </c>
      <c r="Q218" s="719">
        <f t="shared" ca="1" si="13"/>
        <v>0.47732983132924717</v>
      </c>
      <c r="R218" s="335">
        <f t="shared" ca="1" si="11"/>
        <v>0</v>
      </c>
      <c r="S218" s="335">
        <f t="shared" ca="1" si="12"/>
        <v>0</v>
      </c>
      <c r="T218" s="429" t="s">
        <v>48</v>
      </c>
      <c r="U218" s="22" t="s">
        <v>49</v>
      </c>
      <c r="V218" s="24"/>
      <c r="W218" s="21"/>
      <c r="Y218" s="490"/>
    </row>
    <row r="219" spans="1:25" ht="30">
      <c r="A219" s="31">
        <v>216</v>
      </c>
      <c r="B219" s="22" t="s">
        <v>39</v>
      </c>
      <c r="C219" s="22" t="s">
        <v>422</v>
      </c>
      <c r="D219" s="22" t="s">
        <v>434</v>
      </c>
      <c r="E219" s="23" t="s">
        <v>91</v>
      </c>
      <c r="F219" s="22" t="s">
        <v>97</v>
      </c>
      <c r="G219" s="22" t="s">
        <v>93</v>
      </c>
      <c r="H219" s="22" t="s">
        <v>30</v>
      </c>
      <c r="I219" s="22" t="s">
        <v>435</v>
      </c>
      <c r="J219" s="22" t="s">
        <v>97</v>
      </c>
      <c r="K219" s="519" t="s">
        <v>1191</v>
      </c>
      <c r="L219" s="521" t="s">
        <v>1248</v>
      </c>
      <c r="M219" s="521" t="s">
        <v>1249</v>
      </c>
      <c r="N219" s="521" t="s">
        <v>885</v>
      </c>
      <c r="O219" s="22" t="s">
        <v>394</v>
      </c>
      <c r="P219" s="69">
        <v>2016</v>
      </c>
      <c r="Q219" s="414">
        <f t="shared" ca="1" si="13"/>
        <v>511.94720125703424</v>
      </c>
      <c r="R219" s="335">
        <f t="shared" ca="1" si="11"/>
        <v>0</v>
      </c>
      <c r="S219" s="335">
        <f t="shared" ca="1" si="12"/>
        <v>0</v>
      </c>
      <c r="T219" s="429"/>
      <c r="U219" s="22"/>
      <c r="V219" s="24"/>
      <c r="W219" s="21"/>
      <c r="Y219" s="490"/>
    </row>
    <row r="220" spans="1:25" ht="30">
      <c r="A220" s="31">
        <v>217</v>
      </c>
      <c r="B220" s="22" t="s">
        <v>39</v>
      </c>
      <c r="C220" s="22" t="s">
        <v>422</v>
      </c>
      <c r="D220" s="22" t="s">
        <v>434</v>
      </c>
      <c r="E220" s="23" t="s">
        <v>91</v>
      </c>
      <c r="F220" s="22" t="s">
        <v>98</v>
      </c>
      <c r="G220" s="22" t="s">
        <v>93</v>
      </c>
      <c r="H220" s="22" t="s">
        <v>30</v>
      </c>
      <c r="I220" s="22" t="s">
        <v>435</v>
      </c>
      <c r="J220" s="22" t="s">
        <v>98</v>
      </c>
      <c r="K220" s="519" t="s">
        <v>1191</v>
      </c>
      <c r="L220" s="521" t="s">
        <v>1250</v>
      </c>
      <c r="M220" s="521" t="s">
        <v>1251</v>
      </c>
      <c r="N220" s="521" t="s">
        <v>885</v>
      </c>
      <c r="O220" s="22" t="s">
        <v>394</v>
      </c>
      <c r="P220" s="69">
        <v>2016</v>
      </c>
      <c r="Q220" s="719">
        <f t="shared" ca="1" si="13"/>
        <v>0.1373194760014903</v>
      </c>
      <c r="R220" s="335">
        <f t="shared" ca="1" si="11"/>
        <v>0</v>
      </c>
      <c r="S220" s="335">
        <f t="shared" ca="1" si="12"/>
        <v>0</v>
      </c>
      <c r="T220" s="429"/>
      <c r="U220" s="22"/>
      <c r="V220" s="24"/>
      <c r="W220" s="21"/>
      <c r="Y220" s="490"/>
    </row>
    <row r="221" spans="1:25" ht="30">
      <c r="A221" s="31">
        <v>218</v>
      </c>
      <c r="B221" s="22" t="s">
        <v>39</v>
      </c>
      <c r="C221" s="22" t="s">
        <v>422</v>
      </c>
      <c r="D221" s="22" t="s">
        <v>434</v>
      </c>
      <c r="E221" s="23" t="s">
        <v>91</v>
      </c>
      <c r="F221" s="22" t="s">
        <v>99</v>
      </c>
      <c r="G221" s="22" t="s">
        <v>93</v>
      </c>
      <c r="H221" s="22" t="s">
        <v>30</v>
      </c>
      <c r="I221" s="22" t="s">
        <v>435</v>
      </c>
      <c r="J221" s="22" t="s">
        <v>99</v>
      </c>
      <c r="K221" s="519" t="s">
        <v>1191</v>
      </c>
      <c r="L221" s="521" t="s">
        <v>1252</v>
      </c>
      <c r="M221" s="521" t="s">
        <v>1253</v>
      </c>
      <c r="N221" s="521" t="s">
        <v>885</v>
      </c>
      <c r="O221" s="22" t="s">
        <v>394</v>
      </c>
      <c r="P221" s="69">
        <v>2016</v>
      </c>
      <c r="Q221" s="719">
        <f t="shared" ca="1" si="13"/>
        <v>0.96666537531878627</v>
      </c>
      <c r="R221" s="335">
        <f t="shared" ca="1" si="11"/>
        <v>0</v>
      </c>
      <c r="S221" s="335">
        <f t="shared" ca="1" si="12"/>
        <v>0</v>
      </c>
      <c r="T221" s="429" t="s">
        <v>48</v>
      </c>
      <c r="U221" s="22" t="s">
        <v>49</v>
      </c>
      <c r="V221" s="24"/>
      <c r="W221" s="21"/>
      <c r="Y221" s="490"/>
    </row>
    <row r="222" spans="1:25" ht="45">
      <c r="A222" s="31">
        <v>219</v>
      </c>
      <c r="B222" s="22" t="s">
        <v>39</v>
      </c>
      <c r="C222" s="22" t="s">
        <v>422</v>
      </c>
      <c r="D222" s="22" t="s">
        <v>436</v>
      </c>
      <c r="E222" s="23" t="s">
        <v>437</v>
      </c>
      <c r="F222" s="22" t="s">
        <v>438</v>
      </c>
      <c r="G222" s="22" t="s">
        <v>439</v>
      </c>
      <c r="H222" s="22" t="s">
        <v>164</v>
      </c>
      <c r="I222" s="22" t="s">
        <v>440</v>
      </c>
      <c r="J222" s="22" t="s">
        <v>441</v>
      </c>
      <c r="K222" s="519" t="s">
        <v>1191</v>
      </c>
      <c r="L222" s="521" t="s">
        <v>1254</v>
      </c>
      <c r="M222" s="521" t="s">
        <v>1255</v>
      </c>
      <c r="N222" s="521" t="s">
        <v>885</v>
      </c>
      <c r="O222" s="22" t="s">
        <v>394</v>
      </c>
      <c r="P222" s="69" t="s">
        <v>167</v>
      </c>
      <c r="Q222" s="414" t="s">
        <v>167</v>
      </c>
      <c r="R222" s="335">
        <f t="shared" ca="1" si="11"/>
        <v>0</v>
      </c>
      <c r="S222" s="335">
        <f t="shared" ca="1" si="12"/>
        <v>0</v>
      </c>
      <c r="T222" s="429" t="s">
        <v>442</v>
      </c>
      <c r="U222" s="22" t="s">
        <v>443</v>
      </c>
      <c r="V222" s="24"/>
      <c r="W222" s="21"/>
      <c r="Y222" s="490"/>
    </row>
    <row r="223" spans="1:25" ht="60">
      <c r="A223" s="31">
        <v>220</v>
      </c>
      <c r="B223" s="22" t="s">
        <v>39</v>
      </c>
      <c r="C223" s="22" t="s">
        <v>422</v>
      </c>
      <c r="D223" s="22" t="s">
        <v>444</v>
      </c>
      <c r="E223" s="23" t="s">
        <v>445</v>
      </c>
      <c r="F223" s="22" t="s">
        <v>142</v>
      </c>
      <c r="G223" s="22" t="s">
        <v>446</v>
      </c>
      <c r="H223" s="22" t="s">
        <v>30</v>
      </c>
      <c r="I223" s="22" t="s">
        <v>447</v>
      </c>
      <c r="J223" s="22" t="s">
        <v>448</v>
      </c>
      <c r="K223" s="519" t="s">
        <v>1191</v>
      </c>
      <c r="L223" s="521" t="s">
        <v>1256</v>
      </c>
      <c r="M223" s="521" t="s">
        <v>1257</v>
      </c>
      <c r="N223" s="521" t="s">
        <v>885</v>
      </c>
      <c r="O223" s="22" t="s">
        <v>394</v>
      </c>
      <c r="P223" s="69">
        <v>2016</v>
      </c>
      <c r="Q223" s="533">
        <f t="shared" ca="1" si="13"/>
        <v>1.4687100893997445E-2</v>
      </c>
      <c r="R223" s="335">
        <f t="shared" ca="1" si="11"/>
        <v>0</v>
      </c>
      <c r="S223" s="335">
        <f t="shared" ca="1" si="12"/>
        <v>0</v>
      </c>
      <c r="U223" s="22" t="s">
        <v>449</v>
      </c>
      <c r="V223" s="24"/>
      <c r="W223" s="21"/>
      <c r="Y223" s="490"/>
    </row>
    <row r="224" spans="1:25" ht="45">
      <c r="A224" s="31">
        <v>221</v>
      </c>
      <c r="B224" s="22" t="s">
        <v>39</v>
      </c>
      <c r="C224" s="22" t="s">
        <v>422</v>
      </c>
      <c r="D224" s="22" t="s">
        <v>444</v>
      </c>
      <c r="E224" s="23" t="s">
        <v>450</v>
      </c>
      <c r="F224" s="22" t="s">
        <v>451</v>
      </c>
      <c r="G224" s="22" t="s">
        <v>452</v>
      </c>
      <c r="H224" s="22" t="s">
        <v>30</v>
      </c>
      <c r="I224" s="22" t="s">
        <v>453</v>
      </c>
      <c r="J224" s="22" t="s">
        <v>454</v>
      </c>
      <c r="K224" s="519" t="s">
        <v>1191</v>
      </c>
      <c r="L224" s="521" t="s">
        <v>1258</v>
      </c>
      <c r="M224" s="521" t="s">
        <v>1259</v>
      </c>
      <c r="N224" s="521" t="s">
        <v>885</v>
      </c>
      <c r="O224" s="22" t="s">
        <v>394</v>
      </c>
      <c r="P224" s="69">
        <v>2016</v>
      </c>
      <c r="Q224" s="414">
        <f t="shared" ca="1" si="13"/>
        <v>25.492516880921073</v>
      </c>
      <c r="R224" s="335">
        <f t="shared" ca="1" si="11"/>
        <v>0</v>
      </c>
      <c r="S224" s="335">
        <f t="shared" ca="1" si="12"/>
        <v>0</v>
      </c>
      <c r="T224" s="429" t="s">
        <v>455</v>
      </c>
      <c r="U224" s="22"/>
      <c r="V224" s="24"/>
      <c r="W224" s="21"/>
      <c r="Y224" s="490"/>
    </row>
    <row r="225" spans="1:25" ht="75">
      <c r="A225" s="31">
        <v>222</v>
      </c>
      <c r="B225" s="22" t="s">
        <v>39</v>
      </c>
      <c r="C225" s="22" t="s">
        <v>422</v>
      </c>
      <c r="D225" s="22" t="s">
        <v>456</v>
      </c>
      <c r="E225" s="23" t="s">
        <v>457</v>
      </c>
      <c r="F225" s="22" t="s">
        <v>142</v>
      </c>
      <c r="G225" s="22" t="s">
        <v>458</v>
      </c>
      <c r="H225" s="22" t="s">
        <v>164</v>
      </c>
      <c r="I225" s="22" t="s">
        <v>459</v>
      </c>
      <c r="J225" s="22" t="s">
        <v>460</v>
      </c>
      <c r="K225" s="519" t="s">
        <v>1191</v>
      </c>
      <c r="L225" s="521" t="s">
        <v>1260</v>
      </c>
      <c r="M225" s="521" t="s">
        <v>1261</v>
      </c>
      <c r="N225" s="521" t="s">
        <v>885</v>
      </c>
      <c r="O225" s="22" t="s">
        <v>394</v>
      </c>
      <c r="P225" s="69" t="s">
        <v>167</v>
      </c>
      <c r="Q225" s="533" t="s">
        <v>167</v>
      </c>
      <c r="R225" s="335">
        <f t="shared" ca="1" si="11"/>
        <v>0</v>
      </c>
      <c r="S225" s="335">
        <f t="shared" ca="1" si="12"/>
        <v>0</v>
      </c>
      <c r="T225" s="429" t="s">
        <v>461</v>
      </c>
      <c r="U225" s="22"/>
      <c r="V225" s="24"/>
      <c r="W225" s="21"/>
      <c r="Y225" s="490"/>
    </row>
    <row r="226" spans="1:25" ht="45">
      <c r="A226" s="31">
        <v>223</v>
      </c>
      <c r="B226" s="22" t="s">
        <v>39</v>
      </c>
      <c r="C226" s="22" t="s">
        <v>462</v>
      </c>
      <c r="D226" s="22" t="s">
        <v>463</v>
      </c>
      <c r="E226" s="23" t="s">
        <v>51</v>
      </c>
      <c r="F226" s="22" t="s">
        <v>52</v>
      </c>
      <c r="G226" s="22" t="s">
        <v>53</v>
      </c>
      <c r="H226" s="22" t="s">
        <v>30</v>
      </c>
      <c r="I226" s="22" t="s">
        <v>464</v>
      </c>
      <c r="J226" s="22" t="s">
        <v>52</v>
      </c>
      <c r="K226" s="519" t="s">
        <v>1262</v>
      </c>
      <c r="L226" s="521" t="s">
        <v>1263</v>
      </c>
      <c r="M226" s="521" t="s">
        <v>1264</v>
      </c>
      <c r="N226" s="521" t="s">
        <v>815</v>
      </c>
      <c r="O226" s="22" t="s">
        <v>465</v>
      </c>
      <c r="P226" s="69">
        <v>2016</v>
      </c>
      <c r="Q226" s="414">
        <f t="shared" ref="Q226:Q241" ca="1" si="14">SUMIF(INDIRECT("'"&amp;K226&amp;"'!c:c"),A226,INDIRECT("'"&amp;K226&amp;"'!d:d"))</f>
        <v>646.382896032644</v>
      </c>
      <c r="R226" s="335" t="str">
        <f t="shared" ca="1" si="11"/>
        <v>N/A</v>
      </c>
      <c r="S226" s="335" t="str">
        <f t="shared" ca="1" si="12"/>
        <v>N/A</v>
      </c>
      <c r="T226" s="429" t="s">
        <v>48</v>
      </c>
      <c r="U226" s="22"/>
      <c r="V226" s="24"/>
      <c r="W226" s="21"/>
      <c r="Y226" s="490"/>
    </row>
    <row r="227" spans="1:25" ht="45">
      <c r="A227" s="31">
        <v>224</v>
      </c>
      <c r="B227" s="22" t="s">
        <v>39</v>
      </c>
      <c r="C227" s="22" t="s">
        <v>462</v>
      </c>
      <c r="D227" s="22" t="s">
        <v>463</v>
      </c>
      <c r="E227" s="23" t="s">
        <v>51</v>
      </c>
      <c r="F227" s="22" t="s">
        <v>55</v>
      </c>
      <c r="G227" s="22" t="s">
        <v>53</v>
      </c>
      <c r="H227" s="22" t="s">
        <v>30</v>
      </c>
      <c r="I227" s="22" t="s">
        <v>464</v>
      </c>
      <c r="J227" s="22" t="s">
        <v>55</v>
      </c>
      <c r="K227" s="519" t="s">
        <v>1262</v>
      </c>
      <c r="L227" s="521" t="s">
        <v>1265</v>
      </c>
      <c r="M227" s="521" t="s">
        <v>1266</v>
      </c>
      <c r="N227" s="521" t="s">
        <v>815</v>
      </c>
      <c r="O227" s="22" t="s">
        <v>465</v>
      </c>
      <c r="P227" s="69">
        <v>2016</v>
      </c>
      <c r="Q227" s="414">
        <f t="shared" ca="1" si="14"/>
        <v>420.14889831378099</v>
      </c>
      <c r="R227" s="335" t="str">
        <f t="shared" ca="1" si="11"/>
        <v>N/A</v>
      </c>
      <c r="S227" s="335" t="str">
        <f t="shared" ca="1" si="12"/>
        <v>N/A</v>
      </c>
      <c r="T227" s="429" t="s">
        <v>48</v>
      </c>
      <c r="U227" s="22"/>
      <c r="V227" s="24"/>
      <c r="W227" s="21"/>
      <c r="Y227" s="490"/>
    </row>
    <row r="228" spans="1:25" ht="45">
      <c r="A228" s="31">
        <v>225</v>
      </c>
      <c r="B228" s="22" t="s">
        <v>39</v>
      </c>
      <c r="C228" s="22" t="s">
        <v>462</v>
      </c>
      <c r="D228" s="22" t="s">
        <v>463</v>
      </c>
      <c r="E228" s="23" t="s">
        <v>51</v>
      </c>
      <c r="F228" s="22" t="s">
        <v>56</v>
      </c>
      <c r="G228" s="22" t="s">
        <v>53</v>
      </c>
      <c r="H228" s="22" t="s">
        <v>30</v>
      </c>
      <c r="I228" s="22" t="s">
        <v>464</v>
      </c>
      <c r="J228" s="22" t="s">
        <v>56</v>
      </c>
      <c r="K228" s="519" t="s">
        <v>1262</v>
      </c>
      <c r="L228" s="521" t="s">
        <v>1267</v>
      </c>
      <c r="M228" s="521" t="s">
        <v>1268</v>
      </c>
      <c r="N228" s="521" t="s">
        <v>815</v>
      </c>
      <c r="O228" s="22" t="s">
        <v>465</v>
      </c>
      <c r="P228" s="69">
        <v>2016</v>
      </c>
      <c r="Q228" s="414">
        <f t="shared" ca="1" si="14"/>
        <v>3264127.5240094699</v>
      </c>
      <c r="R228" s="335" t="str">
        <f t="shared" ca="1" si="11"/>
        <v>N/A</v>
      </c>
      <c r="S228" s="335" t="str">
        <f t="shared" ca="1" si="12"/>
        <v>N/A</v>
      </c>
      <c r="T228" s="429" t="s">
        <v>48</v>
      </c>
      <c r="U228" s="22"/>
      <c r="V228" s="24"/>
      <c r="W228" s="21"/>
      <c r="Y228" s="490"/>
    </row>
    <row r="229" spans="1:25" ht="45">
      <c r="A229" s="31">
        <v>226</v>
      </c>
      <c r="B229" s="22" t="s">
        <v>39</v>
      </c>
      <c r="C229" s="22" t="s">
        <v>462</v>
      </c>
      <c r="D229" s="22" t="s">
        <v>463</v>
      </c>
      <c r="E229" s="23" t="s">
        <v>51</v>
      </c>
      <c r="F229" s="22" t="s">
        <v>57</v>
      </c>
      <c r="G229" s="22" t="s">
        <v>53</v>
      </c>
      <c r="H229" s="22" t="s">
        <v>30</v>
      </c>
      <c r="I229" s="22" t="s">
        <v>464</v>
      </c>
      <c r="J229" s="22" t="s">
        <v>57</v>
      </c>
      <c r="K229" s="519" t="s">
        <v>1262</v>
      </c>
      <c r="L229" s="521" t="s">
        <v>1269</v>
      </c>
      <c r="M229" s="521" t="s">
        <v>1270</v>
      </c>
      <c r="N229" s="521" t="s">
        <v>815</v>
      </c>
      <c r="O229" s="22" t="s">
        <v>465</v>
      </c>
      <c r="P229" s="69">
        <v>2016</v>
      </c>
      <c r="Q229" s="414">
        <f t="shared" ca="1" si="14"/>
        <v>2121682.97086098</v>
      </c>
      <c r="R229" s="335" t="str">
        <f t="shared" ca="1" si="11"/>
        <v>N/A</v>
      </c>
      <c r="S229" s="335" t="str">
        <f t="shared" ca="1" si="12"/>
        <v>N/A</v>
      </c>
      <c r="T229" s="429" t="s">
        <v>48</v>
      </c>
      <c r="U229" s="22"/>
      <c r="V229" s="24"/>
      <c r="W229" s="21"/>
      <c r="Y229" s="490"/>
    </row>
    <row r="230" spans="1:25" ht="45">
      <c r="A230" s="31">
        <v>227</v>
      </c>
      <c r="B230" s="22" t="s">
        <v>39</v>
      </c>
      <c r="C230" s="22" t="s">
        <v>462</v>
      </c>
      <c r="D230" s="22" t="s">
        <v>463</v>
      </c>
      <c r="E230" s="23" t="s">
        <v>51</v>
      </c>
      <c r="F230" s="22" t="s">
        <v>58</v>
      </c>
      <c r="G230" s="22" t="s">
        <v>53</v>
      </c>
      <c r="H230" s="22" t="s">
        <v>30</v>
      </c>
      <c r="I230" s="22" t="s">
        <v>464</v>
      </c>
      <c r="J230" s="22" t="s">
        <v>58</v>
      </c>
      <c r="K230" s="519" t="s">
        <v>1262</v>
      </c>
      <c r="L230" s="521" t="s">
        <v>1271</v>
      </c>
      <c r="M230" s="521" t="s">
        <v>1272</v>
      </c>
      <c r="N230" s="521" t="s">
        <v>815</v>
      </c>
      <c r="O230" s="22" t="s">
        <v>465</v>
      </c>
      <c r="P230" s="69">
        <v>2016</v>
      </c>
      <c r="Q230" s="414">
        <f t="shared" ca="1" si="14"/>
        <v>48436.624184992601</v>
      </c>
      <c r="R230" s="335" t="str">
        <f t="shared" ca="1" si="11"/>
        <v>N/A</v>
      </c>
      <c r="S230" s="335" t="str">
        <f t="shared" ca="1" si="12"/>
        <v>N/A</v>
      </c>
      <c r="T230" s="429" t="s">
        <v>48</v>
      </c>
      <c r="U230" s="22" t="s">
        <v>49</v>
      </c>
      <c r="V230" s="24"/>
      <c r="W230" s="21"/>
      <c r="Y230" s="490"/>
    </row>
    <row r="231" spans="1:25" ht="45">
      <c r="A231" s="31">
        <v>228</v>
      </c>
      <c r="B231" s="22" t="s">
        <v>39</v>
      </c>
      <c r="C231" s="22" t="s">
        <v>462</v>
      </c>
      <c r="D231" s="22" t="s">
        <v>463</v>
      </c>
      <c r="E231" s="23" t="s">
        <v>51</v>
      </c>
      <c r="F231" s="22" t="s">
        <v>60</v>
      </c>
      <c r="G231" s="22" t="s">
        <v>53</v>
      </c>
      <c r="H231" s="22" t="s">
        <v>30</v>
      </c>
      <c r="I231" s="22" t="s">
        <v>464</v>
      </c>
      <c r="J231" s="22" t="s">
        <v>60</v>
      </c>
      <c r="K231" s="519" t="s">
        <v>1262</v>
      </c>
      <c r="L231" s="521" t="s">
        <v>1273</v>
      </c>
      <c r="M231" s="521" t="s">
        <v>1274</v>
      </c>
      <c r="N231" s="521" t="s">
        <v>815</v>
      </c>
      <c r="O231" s="22" t="s">
        <v>465</v>
      </c>
      <c r="P231" s="69">
        <v>2016</v>
      </c>
      <c r="Q231" s="414">
        <f t="shared" ca="1" si="14"/>
        <v>31483.806911152398</v>
      </c>
      <c r="R231" s="335" t="str">
        <f t="shared" ca="1" si="11"/>
        <v>N/A</v>
      </c>
      <c r="S231" s="335" t="str">
        <f t="shared" ca="1" si="12"/>
        <v>N/A</v>
      </c>
      <c r="T231" s="429" t="s">
        <v>48</v>
      </c>
      <c r="U231" s="22" t="s">
        <v>49</v>
      </c>
      <c r="V231" s="24"/>
      <c r="W231" s="21"/>
      <c r="Y231" s="490"/>
    </row>
    <row r="232" spans="1:25" ht="45">
      <c r="A232" s="31">
        <v>229</v>
      </c>
      <c r="B232" s="22" t="s">
        <v>39</v>
      </c>
      <c r="C232" s="22" t="s">
        <v>462</v>
      </c>
      <c r="D232" s="22" t="s">
        <v>463</v>
      </c>
      <c r="E232" s="23" t="s">
        <v>51</v>
      </c>
      <c r="F232" s="22" t="s">
        <v>61</v>
      </c>
      <c r="G232" s="22" t="s">
        <v>53</v>
      </c>
      <c r="H232" s="22" t="s">
        <v>30</v>
      </c>
      <c r="I232" s="22" t="s">
        <v>464</v>
      </c>
      <c r="J232" s="22" t="s">
        <v>61</v>
      </c>
      <c r="K232" s="519" t="s">
        <v>1262</v>
      </c>
      <c r="L232" s="521" t="s">
        <v>1275</v>
      </c>
      <c r="M232" s="521" t="s">
        <v>1276</v>
      </c>
      <c r="N232" s="521" t="s">
        <v>815</v>
      </c>
      <c r="O232" s="22" t="s">
        <v>465</v>
      </c>
      <c r="P232" s="69">
        <v>2016</v>
      </c>
      <c r="Q232" s="414">
        <f t="shared" ca="1" si="14"/>
        <v>7727.1798534766604</v>
      </c>
      <c r="R232" s="335" t="str">
        <f t="shared" ca="1" si="11"/>
        <v>N/A</v>
      </c>
      <c r="S232" s="335" t="str">
        <f t="shared" ca="1" si="12"/>
        <v>N/A</v>
      </c>
      <c r="T232" s="429" t="s">
        <v>48</v>
      </c>
      <c r="U232" s="22"/>
      <c r="V232" s="24"/>
      <c r="W232" s="21"/>
      <c r="Y232" s="490"/>
    </row>
    <row r="233" spans="1:25" ht="45">
      <c r="A233" s="31">
        <v>230</v>
      </c>
      <c r="B233" s="22" t="s">
        <v>39</v>
      </c>
      <c r="C233" s="22" t="s">
        <v>462</v>
      </c>
      <c r="D233" s="22" t="s">
        <v>463</v>
      </c>
      <c r="E233" s="23" t="s">
        <v>51</v>
      </c>
      <c r="F233" s="22" t="s">
        <v>62</v>
      </c>
      <c r="G233" s="22" t="s">
        <v>53</v>
      </c>
      <c r="H233" s="22" t="s">
        <v>30</v>
      </c>
      <c r="I233" s="22" t="s">
        <v>464</v>
      </c>
      <c r="J233" s="22" t="s">
        <v>62</v>
      </c>
      <c r="K233" s="519" t="s">
        <v>1262</v>
      </c>
      <c r="L233" s="521" t="s">
        <v>1277</v>
      </c>
      <c r="M233" s="521" t="s">
        <v>1278</v>
      </c>
      <c r="N233" s="521" t="s">
        <v>815</v>
      </c>
      <c r="O233" s="22" t="s">
        <v>465</v>
      </c>
      <c r="P233" s="69">
        <v>2016</v>
      </c>
      <c r="Q233" s="414">
        <f t="shared" ca="1" si="14"/>
        <v>5022.6670947473503</v>
      </c>
      <c r="R233" s="335" t="str">
        <f t="shared" ca="1" si="11"/>
        <v>N/A</v>
      </c>
      <c r="S233" s="335" t="str">
        <f t="shared" ca="1" si="12"/>
        <v>N/A</v>
      </c>
      <c r="T233" s="429" t="s">
        <v>48</v>
      </c>
      <c r="U233" s="22"/>
      <c r="V233" s="24"/>
      <c r="W233" s="21"/>
      <c r="Y233" s="490"/>
    </row>
    <row r="234" spans="1:25" ht="45">
      <c r="A234" s="31">
        <v>231</v>
      </c>
      <c r="B234" s="22" t="s">
        <v>39</v>
      </c>
      <c r="C234" s="22" t="s">
        <v>462</v>
      </c>
      <c r="D234" s="22" t="s">
        <v>463</v>
      </c>
      <c r="E234" s="23" t="s">
        <v>51</v>
      </c>
      <c r="F234" s="22" t="s">
        <v>63</v>
      </c>
      <c r="G234" s="22" t="s">
        <v>53</v>
      </c>
      <c r="H234" s="22" t="s">
        <v>30</v>
      </c>
      <c r="I234" s="22" t="s">
        <v>464</v>
      </c>
      <c r="J234" s="22" t="s">
        <v>63</v>
      </c>
      <c r="K234" s="519" t="s">
        <v>1262</v>
      </c>
      <c r="L234" s="521" t="s">
        <v>1279</v>
      </c>
      <c r="M234" s="521" t="s">
        <v>1280</v>
      </c>
      <c r="N234" s="521" t="s">
        <v>815</v>
      </c>
      <c r="O234" s="22" t="s">
        <v>465</v>
      </c>
      <c r="P234" s="69">
        <v>2016</v>
      </c>
      <c r="Q234" s="414">
        <f t="shared" ca="1" si="14"/>
        <v>39626177.006536797</v>
      </c>
      <c r="R234" s="335" t="str">
        <f t="shared" ca="1" si="11"/>
        <v>N/A</v>
      </c>
      <c r="S234" s="335" t="str">
        <f t="shared" ca="1" si="12"/>
        <v>N/A</v>
      </c>
      <c r="T234" s="429" t="s">
        <v>48</v>
      </c>
      <c r="U234" s="22"/>
      <c r="V234" s="24"/>
      <c r="W234" s="21"/>
      <c r="Y234" s="490"/>
    </row>
    <row r="235" spans="1:25" ht="45">
      <c r="A235" s="31">
        <v>232</v>
      </c>
      <c r="B235" s="22" t="s">
        <v>39</v>
      </c>
      <c r="C235" s="22" t="s">
        <v>462</v>
      </c>
      <c r="D235" s="22" t="s">
        <v>463</v>
      </c>
      <c r="E235" s="23" t="s">
        <v>51</v>
      </c>
      <c r="F235" s="22" t="s">
        <v>64</v>
      </c>
      <c r="G235" s="22" t="s">
        <v>53</v>
      </c>
      <c r="H235" s="22" t="s">
        <v>30</v>
      </c>
      <c r="I235" s="22" t="s">
        <v>464</v>
      </c>
      <c r="J235" s="22" t="s">
        <v>64</v>
      </c>
      <c r="K235" s="519" t="s">
        <v>1262</v>
      </c>
      <c r="L235" s="521" t="s">
        <v>1281</v>
      </c>
      <c r="M235" s="521" t="s">
        <v>1282</v>
      </c>
      <c r="N235" s="521" t="s">
        <v>815</v>
      </c>
      <c r="O235" s="22" t="s">
        <v>465</v>
      </c>
      <c r="P235" s="69">
        <v>2016</v>
      </c>
      <c r="Q235" s="414">
        <f t="shared" ca="1" si="14"/>
        <v>25757016.028534401</v>
      </c>
      <c r="R235" s="335" t="str">
        <f t="shared" ca="1" si="11"/>
        <v>N/A</v>
      </c>
      <c r="S235" s="335" t="str">
        <f t="shared" ca="1" si="12"/>
        <v>N/A</v>
      </c>
      <c r="T235" s="429" t="s">
        <v>48</v>
      </c>
      <c r="U235" s="22"/>
      <c r="V235" s="24"/>
      <c r="W235" s="21"/>
      <c r="Y235" s="490"/>
    </row>
    <row r="236" spans="1:25" ht="45">
      <c r="A236" s="31">
        <v>233</v>
      </c>
      <c r="B236" s="22" t="s">
        <v>39</v>
      </c>
      <c r="C236" s="22" t="s">
        <v>462</v>
      </c>
      <c r="D236" s="22" t="s">
        <v>463</v>
      </c>
      <c r="E236" s="23" t="s">
        <v>51</v>
      </c>
      <c r="F236" s="22" t="s">
        <v>65</v>
      </c>
      <c r="G236" s="22" t="s">
        <v>53</v>
      </c>
      <c r="H236" s="22" t="s">
        <v>30</v>
      </c>
      <c r="I236" s="22" t="s">
        <v>464</v>
      </c>
      <c r="J236" s="22" t="s">
        <v>65</v>
      </c>
      <c r="K236" s="519" t="s">
        <v>1262</v>
      </c>
      <c r="L236" s="521" t="s">
        <v>1283</v>
      </c>
      <c r="M236" s="521" t="s">
        <v>1284</v>
      </c>
      <c r="N236" s="521" t="s">
        <v>815</v>
      </c>
      <c r="O236" s="22" t="s">
        <v>465</v>
      </c>
      <c r="P236" s="69">
        <v>2016</v>
      </c>
      <c r="Q236" s="414">
        <f t="shared" ca="1" si="14"/>
        <v>479625.92932918598</v>
      </c>
      <c r="R236" s="335" t="str">
        <f t="shared" ca="1" si="11"/>
        <v>N/A</v>
      </c>
      <c r="S236" s="335" t="str">
        <f t="shared" ca="1" si="12"/>
        <v>N/A</v>
      </c>
      <c r="T236" s="429" t="s">
        <v>48</v>
      </c>
      <c r="U236" s="22" t="s">
        <v>49</v>
      </c>
      <c r="V236" s="24"/>
      <c r="W236" s="21"/>
      <c r="Y236" s="490"/>
    </row>
    <row r="237" spans="1:25" ht="45">
      <c r="A237" s="31">
        <v>234</v>
      </c>
      <c r="B237" s="22" t="s">
        <v>39</v>
      </c>
      <c r="C237" s="22" t="s">
        <v>462</v>
      </c>
      <c r="D237" s="22" t="s">
        <v>463</v>
      </c>
      <c r="E237" s="23" t="s">
        <v>51</v>
      </c>
      <c r="F237" s="22" t="s">
        <v>66</v>
      </c>
      <c r="G237" s="22" t="s">
        <v>53</v>
      </c>
      <c r="H237" s="22" t="s">
        <v>30</v>
      </c>
      <c r="I237" s="22" t="s">
        <v>464</v>
      </c>
      <c r="J237" s="22" t="s">
        <v>66</v>
      </c>
      <c r="K237" s="519" t="s">
        <v>1262</v>
      </c>
      <c r="L237" s="521" t="s">
        <v>1285</v>
      </c>
      <c r="M237" s="521" t="s">
        <v>1286</v>
      </c>
      <c r="N237" s="521" t="s">
        <v>815</v>
      </c>
      <c r="O237" s="22" t="s">
        <v>465</v>
      </c>
      <c r="P237" s="69">
        <v>2016</v>
      </c>
      <c r="Q237" s="414">
        <f t="shared" ca="1" si="14"/>
        <v>311756.86585649301</v>
      </c>
      <c r="R237" s="335" t="str">
        <f t="shared" ca="1" si="11"/>
        <v>N/A</v>
      </c>
      <c r="S237" s="335" t="str">
        <f t="shared" ca="1" si="12"/>
        <v>N/A</v>
      </c>
      <c r="T237" s="429" t="s">
        <v>48</v>
      </c>
      <c r="U237" s="22" t="s">
        <v>49</v>
      </c>
      <c r="V237" s="24"/>
      <c r="W237" s="21"/>
      <c r="Y237" s="490"/>
    </row>
    <row r="238" spans="1:25" ht="30">
      <c r="A238" s="31">
        <v>235</v>
      </c>
      <c r="B238" s="22" t="s">
        <v>39</v>
      </c>
      <c r="C238" s="22" t="s">
        <v>462</v>
      </c>
      <c r="D238" s="22" t="s">
        <v>466</v>
      </c>
      <c r="E238" s="23" t="s">
        <v>42</v>
      </c>
      <c r="F238" s="22" t="s">
        <v>43</v>
      </c>
      <c r="G238" s="22" t="s">
        <v>44</v>
      </c>
      <c r="H238" s="22" t="s">
        <v>30</v>
      </c>
      <c r="I238" s="22" t="s">
        <v>467</v>
      </c>
      <c r="J238" s="22" t="s">
        <v>46</v>
      </c>
      <c r="K238" s="519" t="s">
        <v>1262</v>
      </c>
      <c r="L238" s="521" t="s">
        <v>1287</v>
      </c>
      <c r="M238" s="521" t="s">
        <v>1288</v>
      </c>
      <c r="N238" s="521" t="s">
        <v>815</v>
      </c>
      <c r="O238" s="22" t="s">
        <v>465</v>
      </c>
      <c r="P238" s="69">
        <v>2016</v>
      </c>
      <c r="Q238" s="414">
        <f t="shared" ca="1" si="14"/>
        <v>1666.8940370278206</v>
      </c>
      <c r="R238" s="335" t="str">
        <f t="shared" ca="1" si="11"/>
        <v>N/A</v>
      </c>
      <c r="S238" s="335" t="str">
        <f t="shared" ca="1" si="12"/>
        <v>N/A</v>
      </c>
      <c r="T238" s="429" t="s">
        <v>48</v>
      </c>
      <c r="U238" s="22"/>
      <c r="V238" s="24"/>
      <c r="W238" s="21"/>
      <c r="Y238" s="490"/>
    </row>
    <row r="239" spans="1:25" ht="90">
      <c r="A239" s="31">
        <v>236</v>
      </c>
      <c r="B239" s="22" t="s">
        <v>39</v>
      </c>
      <c r="C239" s="22" t="s">
        <v>462</v>
      </c>
      <c r="D239" s="22" t="s">
        <v>468</v>
      </c>
      <c r="E239" s="23" t="s">
        <v>325</v>
      </c>
      <c r="F239" s="22" t="s">
        <v>142</v>
      </c>
      <c r="G239" s="22" t="s">
        <v>143</v>
      </c>
      <c r="H239" s="22" t="s">
        <v>30</v>
      </c>
      <c r="I239" s="22" t="s">
        <v>469</v>
      </c>
      <c r="J239" s="22" t="s">
        <v>333</v>
      </c>
      <c r="K239" s="519" t="s">
        <v>1262</v>
      </c>
      <c r="L239" s="521" t="s">
        <v>1289</v>
      </c>
      <c r="M239" s="521" t="s">
        <v>1290</v>
      </c>
      <c r="N239" s="521" t="s">
        <v>885</v>
      </c>
      <c r="O239" s="22" t="s">
        <v>465</v>
      </c>
      <c r="P239" s="69">
        <v>2016</v>
      </c>
      <c r="Q239" s="533">
        <f t="shared" ca="1" si="14"/>
        <v>7.1428571428571425E-2</v>
      </c>
      <c r="R239" s="335">
        <f t="shared" ca="1" si="11"/>
        <v>0</v>
      </c>
      <c r="S239" s="335">
        <f t="shared" ca="1" si="12"/>
        <v>0</v>
      </c>
      <c r="T239" s="429" t="s">
        <v>425</v>
      </c>
      <c r="U239" s="22" t="s">
        <v>246</v>
      </c>
      <c r="V239" s="24"/>
      <c r="W239" s="21"/>
      <c r="Y239" s="490"/>
    </row>
    <row r="240" spans="1:25" ht="90">
      <c r="A240" s="31">
        <v>237</v>
      </c>
      <c r="B240" s="22" t="s">
        <v>39</v>
      </c>
      <c r="C240" s="22" t="s">
        <v>462</v>
      </c>
      <c r="D240" s="22" t="s">
        <v>468</v>
      </c>
      <c r="E240" s="23" t="s">
        <v>329</v>
      </c>
      <c r="F240" s="22" t="s">
        <v>142</v>
      </c>
      <c r="G240" s="22" t="s">
        <v>143</v>
      </c>
      <c r="H240" s="22" t="s">
        <v>30</v>
      </c>
      <c r="I240" s="22" t="s">
        <v>470</v>
      </c>
      <c r="J240" s="22" t="s">
        <v>330</v>
      </c>
      <c r="K240" s="519" t="s">
        <v>1262</v>
      </c>
      <c r="L240" s="521" t="s">
        <v>1291</v>
      </c>
      <c r="M240" s="521" t="s">
        <v>1292</v>
      </c>
      <c r="N240" s="521" t="s">
        <v>885</v>
      </c>
      <c r="O240" s="22" t="s">
        <v>465</v>
      </c>
      <c r="P240" s="69">
        <v>2016</v>
      </c>
      <c r="Q240" s="533">
        <f t="shared" ca="1" si="14"/>
        <v>0</v>
      </c>
      <c r="R240" s="335">
        <f t="shared" ca="1" si="11"/>
        <v>0</v>
      </c>
      <c r="S240" s="335">
        <f t="shared" ca="1" si="12"/>
        <v>0</v>
      </c>
      <c r="T240" s="429" t="s">
        <v>425</v>
      </c>
      <c r="U240" s="22" t="s">
        <v>246</v>
      </c>
      <c r="V240" s="24"/>
      <c r="W240" s="21"/>
      <c r="Y240" s="490"/>
    </row>
    <row r="241" spans="1:25" ht="90">
      <c r="A241" s="31">
        <v>238</v>
      </c>
      <c r="B241" s="22" t="s">
        <v>39</v>
      </c>
      <c r="C241" s="22" t="s">
        <v>462</v>
      </c>
      <c r="D241" s="22" t="s">
        <v>468</v>
      </c>
      <c r="E241" s="23" t="s">
        <v>331</v>
      </c>
      <c r="F241" s="22" t="s">
        <v>142</v>
      </c>
      <c r="G241" s="22" t="s">
        <v>143</v>
      </c>
      <c r="H241" s="22" t="s">
        <v>30</v>
      </c>
      <c r="I241" s="22" t="s">
        <v>471</v>
      </c>
      <c r="J241" s="22" t="s">
        <v>327</v>
      </c>
      <c r="K241" s="519" t="s">
        <v>1262</v>
      </c>
      <c r="L241" s="521" t="s">
        <v>1293</v>
      </c>
      <c r="M241" s="521" t="s">
        <v>1294</v>
      </c>
      <c r="N241" s="521" t="s">
        <v>885</v>
      </c>
      <c r="O241" s="22" t="s">
        <v>465</v>
      </c>
      <c r="P241" s="69">
        <v>2016</v>
      </c>
      <c r="Q241" s="533">
        <f t="shared" ca="1" si="14"/>
        <v>0</v>
      </c>
      <c r="R241" s="335">
        <f t="shared" ca="1" si="11"/>
        <v>0</v>
      </c>
      <c r="S241" s="335">
        <f t="shared" ca="1" si="12"/>
        <v>0</v>
      </c>
      <c r="T241" s="429" t="s">
        <v>425</v>
      </c>
      <c r="U241" s="22" t="s">
        <v>246</v>
      </c>
      <c r="V241" s="24"/>
      <c r="W241" s="21"/>
      <c r="Y241" s="490"/>
    </row>
    <row r="242" spans="1:25" ht="105">
      <c r="A242" s="31">
        <v>239</v>
      </c>
      <c r="B242" s="22" t="s">
        <v>39</v>
      </c>
      <c r="C242" s="22" t="s">
        <v>462</v>
      </c>
      <c r="D242" s="22" t="s">
        <v>472</v>
      </c>
      <c r="E242" s="23" t="s">
        <v>473</v>
      </c>
      <c r="F242" s="22" t="s">
        <v>142</v>
      </c>
      <c r="G242" s="22" t="s">
        <v>474</v>
      </c>
      <c r="H242" s="22" t="s">
        <v>164</v>
      </c>
      <c r="I242" s="22" t="s">
        <v>1295</v>
      </c>
      <c r="J242" s="22" t="s">
        <v>476</v>
      </c>
      <c r="K242" s="519" t="s">
        <v>1262</v>
      </c>
      <c r="L242" s="521" t="s">
        <v>1296</v>
      </c>
      <c r="M242" s="521" t="s">
        <v>1297</v>
      </c>
      <c r="N242" s="521" t="s">
        <v>885</v>
      </c>
      <c r="O242" s="22" t="s">
        <v>465</v>
      </c>
      <c r="P242" s="69" t="s">
        <v>167</v>
      </c>
      <c r="Q242" s="533" t="s">
        <v>167</v>
      </c>
      <c r="R242" s="335">
        <f t="shared" ca="1" si="11"/>
        <v>0</v>
      </c>
      <c r="S242" s="335">
        <f t="shared" ca="1" si="12"/>
        <v>0</v>
      </c>
      <c r="T242" s="429" t="s">
        <v>477</v>
      </c>
      <c r="U242" s="22" t="s">
        <v>478</v>
      </c>
      <c r="V242" s="24"/>
      <c r="W242" s="21"/>
      <c r="Y242" s="490"/>
    </row>
    <row r="243" spans="1:25" ht="105">
      <c r="A243" s="31">
        <v>240</v>
      </c>
      <c r="B243" s="22" t="s">
        <v>39</v>
      </c>
      <c r="C243" s="22" t="s">
        <v>462</v>
      </c>
      <c r="D243" s="22" t="s">
        <v>472</v>
      </c>
      <c r="E243" s="23" t="s">
        <v>479</v>
      </c>
      <c r="F243" s="22" t="s">
        <v>142</v>
      </c>
      <c r="G243" s="22" t="s">
        <v>474</v>
      </c>
      <c r="H243" s="22" t="s">
        <v>164</v>
      </c>
      <c r="I243" s="22" t="s">
        <v>1298</v>
      </c>
      <c r="J243" s="22" t="s">
        <v>481</v>
      </c>
      <c r="K243" s="519" t="s">
        <v>1262</v>
      </c>
      <c r="L243" s="521" t="s">
        <v>1299</v>
      </c>
      <c r="M243" s="521" t="s">
        <v>1300</v>
      </c>
      <c r="N243" s="521" t="s">
        <v>885</v>
      </c>
      <c r="O243" s="22" t="s">
        <v>465</v>
      </c>
      <c r="P243" s="69" t="s">
        <v>167</v>
      </c>
      <c r="Q243" s="533" t="s">
        <v>167</v>
      </c>
      <c r="R243" s="335">
        <f t="shared" ca="1" si="11"/>
        <v>0</v>
      </c>
      <c r="S243" s="335">
        <f t="shared" ca="1" si="12"/>
        <v>0</v>
      </c>
      <c r="T243" s="429" t="s">
        <v>482</v>
      </c>
      <c r="U243" s="22" t="s">
        <v>478</v>
      </c>
      <c r="V243" s="24"/>
      <c r="W243" s="21"/>
      <c r="Y243" s="490"/>
    </row>
    <row r="244" spans="1:25" ht="105">
      <c r="A244" s="31">
        <v>241</v>
      </c>
      <c r="B244" s="22" t="s">
        <v>39</v>
      </c>
      <c r="C244" s="22" t="s">
        <v>462</v>
      </c>
      <c r="D244" s="22" t="s">
        <v>472</v>
      </c>
      <c r="E244" s="23" t="s">
        <v>483</v>
      </c>
      <c r="F244" s="22" t="s">
        <v>142</v>
      </c>
      <c r="G244" s="22" t="s">
        <v>474</v>
      </c>
      <c r="H244" s="22" t="s">
        <v>164</v>
      </c>
      <c r="I244" s="22" t="s">
        <v>1301</v>
      </c>
      <c r="J244" s="22" t="s">
        <v>485</v>
      </c>
      <c r="K244" s="519" t="s">
        <v>1262</v>
      </c>
      <c r="L244" s="521" t="s">
        <v>1302</v>
      </c>
      <c r="M244" s="521" t="s">
        <v>1303</v>
      </c>
      <c r="N244" s="521" t="s">
        <v>885</v>
      </c>
      <c r="O244" s="22" t="s">
        <v>465</v>
      </c>
      <c r="P244" s="69" t="s">
        <v>167</v>
      </c>
      <c r="Q244" s="533" t="s">
        <v>167</v>
      </c>
      <c r="R244" s="335">
        <f t="shared" ca="1" si="11"/>
        <v>0</v>
      </c>
      <c r="S244" s="335">
        <f t="shared" ca="1" si="12"/>
        <v>0</v>
      </c>
      <c r="T244" s="429" t="s">
        <v>486</v>
      </c>
      <c r="U244" s="22" t="s">
        <v>478</v>
      </c>
      <c r="V244" s="24"/>
      <c r="W244" s="21"/>
      <c r="Y244" s="490"/>
    </row>
    <row r="245" spans="1:25" ht="30">
      <c r="A245" s="31">
        <v>242</v>
      </c>
      <c r="B245" s="22" t="s">
        <v>39</v>
      </c>
      <c r="C245" s="22" t="s">
        <v>462</v>
      </c>
      <c r="D245" s="22" t="s">
        <v>487</v>
      </c>
      <c r="E245" s="23" t="s">
        <v>91</v>
      </c>
      <c r="F245" s="22" t="s">
        <v>92</v>
      </c>
      <c r="G245" s="22" t="s">
        <v>93</v>
      </c>
      <c r="H245" s="22" t="s">
        <v>30</v>
      </c>
      <c r="I245" s="22" t="s">
        <v>488</v>
      </c>
      <c r="J245" s="22" t="s">
        <v>92</v>
      </c>
      <c r="K245" s="519" t="s">
        <v>1262</v>
      </c>
      <c r="L245" s="521" t="s">
        <v>1304</v>
      </c>
      <c r="M245" s="521" t="s">
        <v>1305</v>
      </c>
      <c r="N245" s="521" t="s">
        <v>885</v>
      </c>
      <c r="O245" s="22" t="s">
        <v>465</v>
      </c>
      <c r="P245" s="69">
        <v>2016</v>
      </c>
      <c r="Q245" s="414">
        <f t="shared" ref="Q245:Q262" ca="1" si="15">SUMIF(INDIRECT("'"&amp;K245&amp;"'!c:c"),A245,INDIRECT("'"&amp;K245&amp;"'!d:d"))</f>
        <v>642.94933091567736</v>
      </c>
      <c r="R245" s="335">
        <f t="shared" ca="1" si="11"/>
        <v>0</v>
      </c>
      <c r="S245" s="335">
        <f t="shared" ca="1" si="12"/>
        <v>0</v>
      </c>
      <c r="T245" s="429" t="s">
        <v>48</v>
      </c>
      <c r="U245" s="22"/>
      <c r="V245" s="24"/>
      <c r="W245" s="21"/>
      <c r="Y245" s="490"/>
    </row>
    <row r="246" spans="1:25" ht="30">
      <c r="A246" s="31">
        <v>243</v>
      </c>
      <c r="B246" s="22" t="s">
        <v>39</v>
      </c>
      <c r="C246" s="22" t="s">
        <v>462</v>
      </c>
      <c r="D246" s="22" t="s">
        <v>487</v>
      </c>
      <c r="E246" s="23" t="s">
        <v>91</v>
      </c>
      <c r="F246" s="22" t="s">
        <v>95</v>
      </c>
      <c r="G246" s="22" t="s">
        <v>93</v>
      </c>
      <c r="H246" s="22" t="s">
        <v>30</v>
      </c>
      <c r="I246" s="22" t="s">
        <v>488</v>
      </c>
      <c r="J246" s="22" t="s">
        <v>95</v>
      </c>
      <c r="K246" s="519" t="s">
        <v>1262</v>
      </c>
      <c r="L246" s="521" t="s">
        <v>1306</v>
      </c>
      <c r="M246" s="521" t="s">
        <v>1307</v>
      </c>
      <c r="N246" s="521" t="s">
        <v>885</v>
      </c>
      <c r="O246" s="22" t="s">
        <v>465</v>
      </c>
      <c r="P246" s="69">
        <v>2016</v>
      </c>
      <c r="Q246" s="719">
        <f t="shared" ca="1" si="15"/>
        <v>0.12537634190243419</v>
      </c>
      <c r="R246" s="335">
        <f t="shared" ca="1" si="11"/>
        <v>0</v>
      </c>
      <c r="S246" s="335">
        <f t="shared" ca="1" si="12"/>
        <v>0</v>
      </c>
      <c r="T246" s="429" t="s">
        <v>48</v>
      </c>
      <c r="U246" s="22"/>
      <c r="V246" s="24"/>
      <c r="W246" s="21"/>
      <c r="Y246" s="490"/>
    </row>
    <row r="247" spans="1:25" ht="30">
      <c r="A247" s="31">
        <v>244</v>
      </c>
      <c r="B247" s="22" t="s">
        <v>39</v>
      </c>
      <c r="C247" s="22" t="s">
        <v>462</v>
      </c>
      <c r="D247" s="22" t="s">
        <v>487</v>
      </c>
      <c r="E247" s="23" t="s">
        <v>91</v>
      </c>
      <c r="F247" s="22" t="s">
        <v>96</v>
      </c>
      <c r="G247" s="22" t="s">
        <v>93</v>
      </c>
      <c r="H247" s="22" t="s">
        <v>30</v>
      </c>
      <c r="I247" s="22" t="s">
        <v>488</v>
      </c>
      <c r="J247" s="22" t="s">
        <v>96</v>
      </c>
      <c r="K247" s="519" t="s">
        <v>1262</v>
      </c>
      <c r="L247" s="521" t="s">
        <v>1308</v>
      </c>
      <c r="M247" s="521" t="s">
        <v>1309</v>
      </c>
      <c r="N247" s="521" t="s">
        <v>885</v>
      </c>
      <c r="O247" s="22" t="s">
        <v>465</v>
      </c>
      <c r="P247" s="69">
        <v>2016</v>
      </c>
      <c r="Q247" s="719">
        <f t="shared" ca="1" si="15"/>
        <v>0.93905945941463409</v>
      </c>
      <c r="R247" s="335">
        <f t="shared" ca="1" si="11"/>
        <v>0</v>
      </c>
      <c r="S247" s="335">
        <f t="shared" ca="1" si="12"/>
        <v>0</v>
      </c>
      <c r="T247" s="429" t="s">
        <v>48</v>
      </c>
      <c r="U247" s="22" t="s">
        <v>49</v>
      </c>
      <c r="V247" s="24"/>
      <c r="W247" s="21"/>
      <c r="Y247" s="490"/>
    </row>
    <row r="248" spans="1:25" ht="30">
      <c r="A248" s="31">
        <v>245</v>
      </c>
      <c r="B248" s="22" t="s">
        <v>39</v>
      </c>
      <c r="C248" s="22" t="s">
        <v>462</v>
      </c>
      <c r="D248" s="22" t="s">
        <v>487</v>
      </c>
      <c r="E248" s="23" t="s">
        <v>91</v>
      </c>
      <c r="F248" s="22" t="s">
        <v>97</v>
      </c>
      <c r="G248" s="22" t="s">
        <v>93</v>
      </c>
      <c r="H248" s="22" t="s">
        <v>30</v>
      </c>
      <c r="I248" s="22" t="s">
        <v>488</v>
      </c>
      <c r="J248" s="22" t="s">
        <v>97</v>
      </c>
      <c r="K248" s="519" t="s">
        <v>1262</v>
      </c>
      <c r="L248" s="521" t="s">
        <v>1310</v>
      </c>
      <c r="M248" s="521" t="s">
        <v>1311</v>
      </c>
      <c r="N248" s="521" t="s">
        <v>885</v>
      </c>
      <c r="O248" s="22" t="s">
        <v>465</v>
      </c>
      <c r="P248" s="69">
        <v>2016</v>
      </c>
      <c r="Q248" s="414">
        <f t="shared" ca="1" si="15"/>
        <v>762.10704985271639</v>
      </c>
      <c r="R248" s="335">
        <f t="shared" ca="1" si="11"/>
        <v>0</v>
      </c>
      <c r="S248" s="335">
        <f t="shared" ca="1" si="12"/>
        <v>0</v>
      </c>
      <c r="T248" s="429" t="s">
        <v>48</v>
      </c>
      <c r="U248" s="22"/>
      <c r="V248" s="24"/>
      <c r="W248" s="21"/>
      <c r="Y248" s="490"/>
    </row>
    <row r="249" spans="1:25" ht="30">
      <c r="A249" s="31">
        <v>246</v>
      </c>
      <c r="B249" s="22" t="s">
        <v>39</v>
      </c>
      <c r="C249" s="22" t="s">
        <v>462</v>
      </c>
      <c r="D249" s="22" t="s">
        <v>487</v>
      </c>
      <c r="E249" s="23" t="s">
        <v>91</v>
      </c>
      <c r="F249" s="22" t="s">
        <v>98</v>
      </c>
      <c r="G249" s="22" t="s">
        <v>93</v>
      </c>
      <c r="H249" s="22" t="s">
        <v>30</v>
      </c>
      <c r="I249" s="22" t="s">
        <v>488</v>
      </c>
      <c r="J249" s="22" t="s">
        <v>98</v>
      </c>
      <c r="K249" s="519" t="s">
        <v>1262</v>
      </c>
      <c r="L249" s="521" t="s">
        <v>1312</v>
      </c>
      <c r="M249" s="521" t="s">
        <v>1313</v>
      </c>
      <c r="N249" s="521" t="s">
        <v>885</v>
      </c>
      <c r="O249" s="22" t="s">
        <v>465</v>
      </c>
      <c r="P249" s="69">
        <v>2016</v>
      </c>
      <c r="Q249" s="414">
        <f t="shared" ca="1" si="15"/>
        <v>0.14861232363755425</v>
      </c>
      <c r="R249" s="335">
        <f t="shared" ca="1" si="11"/>
        <v>0</v>
      </c>
      <c r="S249" s="335">
        <f t="shared" ca="1" si="12"/>
        <v>0</v>
      </c>
      <c r="T249" s="429" t="s">
        <v>48</v>
      </c>
      <c r="U249" s="22"/>
      <c r="V249" s="24"/>
      <c r="W249" s="21"/>
      <c r="Y249" s="490"/>
    </row>
    <row r="250" spans="1:25" ht="30">
      <c r="A250" s="31">
        <v>247</v>
      </c>
      <c r="B250" s="22" t="s">
        <v>39</v>
      </c>
      <c r="C250" s="22" t="s">
        <v>462</v>
      </c>
      <c r="D250" s="22" t="s">
        <v>487</v>
      </c>
      <c r="E250" s="23" t="s">
        <v>91</v>
      </c>
      <c r="F250" s="22" t="s">
        <v>99</v>
      </c>
      <c r="G250" s="22" t="s">
        <v>93</v>
      </c>
      <c r="H250" s="22" t="s">
        <v>30</v>
      </c>
      <c r="I250" s="22" t="s">
        <v>488</v>
      </c>
      <c r="J250" s="22" t="s">
        <v>99</v>
      </c>
      <c r="K250" s="519" t="s">
        <v>1262</v>
      </c>
      <c r="L250" s="521" t="s">
        <v>1314</v>
      </c>
      <c r="M250" s="521" t="s">
        <v>1315</v>
      </c>
      <c r="N250" s="521" t="s">
        <v>885</v>
      </c>
      <c r="O250" s="22" t="s">
        <v>465</v>
      </c>
      <c r="P250" s="69">
        <v>2016</v>
      </c>
      <c r="Q250" s="414">
        <f t="shared" ca="1" si="15"/>
        <v>1.1130952313637799</v>
      </c>
      <c r="R250" s="335">
        <f t="shared" ca="1" si="11"/>
        <v>0</v>
      </c>
      <c r="S250" s="335">
        <f t="shared" ca="1" si="12"/>
        <v>0</v>
      </c>
      <c r="T250" s="429" t="s">
        <v>48</v>
      </c>
      <c r="U250" s="22" t="s">
        <v>49</v>
      </c>
      <c r="V250" s="24"/>
      <c r="W250" s="21"/>
      <c r="Y250" s="490"/>
    </row>
    <row r="251" spans="1:25" ht="45">
      <c r="A251" s="31">
        <v>248</v>
      </c>
      <c r="B251" s="22" t="s">
        <v>39</v>
      </c>
      <c r="C251" s="22" t="s">
        <v>462</v>
      </c>
      <c r="D251" s="22" t="s">
        <v>489</v>
      </c>
      <c r="E251" s="23" t="s">
        <v>296</v>
      </c>
      <c r="F251" s="22" t="s">
        <v>297</v>
      </c>
      <c r="G251" s="22" t="s">
        <v>298</v>
      </c>
      <c r="H251" s="22" t="s">
        <v>30</v>
      </c>
      <c r="I251" s="22" t="s">
        <v>490</v>
      </c>
      <c r="J251" s="22" t="s">
        <v>297</v>
      </c>
      <c r="K251" s="519" t="s">
        <v>1262</v>
      </c>
      <c r="L251" s="521" t="s">
        <v>1316</v>
      </c>
      <c r="M251" s="521" t="s">
        <v>1317</v>
      </c>
      <c r="N251" s="521" t="s">
        <v>885</v>
      </c>
      <c r="O251" s="22" t="s">
        <v>465</v>
      </c>
      <c r="P251" s="69">
        <v>2016</v>
      </c>
      <c r="Q251" s="533">
        <f t="shared" ca="1" si="15"/>
        <v>9.6619766678112263E-4</v>
      </c>
      <c r="R251" s="335">
        <f t="shared" ca="1" si="11"/>
        <v>0</v>
      </c>
      <c r="S251" s="335">
        <f t="shared" ca="1" si="12"/>
        <v>0</v>
      </c>
      <c r="T251" s="429"/>
      <c r="U251" s="22"/>
      <c r="V251" s="24"/>
      <c r="W251" s="21"/>
      <c r="Y251" s="490"/>
    </row>
    <row r="252" spans="1:25" ht="45">
      <c r="A252" s="31">
        <v>249</v>
      </c>
      <c r="B252" s="22" t="s">
        <v>39</v>
      </c>
      <c r="C252" s="22" t="s">
        <v>462</v>
      </c>
      <c r="D252" s="22" t="s">
        <v>489</v>
      </c>
      <c r="E252" s="23" t="s">
        <v>296</v>
      </c>
      <c r="F252" s="22" t="s">
        <v>300</v>
      </c>
      <c r="G252" s="22" t="s">
        <v>298</v>
      </c>
      <c r="H252" s="22" t="s">
        <v>30</v>
      </c>
      <c r="I252" s="22" t="s">
        <v>490</v>
      </c>
      <c r="J252" s="22" t="s">
        <v>300</v>
      </c>
      <c r="K252" s="519" t="s">
        <v>1262</v>
      </c>
      <c r="L252" s="521" t="s">
        <v>1318</v>
      </c>
      <c r="M252" s="521" t="s">
        <v>1319</v>
      </c>
      <c r="N252" s="521" t="s">
        <v>885</v>
      </c>
      <c r="O252" s="22" t="s">
        <v>465</v>
      </c>
      <c r="P252" s="69">
        <v>2016</v>
      </c>
      <c r="Q252" s="533">
        <f t="shared" ca="1" si="15"/>
        <v>6.2802850716355116E-4</v>
      </c>
      <c r="R252" s="335">
        <f t="shared" ca="1" si="11"/>
        <v>0</v>
      </c>
      <c r="S252" s="335">
        <f t="shared" ca="1" si="12"/>
        <v>0</v>
      </c>
      <c r="T252" s="429"/>
      <c r="U252" s="22"/>
      <c r="V252" s="24"/>
      <c r="W252" s="21"/>
      <c r="Y252" s="490"/>
    </row>
    <row r="253" spans="1:25" ht="45">
      <c r="A253" s="31">
        <v>250</v>
      </c>
      <c r="B253" s="22" t="s">
        <v>39</v>
      </c>
      <c r="C253" s="22" t="s">
        <v>462</v>
      </c>
      <c r="D253" s="22" t="s">
        <v>489</v>
      </c>
      <c r="E253" s="23" t="s">
        <v>296</v>
      </c>
      <c r="F253" s="22" t="s">
        <v>301</v>
      </c>
      <c r="G253" s="22" t="s">
        <v>298</v>
      </c>
      <c r="H253" s="22" t="s">
        <v>30</v>
      </c>
      <c r="I253" s="22" t="s">
        <v>490</v>
      </c>
      <c r="J253" s="22" t="s">
        <v>301</v>
      </c>
      <c r="K253" s="519" t="s">
        <v>1262</v>
      </c>
      <c r="L253" s="521" t="s">
        <v>1320</v>
      </c>
      <c r="M253" s="521" t="s">
        <v>1321</v>
      </c>
      <c r="N253" s="521" t="s">
        <v>885</v>
      </c>
      <c r="O253" s="22" t="s">
        <v>465</v>
      </c>
      <c r="P253" s="69">
        <v>2016</v>
      </c>
      <c r="Q253" s="533">
        <f t="shared" ca="1" si="15"/>
        <v>7.2796534293688669E-4</v>
      </c>
      <c r="R253" s="335">
        <f t="shared" ca="1" si="11"/>
        <v>0</v>
      </c>
      <c r="S253" s="335">
        <f t="shared" ca="1" si="12"/>
        <v>0</v>
      </c>
      <c r="T253" s="429"/>
      <c r="U253" s="22"/>
      <c r="V253" s="24"/>
      <c r="W253" s="21"/>
      <c r="Y253" s="490"/>
    </row>
    <row r="254" spans="1:25" ht="45">
      <c r="A254" s="31">
        <v>251</v>
      </c>
      <c r="B254" s="22" t="s">
        <v>39</v>
      </c>
      <c r="C254" s="22" t="s">
        <v>462</v>
      </c>
      <c r="D254" s="22" t="s">
        <v>489</v>
      </c>
      <c r="E254" s="23" t="s">
        <v>296</v>
      </c>
      <c r="F254" s="22" t="s">
        <v>302</v>
      </c>
      <c r="G254" s="22" t="s">
        <v>298</v>
      </c>
      <c r="H254" s="22" t="s">
        <v>30</v>
      </c>
      <c r="I254" s="22" t="s">
        <v>490</v>
      </c>
      <c r="J254" s="22" t="s">
        <v>302</v>
      </c>
      <c r="K254" s="519" t="s">
        <v>1262</v>
      </c>
      <c r="L254" s="521" t="s">
        <v>1322</v>
      </c>
      <c r="M254" s="521" t="s">
        <v>1323</v>
      </c>
      <c r="N254" s="521" t="s">
        <v>885</v>
      </c>
      <c r="O254" s="22" t="s">
        <v>465</v>
      </c>
      <c r="P254" s="69">
        <v>2016</v>
      </c>
      <c r="Q254" s="533">
        <f t="shared" ca="1" si="15"/>
        <v>4.7317749080739801E-4</v>
      </c>
      <c r="R254" s="335">
        <f t="shared" ca="1" si="11"/>
        <v>0</v>
      </c>
      <c r="S254" s="335">
        <f t="shared" ca="1" si="12"/>
        <v>0</v>
      </c>
      <c r="T254" s="429"/>
      <c r="U254" s="22"/>
      <c r="V254" s="24"/>
      <c r="W254" s="21"/>
      <c r="Y254" s="490"/>
    </row>
    <row r="255" spans="1:25" ht="45">
      <c r="A255" s="31">
        <v>252</v>
      </c>
      <c r="B255" s="22" t="s">
        <v>39</v>
      </c>
      <c r="C255" s="22" t="s">
        <v>462</v>
      </c>
      <c r="D255" s="22" t="s">
        <v>489</v>
      </c>
      <c r="E255" s="23" t="s">
        <v>296</v>
      </c>
      <c r="F255" s="22" t="s">
        <v>303</v>
      </c>
      <c r="G255" s="22" t="s">
        <v>298</v>
      </c>
      <c r="H255" s="22" t="s">
        <v>30</v>
      </c>
      <c r="I255" s="22" t="s">
        <v>490</v>
      </c>
      <c r="J255" s="22" t="s">
        <v>303</v>
      </c>
      <c r="K255" s="519" t="s">
        <v>1262</v>
      </c>
      <c r="L255" s="521" t="s">
        <v>1324</v>
      </c>
      <c r="M255" s="521" t="s">
        <v>1325</v>
      </c>
      <c r="N255" s="521" t="s">
        <v>885</v>
      </c>
      <c r="O255" s="22" t="s">
        <v>465</v>
      </c>
      <c r="P255" s="69">
        <v>2016</v>
      </c>
      <c r="Q255" s="533">
        <f t="shared" ca="1" si="15"/>
        <v>1.7724245040813888E-4</v>
      </c>
      <c r="R255" s="335">
        <f t="shared" ca="1" si="11"/>
        <v>0</v>
      </c>
      <c r="S255" s="335">
        <f t="shared" ca="1" si="12"/>
        <v>0</v>
      </c>
      <c r="T255" s="429" t="s">
        <v>304</v>
      </c>
      <c r="U255" s="22" t="s">
        <v>491</v>
      </c>
      <c r="V255" s="24"/>
      <c r="W255" s="21"/>
      <c r="Y255" s="490"/>
    </row>
    <row r="256" spans="1:25" ht="45">
      <c r="A256" s="31">
        <v>253</v>
      </c>
      <c r="B256" s="22" t="s">
        <v>39</v>
      </c>
      <c r="C256" s="22" t="s">
        <v>462</v>
      </c>
      <c r="D256" s="22" t="s">
        <v>489</v>
      </c>
      <c r="E256" s="23" t="s">
        <v>296</v>
      </c>
      <c r="F256" s="22" t="s">
        <v>305</v>
      </c>
      <c r="G256" s="22" t="s">
        <v>298</v>
      </c>
      <c r="H256" s="22" t="s">
        <v>30</v>
      </c>
      <c r="I256" s="22" t="s">
        <v>490</v>
      </c>
      <c r="J256" s="22" t="s">
        <v>305</v>
      </c>
      <c r="K256" s="519" t="s">
        <v>1262</v>
      </c>
      <c r="L256" s="521" t="s">
        <v>1326</v>
      </c>
      <c r="M256" s="521" t="s">
        <v>1327</v>
      </c>
      <c r="N256" s="521" t="s">
        <v>885</v>
      </c>
      <c r="O256" s="22" t="s">
        <v>465</v>
      </c>
      <c r="P256" s="69">
        <v>2016</v>
      </c>
      <c r="Q256" s="533">
        <f t="shared" ca="1" si="15"/>
        <v>1.1520759712313551E-4</v>
      </c>
      <c r="R256" s="335">
        <f t="shared" ca="1" si="11"/>
        <v>0</v>
      </c>
      <c r="S256" s="335">
        <f t="shared" ca="1" si="12"/>
        <v>0</v>
      </c>
      <c r="T256" s="429" t="s">
        <v>304</v>
      </c>
      <c r="U256" s="22" t="s">
        <v>491</v>
      </c>
      <c r="V256" s="24"/>
      <c r="W256" s="21"/>
      <c r="Y256" s="490"/>
    </row>
    <row r="257" spans="1:25" ht="45">
      <c r="A257" s="31">
        <v>254</v>
      </c>
      <c r="B257" s="22" t="s">
        <v>39</v>
      </c>
      <c r="C257" s="22" t="s">
        <v>462</v>
      </c>
      <c r="D257" s="22" t="s">
        <v>489</v>
      </c>
      <c r="E257" s="23" t="s">
        <v>296</v>
      </c>
      <c r="F257" s="22" t="s">
        <v>306</v>
      </c>
      <c r="G257" s="22" t="s">
        <v>298</v>
      </c>
      <c r="H257" s="22" t="s">
        <v>30</v>
      </c>
      <c r="I257" s="22" t="s">
        <v>490</v>
      </c>
      <c r="J257" s="22" t="s">
        <v>306</v>
      </c>
      <c r="K257" s="519" t="s">
        <v>1262</v>
      </c>
      <c r="L257" s="521" t="s">
        <v>1328</v>
      </c>
      <c r="M257" s="521" t="s">
        <v>1329</v>
      </c>
      <c r="N257" s="521" t="s">
        <v>885</v>
      </c>
      <c r="O257" s="22" t="s">
        <v>465</v>
      </c>
      <c r="P257" s="69">
        <v>2016</v>
      </c>
      <c r="Q257" s="533">
        <f t="shared" ca="1" si="15"/>
        <v>1.1550403315204979E-2</v>
      </c>
      <c r="R257" s="335">
        <f t="shared" ca="1" si="11"/>
        <v>0</v>
      </c>
      <c r="S257" s="335">
        <f t="shared" ca="1" si="12"/>
        <v>0</v>
      </c>
      <c r="T257" s="429"/>
      <c r="U257" s="22"/>
      <c r="V257" s="24"/>
      <c r="W257" s="21"/>
      <c r="Y257" s="490"/>
    </row>
    <row r="258" spans="1:25" ht="45">
      <c r="A258" s="31">
        <v>255</v>
      </c>
      <c r="B258" s="22" t="s">
        <v>39</v>
      </c>
      <c r="C258" s="22" t="s">
        <v>462</v>
      </c>
      <c r="D258" s="22" t="s">
        <v>489</v>
      </c>
      <c r="E258" s="23" t="s">
        <v>296</v>
      </c>
      <c r="F258" s="22" t="s">
        <v>307</v>
      </c>
      <c r="G258" s="22" t="s">
        <v>298</v>
      </c>
      <c r="H258" s="22" t="s">
        <v>30</v>
      </c>
      <c r="I258" s="22" t="s">
        <v>490</v>
      </c>
      <c r="J258" s="22" t="s">
        <v>307</v>
      </c>
      <c r="K258" s="519" t="s">
        <v>1262</v>
      </c>
      <c r="L258" s="521" t="s">
        <v>1330</v>
      </c>
      <c r="M258" s="521" t="s">
        <v>1331</v>
      </c>
      <c r="N258" s="521" t="s">
        <v>885</v>
      </c>
      <c r="O258" s="22" t="s">
        <v>465</v>
      </c>
      <c r="P258" s="69">
        <v>2016</v>
      </c>
      <c r="Q258" s="533">
        <f t="shared" ca="1" si="15"/>
        <v>7.507762438872031E-3</v>
      </c>
      <c r="R258" s="335">
        <f t="shared" ca="1" si="11"/>
        <v>0</v>
      </c>
      <c r="S258" s="335">
        <f t="shared" ca="1" si="12"/>
        <v>0</v>
      </c>
      <c r="T258" s="429"/>
      <c r="U258" s="22"/>
      <c r="V258" s="24"/>
      <c r="W258" s="21"/>
      <c r="Y258" s="490"/>
    </row>
    <row r="259" spans="1:25" ht="45">
      <c r="A259" s="31">
        <v>256</v>
      </c>
      <c r="B259" s="22" t="s">
        <v>39</v>
      </c>
      <c r="C259" s="22" t="s">
        <v>462</v>
      </c>
      <c r="D259" s="22" t="s">
        <v>489</v>
      </c>
      <c r="E259" s="23" t="s">
        <v>296</v>
      </c>
      <c r="F259" s="22" t="s">
        <v>308</v>
      </c>
      <c r="G259" s="22" t="s">
        <v>298</v>
      </c>
      <c r="H259" s="22" t="s">
        <v>30</v>
      </c>
      <c r="I259" s="22" t="s">
        <v>490</v>
      </c>
      <c r="J259" s="22" t="s">
        <v>308</v>
      </c>
      <c r="K259" s="519" t="s">
        <v>1262</v>
      </c>
      <c r="L259" s="521" t="s">
        <v>1332</v>
      </c>
      <c r="M259" s="521" t="s">
        <v>1333</v>
      </c>
      <c r="N259" s="521" t="s">
        <v>885</v>
      </c>
      <c r="O259" s="22" t="s">
        <v>465</v>
      </c>
      <c r="P259" s="69">
        <v>2016</v>
      </c>
      <c r="Q259" s="533">
        <f t="shared" ca="1" si="15"/>
        <v>8.8374254135781868E-3</v>
      </c>
      <c r="R259" s="335">
        <f t="shared" ref="R259:R305" ca="1" si="16">IF($N259 = "N","N/A",SUMIF(INDIRECT("'"&amp;K259&amp;"'!i:i"),L259,INDIRECT("'"&amp;K259&amp;"'!k:k")))</f>
        <v>0</v>
      </c>
      <c r="S259" s="335">
        <f t="shared" ref="S259:S305" ca="1" si="17">IF($N259 = "N","N/A",SUMIF(INDIRECT("'"&amp;K259&amp;"'!i:i"),M259,INDIRECT("'"&amp;K259&amp;"'!k:k")))</f>
        <v>0</v>
      </c>
      <c r="T259" s="429"/>
      <c r="U259" s="22"/>
      <c r="V259" s="24"/>
      <c r="W259" s="21"/>
      <c r="Y259" s="490"/>
    </row>
    <row r="260" spans="1:25" ht="45">
      <c r="A260" s="31">
        <v>257</v>
      </c>
      <c r="B260" s="22" t="s">
        <v>39</v>
      </c>
      <c r="C260" s="22" t="s">
        <v>462</v>
      </c>
      <c r="D260" s="22" t="s">
        <v>489</v>
      </c>
      <c r="E260" s="23" t="s">
        <v>296</v>
      </c>
      <c r="F260" s="22" t="s">
        <v>309</v>
      </c>
      <c r="G260" s="22" t="s">
        <v>298</v>
      </c>
      <c r="H260" s="22" t="s">
        <v>30</v>
      </c>
      <c r="I260" s="22" t="s">
        <v>490</v>
      </c>
      <c r="J260" s="22" t="s">
        <v>309</v>
      </c>
      <c r="K260" s="519" t="s">
        <v>1262</v>
      </c>
      <c r="L260" s="521" t="s">
        <v>1334</v>
      </c>
      <c r="M260" s="521" t="s">
        <v>1335</v>
      </c>
      <c r="N260" s="521" t="s">
        <v>885</v>
      </c>
      <c r="O260" s="22" t="s">
        <v>465</v>
      </c>
      <c r="P260" s="69">
        <v>2016</v>
      </c>
      <c r="Q260" s="533">
        <f t="shared" ca="1" si="15"/>
        <v>5.7443267361108573E-3</v>
      </c>
      <c r="R260" s="335">
        <f t="shared" ca="1" si="16"/>
        <v>0</v>
      </c>
      <c r="S260" s="335">
        <f t="shared" ca="1" si="17"/>
        <v>0</v>
      </c>
      <c r="T260" s="429"/>
      <c r="U260" s="22"/>
      <c r="V260" s="24"/>
      <c r="W260" s="21"/>
      <c r="Y260" s="490"/>
    </row>
    <row r="261" spans="1:25" ht="60">
      <c r="A261" s="31">
        <v>258</v>
      </c>
      <c r="B261" s="22" t="s">
        <v>39</v>
      </c>
      <c r="C261" s="22" t="s">
        <v>462</v>
      </c>
      <c r="D261" s="22" t="s">
        <v>489</v>
      </c>
      <c r="E261" s="23" t="s">
        <v>296</v>
      </c>
      <c r="F261" s="22" t="s">
        <v>310</v>
      </c>
      <c r="G261" s="22" t="s">
        <v>298</v>
      </c>
      <c r="H261" s="22" t="s">
        <v>30</v>
      </c>
      <c r="I261" s="22" t="s">
        <v>490</v>
      </c>
      <c r="J261" s="22" t="s">
        <v>310</v>
      </c>
      <c r="K261" s="519" t="s">
        <v>1262</v>
      </c>
      <c r="L261" s="521" t="s">
        <v>1336</v>
      </c>
      <c r="M261" s="521" t="s">
        <v>1337</v>
      </c>
      <c r="N261" s="521" t="s">
        <v>885</v>
      </c>
      <c r="O261" s="22" t="s">
        <v>465</v>
      </c>
      <c r="P261" s="69">
        <v>2016</v>
      </c>
      <c r="Q261" s="533">
        <f t="shared" ca="1" si="15"/>
        <v>1.7550784437187291E-3</v>
      </c>
      <c r="R261" s="335">
        <f t="shared" ca="1" si="16"/>
        <v>0</v>
      </c>
      <c r="S261" s="335">
        <f t="shared" ca="1" si="17"/>
        <v>0</v>
      </c>
      <c r="T261" s="429" t="s">
        <v>304</v>
      </c>
      <c r="U261" s="22" t="s">
        <v>491</v>
      </c>
      <c r="V261" s="24"/>
      <c r="W261" s="21"/>
      <c r="Y261" s="490"/>
    </row>
    <row r="262" spans="1:25" ht="45">
      <c r="A262" s="100">
        <v>259</v>
      </c>
      <c r="B262" s="22" t="s">
        <v>39</v>
      </c>
      <c r="C262" s="22" t="s">
        <v>462</v>
      </c>
      <c r="D262" s="22" t="s">
        <v>489</v>
      </c>
      <c r="E262" s="23" t="s">
        <v>296</v>
      </c>
      <c r="F262" s="101" t="s">
        <v>311</v>
      </c>
      <c r="G262" s="101" t="s">
        <v>298</v>
      </c>
      <c r="H262" s="101" t="s">
        <v>30</v>
      </c>
      <c r="I262" s="101" t="s">
        <v>490</v>
      </c>
      <c r="J262" s="101" t="s">
        <v>311</v>
      </c>
      <c r="K262" s="519" t="s">
        <v>1262</v>
      </c>
      <c r="L262" s="521" t="s">
        <v>1338</v>
      </c>
      <c r="M262" s="521" t="s">
        <v>1339</v>
      </c>
      <c r="N262" s="521" t="s">
        <v>885</v>
      </c>
      <c r="O262" s="101" t="s">
        <v>465</v>
      </c>
      <c r="P262" s="430">
        <v>2016</v>
      </c>
      <c r="Q262" s="533">
        <f t="shared" ca="1" si="15"/>
        <v>1.1408010315691391E-3</v>
      </c>
      <c r="R262" s="335">
        <f t="shared" ca="1" si="16"/>
        <v>0</v>
      </c>
      <c r="S262" s="335">
        <f t="shared" ca="1" si="17"/>
        <v>0</v>
      </c>
      <c r="T262" s="522" t="s">
        <v>304</v>
      </c>
      <c r="U262" s="101" t="s">
        <v>491</v>
      </c>
      <c r="V262" s="24"/>
      <c r="W262" s="21"/>
      <c r="Y262" s="490"/>
    </row>
    <row r="263" spans="1:25" ht="45">
      <c r="A263" s="31">
        <v>260</v>
      </c>
      <c r="B263" s="22" t="s">
        <v>39</v>
      </c>
      <c r="C263" s="22" t="s">
        <v>492</v>
      </c>
      <c r="D263" s="22" t="s">
        <v>493</v>
      </c>
      <c r="E263" s="23" t="s">
        <v>51</v>
      </c>
      <c r="F263" s="22" t="s">
        <v>52</v>
      </c>
      <c r="G263" s="22" t="s">
        <v>53</v>
      </c>
      <c r="H263" s="22" t="s">
        <v>30</v>
      </c>
      <c r="I263" s="22" t="s">
        <v>494</v>
      </c>
      <c r="J263" s="22" t="s">
        <v>52</v>
      </c>
      <c r="K263" s="519" t="s">
        <v>1340</v>
      </c>
      <c r="L263" s="521" t="s">
        <v>1341</v>
      </c>
      <c r="M263" s="521" t="s">
        <v>1342</v>
      </c>
      <c r="N263" s="521" t="s">
        <v>815</v>
      </c>
      <c r="O263" s="22" t="s">
        <v>495</v>
      </c>
      <c r="P263" s="69">
        <v>2016</v>
      </c>
      <c r="Q263" s="414">
        <f t="shared" ref="Q263:Q284" ca="1" si="18">SUMIF(INDIRECT("'"&amp;K263&amp;"'!c:c"),A263,INDIRECT("'"&amp;K263&amp;"'!d:d"))</f>
        <v>64.026501473039502</v>
      </c>
      <c r="R263" s="335" t="str">
        <f t="shared" ca="1" si="16"/>
        <v>N/A</v>
      </c>
      <c r="S263" s="335" t="str">
        <f t="shared" ca="1" si="17"/>
        <v>N/A</v>
      </c>
      <c r="T263" s="429" t="s">
        <v>899</v>
      </c>
      <c r="U263" s="22"/>
      <c r="V263" s="24"/>
      <c r="W263" s="21"/>
      <c r="Y263" s="490"/>
    </row>
    <row r="264" spans="1:25" ht="45">
      <c r="A264" s="31">
        <v>261</v>
      </c>
      <c r="B264" s="22" t="s">
        <v>39</v>
      </c>
      <c r="C264" s="22" t="s">
        <v>492</v>
      </c>
      <c r="D264" s="22" t="s">
        <v>493</v>
      </c>
      <c r="E264" s="23" t="s">
        <v>51</v>
      </c>
      <c r="F264" s="22" t="s">
        <v>55</v>
      </c>
      <c r="G264" s="22" t="s">
        <v>53</v>
      </c>
      <c r="H264" s="22" t="s">
        <v>30</v>
      </c>
      <c r="I264" s="22" t="s">
        <v>494</v>
      </c>
      <c r="J264" s="22" t="s">
        <v>55</v>
      </c>
      <c r="K264" s="519" t="s">
        <v>1340</v>
      </c>
      <c r="L264" s="521" t="s">
        <v>1343</v>
      </c>
      <c r="M264" s="521" t="s">
        <v>1344</v>
      </c>
      <c r="N264" s="521" t="s">
        <v>815</v>
      </c>
      <c r="O264" s="22" t="s">
        <v>495</v>
      </c>
      <c r="P264" s="69">
        <v>2016</v>
      </c>
      <c r="Q264" s="414">
        <f t="shared" ca="1" si="18"/>
        <v>41.617227531689799</v>
      </c>
      <c r="R264" s="335" t="str">
        <f t="shared" ca="1" si="16"/>
        <v>N/A</v>
      </c>
      <c r="S264" s="335" t="str">
        <f t="shared" ca="1" si="17"/>
        <v>N/A</v>
      </c>
      <c r="T264" s="429" t="s">
        <v>899</v>
      </c>
      <c r="U264" s="22"/>
      <c r="V264" s="24"/>
      <c r="W264" s="21"/>
      <c r="Y264" s="490"/>
    </row>
    <row r="265" spans="1:25" ht="45">
      <c r="A265" s="31">
        <v>262</v>
      </c>
      <c r="B265" s="22" t="s">
        <v>39</v>
      </c>
      <c r="C265" s="22" t="s">
        <v>492</v>
      </c>
      <c r="D265" s="22" t="s">
        <v>493</v>
      </c>
      <c r="E265" s="23" t="s">
        <v>51</v>
      </c>
      <c r="F265" s="22" t="s">
        <v>56</v>
      </c>
      <c r="G265" s="22" t="s">
        <v>53</v>
      </c>
      <c r="H265" s="22" t="s">
        <v>30</v>
      </c>
      <c r="I265" s="22" t="s">
        <v>494</v>
      </c>
      <c r="J265" s="22" t="s">
        <v>56</v>
      </c>
      <c r="K265" s="519" t="s">
        <v>1340</v>
      </c>
      <c r="L265" s="521" t="s">
        <v>1345</v>
      </c>
      <c r="M265" s="521" t="s">
        <v>1346</v>
      </c>
      <c r="N265" s="521" t="s">
        <v>815</v>
      </c>
      <c r="O265" s="22" t="s">
        <v>495</v>
      </c>
      <c r="P265" s="69">
        <v>2016</v>
      </c>
      <c r="Q265" s="414">
        <f t="shared" ca="1" si="18"/>
        <v>312333.68990855297</v>
      </c>
      <c r="R265" s="335" t="str">
        <f t="shared" ca="1" si="16"/>
        <v>N/A</v>
      </c>
      <c r="S265" s="335" t="str">
        <f t="shared" ca="1" si="17"/>
        <v>N/A</v>
      </c>
      <c r="T265" s="429" t="s">
        <v>899</v>
      </c>
      <c r="U265" s="22"/>
      <c r="V265" s="24"/>
      <c r="W265" s="21"/>
      <c r="Y265" s="490"/>
    </row>
    <row r="266" spans="1:25" ht="45">
      <c r="A266" s="31">
        <v>263</v>
      </c>
      <c r="B266" s="22" t="s">
        <v>39</v>
      </c>
      <c r="C266" s="22" t="s">
        <v>492</v>
      </c>
      <c r="D266" s="22" t="s">
        <v>493</v>
      </c>
      <c r="E266" s="23" t="s">
        <v>51</v>
      </c>
      <c r="F266" s="22" t="s">
        <v>57</v>
      </c>
      <c r="G266" s="22" t="s">
        <v>53</v>
      </c>
      <c r="H266" s="22" t="s">
        <v>30</v>
      </c>
      <c r="I266" s="22" t="s">
        <v>494</v>
      </c>
      <c r="J266" s="22" t="s">
        <v>57</v>
      </c>
      <c r="K266" s="519" t="s">
        <v>1340</v>
      </c>
      <c r="L266" s="521" t="s">
        <v>1347</v>
      </c>
      <c r="M266" s="521" t="s">
        <v>1348</v>
      </c>
      <c r="N266" s="521" t="s">
        <v>815</v>
      </c>
      <c r="O266" s="22" t="s">
        <v>495</v>
      </c>
      <c r="P266" s="69">
        <v>2016</v>
      </c>
      <c r="Q266" s="414">
        <f t="shared" ca="1" si="18"/>
        <v>204017.36924985301</v>
      </c>
      <c r="R266" s="335" t="str">
        <f t="shared" ca="1" si="16"/>
        <v>N/A</v>
      </c>
      <c r="S266" s="335" t="str">
        <f t="shared" ca="1" si="17"/>
        <v>N/A</v>
      </c>
      <c r="T266" s="429" t="s">
        <v>899</v>
      </c>
      <c r="U266" s="22"/>
      <c r="V266" s="24"/>
      <c r="W266" s="21"/>
      <c r="Y266" s="490"/>
    </row>
    <row r="267" spans="1:25" ht="45">
      <c r="A267" s="31">
        <v>264</v>
      </c>
      <c r="B267" s="22" t="s">
        <v>39</v>
      </c>
      <c r="C267" s="22" t="s">
        <v>492</v>
      </c>
      <c r="D267" s="22" t="s">
        <v>493</v>
      </c>
      <c r="E267" s="23" t="s">
        <v>51</v>
      </c>
      <c r="F267" s="22" t="s">
        <v>58</v>
      </c>
      <c r="G267" s="22" t="s">
        <v>53</v>
      </c>
      <c r="H267" s="22" t="s">
        <v>30</v>
      </c>
      <c r="I267" s="22" t="s">
        <v>494</v>
      </c>
      <c r="J267" s="22" t="s">
        <v>58</v>
      </c>
      <c r="K267" s="519" t="s">
        <v>1340</v>
      </c>
      <c r="L267" s="521" t="s">
        <v>1349</v>
      </c>
      <c r="M267" s="521" t="s">
        <v>1350</v>
      </c>
      <c r="N267" s="521" t="s">
        <v>815</v>
      </c>
      <c r="O267" s="22" t="s">
        <v>495</v>
      </c>
      <c r="P267" s="69">
        <v>2016</v>
      </c>
      <c r="Q267" s="414">
        <f t="shared" ca="1" si="18"/>
        <v>118404.87186440801</v>
      </c>
      <c r="R267" s="335" t="str">
        <f t="shared" ca="1" si="16"/>
        <v>N/A</v>
      </c>
      <c r="S267" s="335" t="str">
        <f t="shared" ca="1" si="17"/>
        <v>N/A</v>
      </c>
      <c r="T267" s="429" t="s">
        <v>899</v>
      </c>
      <c r="U267" s="22" t="s">
        <v>49</v>
      </c>
      <c r="V267" s="24"/>
      <c r="W267" s="21"/>
      <c r="Y267" s="490"/>
    </row>
    <row r="268" spans="1:25" ht="45">
      <c r="A268" s="31">
        <v>265</v>
      </c>
      <c r="B268" s="22" t="s">
        <v>39</v>
      </c>
      <c r="C268" s="22" t="s">
        <v>492</v>
      </c>
      <c r="D268" s="22" t="s">
        <v>493</v>
      </c>
      <c r="E268" s="23" t="s">
        <v>51</v>
      </c>
      <c r="F268" s="22" t="s">
        <v>60</v>
      </c>
      <c r="G268" s="22" t="s">
        <v>53</v>
      </c>
      <c r="H268" s="22" t="s">
        <v>30</v>
      </c>
      <c r="I268" s="22" t="s">
        <v>494</v>
      </c>
      <c r="J268" s="22" t="s">
        <v>60</v>
      </c>
      <c r="K268" s="519" t="s">
        <v>1340</v>
      </c>
      <c r="L268" s="521" t="s">
        <v>1351</v>
      </c>
      <c r="M268" s="521" t="s">
        <v>1352</v>
      </c>
      <c r="N268" s="521" t="s">
        <v>815</v>
      </c>
      <c r="O268" s="22" t="s">
        <v>495</v>
      </c>
      <c r="P268" s="69">
        <v>2016</v>
      </c>
      <c r="Q268" s="414">
        <f t="shared" ca="1" si="18"/>
        <v>77582.157315912904</v>
      </c>
      <c r="R268" s="335" t="str">
        <f t="shared" ca="1" si="16"/>
        <v>N/A</v>
      </c>
      <c r="S268" s="335" t="str">
        <f t="shared" ca="1" si="17"/>
        <v>N/A</v>
      </c>
      <c r="T268" s="429" t="s">
        <v>899</v>
      </c>
      <c r="U268" s="22" t="s">
        <v>49</v>
      </c>
      <c r="V268" s="24"/>
      <c r="W268" s="21"/>
      <c r="Y268" s="490"/>
    </row>
    <row r="269" spans="1:25" ht="45">
      <c r="A269" s="31">
        <v>266</v>
      </c>
      <c r="B269" s="22" t="s">
        <v>39</v>
      </c>
      <c r="C269" s="22" t="s">
        <v>492</v>
      </c>
      <c r="D269" s="22" t="s">
        <v>493</v>
      </c>
      <c r="E269" s="23" t="s">
        <v>51</v>
      </c>
      <c r="F269" s="22" t="s">
        <v>61</v>
      </c>
      <c r="G269" s="22" t="s">
        <v>53</v>
      </c>
      <c r="H269" s="22" t="s">
        <v>30</v>
      </c>
      <c r="I269" s="22" t="s">
        <v>494</v>
      </c>
      <c r="J269" s="22" t="s">
        <v>61</v>
      </c>
      <c r="K269" s="519" t="s">
        <v>1340</v>
      </c>
      <c r="L269" s="521" t="s">
        <v>1353</v>
      </c>
      <c r="M269" s="521" t="s">
        <v>1354</v>
      </c>
      <c r="N269" s="521" t="s">
        <v>815</v>
      </c>
      <c r="O269" s="22" t="s">
        <v>495</v>
      </c>
      <c r="P269" s="69">
        <v>2016</v>
      </c>
      <c r="Q269" s="414">
        <f t="shared" ca="1" si="18"/>
        <v>707.90726606825797</v>
      </c>
      <c r="R269" s="335" t="str">
        <f t="shared" ca="1" si="16"/>
        <v>N/A</v>
      </c>
      <c r="S269" s="335" t="str">
        <f t="shared" ca="1" si="17"/>
        <v>N/A</v>
      </c>
      <c r="T269" s="429" t="s">
        <v>899</v>
      </c>
      <c r="U269" s="22"/>
      <c r="V269" s="24"/>
      <c r="W269" s="21"/>
      <c r="Y269" s="490"/>
    </row>
    <row r="270" spans="1:25" ht="45">
      <c r="A270" s="31">
        <v>267</v>
      </c>
      <c r="B270" s="22" t="s">
        <v>39</v>
      </c>
      <c r="C270" s="22" t="s">
        <v>492</v>
      </c>
      <c r="D270" s="22" t="s">
        <v>493</v>
      </c>
      <c r="E270" s="23" t="s">
        <v>51</v>
      </c>
      <c r="F270" s="22" t="s">
        <v>62</v>
      </c>
      <c r="G270" s="22" t="s">
        <v>53</v>
      </c>
      <c r="H270" s="22" t="s">
        <v>30</v>
      </c>
      <c r="I270" s="22" t="s">
        <v>494</v>
      </c>
      <c r="J270" s="22" t="s">
        <v>62</v>
      </c>
      <c r="K270" s="519" t="s">
        <v>1340</v>
      </c>
      <c r="L270" s="521" t="s">
        <v>1355</v>
      </c>
      <c r="M270" s="521" t="s">
        <v>1356</v>
      </c>
      <c r="N270" s="521" t="s">
        <v>815</v>
      </c>
      <c r="O270" s="22" t="s">
        <v>495</v>
      </c>
      <c r="P270" s="69">
        <v>2016</v>
      </c>
      <c r="Q270" s="414">
        <f t="shared" ca="1" si="18"/>
        <v>460.13974034962399</v>
      </c>
      <c r="R270" s="335" t="str">
        <f t="shared" ca="1" si="16"/>
        <v>N/A</v>
      </c>
      <c r="S270" s="335" t="str">
        <f t="shared" ca="1" si="17"/>
        <v>N/A</v>
      </c>
      <c r="T270" s="429" t="s">
        <v>899</v>
      </c>
      <c r="U270" s="22"/>
      <c r="V270" s="24"/>
      <c r="W270" s="21"/>
      <c r="Y270" s="490"/>
    </row>
    <row r="271" spans="1:25" ht="45">
      <c r="A271" s="31">
        <v>268</v>
      </c>
      <c r="B271" s="22" t="s">
        <v>39</v>
      </c>
      <c r="C271" s="22" t="s">
        <v>492</v>
      </c>
      <c r="D271" s="22" t="s">
        <v>493</v>
      </c>
      <c r="E271" s="23" t="s">
        <v>51</v>
      </c>
      <c r="F271" s="22" t="s">
        <v>63</v>
      </c>
      <c r="G271" s="22" t="s">
        <v>53</v>
      </c>
      <c r="H271" s="22" t="s">
        <v>30</v>
      </c>
      <c r="I271" s="22" t="s">
        <v>494</v>
      </c>
      <c r="J271" s="22" t="s">
        <v>63</v>
      </c>
      <c r="K271" s="519" t="s">
        <v>1340</v>
      </c>
      <c r="L271" s="521" t="s">
        <v>1357</v>
      </c>
      <c r="M271" s="521" t="s">
        <v>1358</v>
      </c>
      <c r="N271" s="521" t="s">
        <v>815</v>
      </c>
      <c r="O271" s="22" t="s">
        <v>495</v>
      </c>
      <c r="P271" s="69">
        <v>2016</v>
      </c>
      <c r="Q271" s="414">
        <f t="shared" ca="1" si="18"/>
        <v>3201579.9480787599</v>
      </c>
      <c r="R271" s="335" t="str">
        <f t="shared" ca="1" si="16"/>
        <v>N/A</v>
      </c>
      <c r="S271" s="335" t="str">
        <f t="shared" ca="1" si="17"/>
        <v>N/A</v>
      </c>
      <c r="T271" s="429" t="s">
        <v>899</v>
      </c>
      <c r="U271" s="22"/>
      <c r="V271" s="24"/>
      <c r="W271" s="21"/>
      <c r="Y271" s="490"/>
    </row>
    <row r="272" spans="1:25" ht="45">
      <c r="A272" s="31">
        <v>269</v>
      </c>
      <c r="B272" s="22" t="s">
        <v>39</v>
      </c>
      <c r="C272" s="22" t="s">
        <v>492</v>
      </c>
      <c r="D272" s="22" t="s">
        <v>493</v>
      </c>
      <c r="E272" s="23" t="s">
        <v>51</v>
      </c>
      <c r="F272" s="22" t="s">
        <v>64</v>
      </c>
      <c r="G272" s="22" t="s">
        <v>53</v>
      </c>
      <c r="H272" s="22" t="s">
        <v>30</v>
      </c>
      <c r="I272" s="22" t="s">
        <v>494</v>
      </c>
      <c r="J272" s="22" t="s">
        <v>64</v>
      </c>
      <c r="K272" s="519" t="s">
        <v>1340</v>
      </c>
      <c r="L272" s="521" t="s">
        <v>1359</v>
      </c>
      <c r="M272" s="521" t="s">
        <v>1360</v>
      </c>
      <c r="N272" s="521" t="s">
        <v>815</v>
      </c>
      <c r="O272" s="22" t="s">
        <v>495</v>
      </c>
      <c r="P272" s="69">
        <v>2016</v>
      </c>
      <c r="Q272" s="414">
        <f t="shared" ca="1" si="18"/>
        <v>2086029.36061803</v>
      </c>
      <c r="R272" s="335" t="str">
        <f t="shared" ca="1" si="16"/>
        <v>N/A</v>
      </c>
      <c r="S272" s="335" t="str">
        <f t="shared" ca="1" si="17"/>
        <v>N/A</v>
      </c>
      <c r="T272" s="429" t="s">
        <v>899</v>
      </c>
      <c r="U272" s="22"/>
      <c r="V272" s="24"/>
      <c r="W272" s="21"/>
      <c r="Y272" s="490"/>
    </row>
    <row r="273" spans="1:25" ht="45">
      <c r="A273" s="31">
        <v>270</v>
      </c>
      <c r="B273" s="22" t="s">
        <v>39</v>
      </c>
      <c r="C273" s="22" t="s">
        <v>492</v>
      </c>
      <c r="D273" s="22" t="s">
        <v>493</v>
      </c>
      <c r="E273" s="23" t="s">
        <v>51</v>
      </c>
      <c r="F273" s="22" t="s">
        <v>65</v>
      </c>
      <c r="G273" s="22" t="s">
        <v>53</v>
      </c>
      <c r="H273" s="22" t="s">
        <v>30</v>
      </c>
      <c r="I273" s="22" t="s">
        <v>494</v>
      </c>
      <c r="J273" s="22" t="s">
        <v>65</v>
      </c>
      <c r="K273" s="519" t="s">
        <v>1340</v>
      </c>
      <c r="L273" s="521" t="s">
        <v>1361</v>
      </c>
      <c r="M273" s="521" t="s">
        <v>1362</v>
      </c>
      <c r="N273" s="521" t="s">
        <v>815</v>
      </c>
      <c r="O273" s="22" t="s">
        <v>495</v>
      </c>
      <c r="P273" s="69">
        <v>2016</v>
      </c>
      <c r="Q273" s="414">
        <f t="shared" ca="1" si="18"/>
        <v>586854.62541833404</v>
      </c>
      <c r="R273" s="335" t="str">
        <f t="shared" ca="1" si="16"/>
        <v>N/A</v>
      </c>
      <c r="S273" s="335" t="str">
        <f t="shared" ca="1" si="17"/>
        <v>N/A</v>
      </c>
      <c r="T273" s="429" t="s">
        <v>899</v>
      </c>
      <c r="U273" s="22" t="s">
        <v>49</v>
      </c>
      <c r="V273" s="24"/>
      <c r="W273" s="21"/>
      <c r="Y273" s="490"/>
    </row>
    <row r="274" spans="1:25" ht="45">
      <c r="A274" s="31">
        <v>271</v>
      </c>
      <c r="B274" s="22" t="s">
        <v>39</v>
      </c>
      <c r="C274" s="22" t="s">
        <v>492</v>
      </c>
      <c r="D274" s="22" t="s">
        <v>493</v>
      </c>
      <c r="E274" s="23" t="s">
        <v>51</v>
      </c>
      <c r="F274" s="22" t="s">
        <v>66</v>
      </c>
      <c r="G274" s="22" t="s">
        <v>53</v>
      </c>
      <c r="H274" s="22" t="s">
        <v>30</v>
      </c>
      <c r="I274" s="22" t="s">
        <v>494</v>
      </c>
      <c r="J274" s="22" t="s">
        <v>66</v>
      </c>
      <c r="K274" s="519" t="s">
        <v>1340</v>
      </c>
      <c r="L274" s="521" t="s">
        <v>1363</v>
      </c>
      <c r="M274" s="521" t="s">
        <v>1364</v>
      </c>
      <c r="N274" s="521" t="s">
        <v>815</v>
      </c>
      <c r="O274" s="22" t="s">
        <v>495</v>
      </c>
      <c r="P274" s="69">
        <v>2016</v>
      </c>
      <c r="Q274" s="414">
        <f t="shared" ca="1" si="18"/>
        <v>384550.45941504597</v>
      </c>
      <c r="R274" s="335" t="str">
        <f t="shared" ca="1" si="16"/>
        <v>N/A</v>
      </c>
      <c r="S274" s="335" t="str">
        <f t="shared" ca="1" si="17"/>
        <v>N/A</v>
      </c>
      <c r="T274" s="429" t="s">
        <v>899</v>
      </c>
      <c r="U274" s="22" t="s">
        <v>49</v>
      </c>
      <c r="V274" s="24"/>
      <c r="W274" s="21"/>
      <c r="Y274" s="490"/>
    </row>
    <row r="275" spans="1:25" ht="30">
      <c r="A275" s="31">
        <v>272</v>
      </c>
      <c r="B275" s="22" t="s">
        <v>39</v>
      </c>
      <c r="C275" s="22" t="s">
        <v>492</v>
      </c>
      <c r="D275" s="22" t="s">
        <v>496</v>
      </c>
      <c r="E275" s="23" t="s">
        <v>42</v>
      </c>
      <c r="F275" s="22" t="s">
        <v>43</v>
      </c>
      <c r="G275" s="22" t="s">
        <v>44</v>
      </c>
      <c r="H275" s="22" t="s">
        <v>30</v>
      </c>
      <c r="I275" s="22" t="s">
        <v>497</v>
      </c>
      <c r="J275" s="22" t="s">
        <v>46</v>
      </c>
      <c r="K275" s="519" t="s">
        <v>1340</v>
      </c>
      <c r="L275" s="521" t="s">
        <v>1365</v>
      </c>
      <c r="M275" s="521" t="s">
        <v>1366</v>
      </c>
      <c r="N275" s="521" t="s">
        <v>815</v>
      </c>
      <c r="O275" s="22" t="s">
        <v>495</v>
      </c>
      <c r="P275" s="69">
        <v>2016</v>
      </c>
      <c r="Q275" s="414">
        <f t="shared" ca="1" si="18"/>
        <v>555.42571383398445</v>
      </c>
      <c r="R275" s="335" t="str">
        <f t="shared" ca="1" si="16"/>
        <v>N/A</v>
      </c>
      <c r="S275" s="335" t="str">
        <f t="shared" ca="1" si="17"/>
        <v>N/A</v>
      </c>
      <c r="T275" s="429" t="s">
        <v>48</v>
      </c>
      <c r="U275" s="22"/>
      <c r="V275" s="24"/>
      <c r="W275" s="21"/>
      <c r="Y275" s="490"/>
    </row>
    <row r="276" spans="1:25" ht="90">
      <c r="A276" s="31">
        <v>273</v>
      </c>
      <c r="B276" s="22" t="s">
        <v>39</v>
      </c>
      <c r="C276" s="22" t="s">
        <v>492</v>
      </c>
      <c r="D276" s="22" t="s">
        <v>498</v>
      </c>
      <c r="E276" s="23" t="s">
        <v>499</v>
      </c>
      <c r="F276" s="22" t="s">
        <v>142</v>
      </c>
      <c r="G276" s="22" t="s">
        <v>143</v>
      </c>
      <c r="H276" s="22" t="s">
        <v>30</v>
      </c>
      <c r="I276" s="22" t="s">
        <v>500</v>
      </c>
      <c r="J276" s="22" t="s">
        <v>501</v>
      </c>
      <c r="K276" s="519" t="s">
        <v>1340</v>
      </c>
      <c r="L276" s="521" t="s">
        <v>1367</v>
      </c>
      <c r="M276" s="521" t="s">
        <v>1368</v>
      </c>
      <c r="N276" s="521" t="s">
        <v>885</v>
      </c>
      <c r="O276" s="22" t="s">
        <v>495</v>
      </c>
      <c r="P276" s="69">
        <v>2016</v>
      </c>
      <c r="Q276" s="533">
        <f t="shared" ca="1" si="18"/>
        <v>0.12121212121212122</v>
      </c>
      <c r="R276" s="335">
        <f t="shared" ca="1" si="16"/>
        <v>0</v>
      </c>
      <c r="S276" s="335">
        <f t="shared" ca="1" si="17"/>
        <v>0</v>
      </c>
      <c r="T276" s="429" t="s">
        <v>502</v>
      </c>
      <c r="U276" s="22" t="s">
        <v>246</v>
      </c>
      <c r="V276" s="24"/>
      <c r="W276" s="21"/>
      <c r="Y276" s="490"/>
    </row>
    <row r="277" spans="1:25" ht="90">
      <c r="A277" s="31">
        <v>274</v>
      </c>
      <c r="B277" s="22" t="s">
        <v>39</v>
      </c>
      <c r="C277" s="22" t="s">
        <v>492</v>
      </c>
      <c r="D277" s="22" t="s">
        <v>498</v>
      </c>
      <c r="E277" s="23" t="s">
        <v>499</v>
      </c>
      <c r="F277" s="22" t="s">
        <v>142</v>
      </c>
      <c r="G277" s="22" t="s">
        <v>143</v>
      </c>
      <c r="H277" s="22" t="s">
        <v>30</v>
      </c>
      <c r="I277" s="22" t="s">
        <v>503</v>
      </c>
      <c r="J277" s="22" t="s">
        <v>504</v>
      </c>
      <c r="K277" s="519" t="s">
        <v>1340</v>
      </c>
      <c r="L277" s="521" t="s">
        <v>1369</v>
      </c>
      <c r="M277" s="521" t="s">
        <v>1370</v>
      </c>
      <c r="N277" s="521" t="s">
        <v>885</v>
      </c>
      <c r="O277" s="22" t="s">
        <v>495</v>
      </c>
      <c r="P277" s="69">
        <v>2016</v>
      </c>
      <c r="Q277" s="533">
        <f t="shared" ca="1" si="18"/>
        <v>2.7027027027027029E-2</v>
      </c>
      <c r="R277" s="335">
        <f t="shared" ca="1" si="16"/>
        <v>0</v>
      </c>
      <c r="S277" s="335">
        <f t="shared" ca="1" si="17"/>
        <v>0</v>
      </c>
      <c r="T277" s="429" t="s">
        <v>502</v>
      </c>
      <c r="U277" s="22" t="s">
        <v>246</v>
      </c>
      <c r="V277" s="24"/>
      <c r="W277" s="21"/>
      <c r="Y277" s="490"/>
    </row>
    <row r="278" spans="1:25" ht="90">
      <c r="A278" s="31">
        <v>275</v>
      </c>
      <c r="B278" s="22" t="s">
        <v>39</v>
      </c>
      <c r="C278" s="22" t="s">
        <v>492</v>
      </c>
      <c r="D278" s="22" t="s">
        <v>498</v>
      </c>
      <c r="E278" s="23" t="s">
        <v>499</v>
      </c>
      <c r="F278" s="22" t="s">
        <v>142</v>
      </c>
      <c r="G278" s="22" t="s">
        <v>143</v>
      </c>
      <c r="H278" s="22" t="s">
        <v>30</v>
      </c>
      <c r="I278" s="22" t="s">
        <v>505</v>
      </c>
      <c r="J278" s="22" t="s">
        <v>506</v>
      </c>
      <c r="K278" s="519" t="s">
        <v>1340</v>
      </c>
      <c r="L278" s="521" t="s">
        <v>1371</v>
      </c>
      <c r="M278" s="521" t="s">
        <v>1372</v>
      </c>
      <c r="N278" s="521" t="s">
        <v>885</v>
      </c>
      <c r="O278" s="22" t="s">
        <v>495</v>
      </c>
      <c r="P278" s="69">
        <v>2016</v>
      </c>
      <c r="Q278" s="533">
        <f t="shared" ca="1" si="18"/>
        <v>2.2650056625141564E-3</v>
      </c>
      <c r="R278" s="335">
        <f t="shared" ca="1" si="16"/>
        <v>0</v>
      </c>
      <c r="S278" s="335">
        <f t="shared" ca="1" si="17"/>
        <v>0</v>
      </c>
      <c r="T278" s="429" t="s">
        <v>502</v>
      </c>
      <c r="U278" s="22" t="s">
        <v>246</v>
      </c>
      <c r="V278" s="24"/>
      <c r="W278" s="21"/>
      <c r="Y278" s="490"/>
    </row>
    <row r="279" spans="1:25" ht="30">
      <c r="A279" s="31">
        <v>276</v>
      </c>
      <c r="B279" s="22" t="s">
        <v>39</v>
      </c>
      <c r="C279" s="22" t="s">
        <v>492</v>
      </c>
      <c r="D279" s="22" t="s">
        <v>507</v>
      </c>
      <c r="E279" s="23" t="s">
        <v>91</v>
      </c>
      <c r="F279" s="22" t="s">
        <v>92</v>
      </c>
      <c r="G279" s="22" t="s">
        <v>93</v>
      </c>
      <c r="H279" s="22" t="s">
        <v>30</v>
      </c>
      <c r="I279" s="22" t="s">
        <v>508</v>
      </c>
      <c r="J279" s="22" t="s">
        <v>92</v>
      </c>
      <c r="K279" s="519" t="s">
        <v>1340</v>
      </c>
      <c r="L279" s="521" t="s">
        <v>1373</v>
      </c>
      <c r="M279" s="521" t="s">
        <v>1374</v>
      </c>
      <c r="N279" s="521" t="s">
        <v>885</v>
      </c>
      <c r="O279" s="22" t="s">
        <v>495</v>
      </c>
      <c r="P279" s="69">
        <v>2016</v>
      </c>
      <c r="Q279" s="414">
        <f t="shared" ca="1" si="18"/>
        <v>557.7382705950638</v>
      </c>
      <c r="R279" s="335">
        <f t="shared" ca="1" si="16"/>
        <v>0</v>
      </c>
      <c r="S279" s="335">
        <f t="shared" ca="1" si="17"/>
        <v>0</v>
      </c>
      <c r="T279" s="429"/>
      <c r="U279" s="22"/>
      <c r="V279" s="24"/>
      <c r="W279" s="21"/>
      <c r="Y279" s="490"/>
    </row>
    <row r="280" spans="1:25" ht="30">
      <c r="A280" s="31">
        <v>277</v>
      </c>
      <c r="B280" s="22" t="s">
        <v>39</v>
      </c>
      <c r="C280" s="22" t="s">
        <v>492</v>
      </c>
      <c r="D280" s="22" t="s">
        <v>507</v>
      </c>
      <c r="E280" s="23" t="s">
        <v>91</v>
      </c>
      <c r="F280" s="22" t="s">
        <v>95</v>
      </c>
      <c r="G280" s="22" t="s">
        <v>93</v>
      </c>
      <c r="H280" s="22" t="s">
        <v>30</v>
      </c>
      <c r="I280" s="22" t="s">
        <v>508</v>
      </c>
      <c r="J280" s="22" t="s">
        <v>95</v>
      </c>
      <c r="K280" s="519" t="s">
        <v>1340</v>
      </c>
      <c r="L280" s="521" t="s">
        <v>1375</v>
      </c>
      <c r="M280" s="521" t="s">
        <v>1376</v>
      </c>
      <c r="N280" s="521" t="s">
        <v>885</v>
      </c>
      <c r="O280" s="22" t="s">
        <v>495</v>
      </c>
      <c r="P280" s="69">
        <v>2016</v>
      </c>
      <c r="Q280" s="414">
        <f t="shared" ca="1" si="18"/>
        <v>0.12302681249827986</v>
      </c>
      <c r="R280" s="335">
        <f t="shared" ca="1" si="16"/>
        <v>0</v>
      </c>
      <c r="S280" s="335">
        <f t="shared" ca="1" si="17"/>
        <v>0</v>
      </c>
      <c r="T280" s="429"/>
      <c r="U280" s="22"/>
      <c r="V280" s="24"/>
      <c r="W280" s="21"/>
      <c r="Y280" s="490"/>
    </row>
    <row r="281" spans="1:25" ht="30">
      <c r="A281" s="31">
        <v>278</v>
      </c>
      <c r="B281" s="22" t="s">
        <v>39</v>
      </c>
      <c r="C281" s="22" t="s">
        <v>492</v>
      </c>
      <c r="D281" s="22" t="s">
        <v>507</v>
      </c>
      <c r="E281" s="23" t="s">
        <v>91</v>
      </c>
      <c r="F281" s="22" t="s">
        <v>96</v>
      </c>
      <c r="G281" s="22" t="s">
        <v>93</v>
      </c>
      <c r="H281" s="22" t="s">
        <v>30</v>
      </c>
      <c r="I281" s="22" t="s">
        <v>508</v>
      </c>
      <c r="J281" s="22" t="s">
        <v>96</v>
      </c>
      <c r="K281" s="519" t="s">
        <v>1340</v>
      </c>
      <c r="L281" s="521" t="s">
        <v>1377</v>
      </c>
      <c r="M281" s="521" t="s">
        <v>1378</v>
      </c>
      <c r="N281" s="521" t="s">
        <v>885</v>
      </c>
      <c r="O281" s="22" t="s">
        <v>495</v>
      </c>
      <c r="P281" s="69">
        <v>2016</v>
      </c>
      <c r="Q281" s="414">
        <f t="shared" ca="1" si="18"/>
        <v>0.95781217306466115</v>
      </c>
      <c r="R281" s="335">
        <f t="shared" ca="1" si="16"/>
        <v>0</v>
      </c>
      <c r="S281" s="335">
        <f t="shared" ca="1" si="17"/>
        <v>0</v>
      </c>
      <c r="T281" s="429" t="s">
        <v>48</v>
      </c>
      <c r="U281" s="22" t="s">
        <v>49</v>
      </c>
      <c r="V281" s="24"/>
      <c r="W281" s="21"/>
      <c r="Y281" s="490"/>
    </row>
    <row r="282" spans="1:25" ht="30">
      <c r="A282" s="31">
        <v>279</v>
      </c>
      <c r="B282" s="22" t="s">
        <v>39</v>
      </c>
      <c r="C282" s="22" t="s">
        <v>492</v>
      </c>
      <c r="D282" s="22" t="s">
        <v>507</v>
      </c>
      <c r="E282" s="23" t="s">
        <v>91</v>
      </c>
      <c r="F282" s="22" t="s">
        <v>97</v>
      </c>
      <c r="G282" s="22" t="s">
        <v>93</v>
      </c>
      <c r="H282" s="22" t="s">
        <v>30</v>
      </c>
      <c r="I282" s="22" t="s">
        <v>508</v>
      </c>
      <c r="J282" s="22" t="s">
        <v>97</v>
      </c>
      <c r="K282" s="519" t="s">
        <v>1340</v>
      </c>
      <c r="L282" s="521" t="s">
        <v>1379</v>
      </c>
      <c r="M282" s="521" t="s">
        <v>1380</v>
      </c>
      <c r="N282" s="521" t="s">
        <v>885</v>
      </c>
      <c r="O282" s="22" t="s">
        <v>495</v>
      </c>
      <c r="P282" s="69">
        <v>2016</v>
      </c>
      <c r="Q282" s="414">
        <f t="shared" ca="1" si="18"/>
        <v>446.3922208493741</v>
      </c>
      <c r="R282" s="335">
        <f t="shared" ca="1" si="16"/>
        <v>0</v>
      </c>
      <c r="S282" s="335">
        <f t="shared" ca="1" si="17"/>
        <v>0</v>
      </c>
      <c r="T282" s="429"/>
      <c r="U282" s="22"/>
      <c r="V282" s="24"/>
      <c r="W282" s="21"/>
      <c r="Y282" s="490"/>
    </row>
    <row r="283" spans="1:25" ht="30">
      <c r="A283" s="31">
        <v>280</v>
      </c>
      <c r="B283" s="22" t="s">
        <v>39</v>
      </c>
      <c r="C283" s="22" t="s">
        <v>492</v>
      </c>
      <c r="D283" s="22" t="s">
        <v>507</v>
      </c>
      <c r="E283" s="23" t="s">
        <v>91</v>
      </c>
      <c r="F283" s="22" t="s">
        <v>98</v>
      </c>
      <c r="G283" s="22" t="s">
        <v>93</v>
      </c>
      <c r="H283" s="22" t="s">
        <v>30</v>
      </c>
      <c r="I283" s="22" t="s">
        <v>508</v>
      </c>
      <c r="J283" s="22" t="s">
        <v>98</v>
      </c>
      <c r="K283" s="519" t="s">
        <v>1340</v>
      </c>
      <c r="L283" s="521" t="s">
        <v>1381</v>
      </c>
      <c r="M283" s="521" t="s">
        <v>1382</v>
      </c>
      <c r="N283" s="521" t="s">
        <v>885</v>
      </c>
      <c r="O283" s="22" t="s">
        <v>495</v>
      </c>
      <c r="P283" s="69">
        <v>2016</v>
      </c>
      <c r="Q283" s="414">
        <f t="shared" ca="1" si="18"/>
        <v>9.8465920218336778E-2</v>
      </c>
      <c r="R283" s="335">
        <f t="shared" ca="1" si="16"/>
        <v>0</v>
      </c>
      <c r="S283" s="335">
        <f t="shared" ca="1" si="17"/>
        <v>0</v>
      </c>
      <c r="T283" s="429"/>
      <c r="U283" s="22"/>
      <c r="V283" s="24"/>
      <c r="W283" s="21"/>
      <c r="Y283" s="490"/>
    </row>
    <row r="284" spans="1:25" ht="30">
      <c r="A284" s="31">
        <v>281</v>
      </c>
      <c r="B284" s="22" t="s">
        <v>39</v>
      </c>
      <c r="C284" s="22" t="s">
        <v>492</v>
      </c>
      <c r="D284" s="22" t="s">
        <v>507</v>
      </c>
      <c r="E284" s="23" t="s">
        <v>91</v>
      </c>
      <c r="F284" s="22" t="s">
        <v>99</v>
      </c>
      <c r="G284" s="22" t="s">
        <v>93</v>
      </c>
      <c r="H284" s="22" t="s">
        <v>30</v>
      </c>
      <c r="I284" s="22" t="s">
        <v>508</v>
      </c>
      <c r="J284" s="22" t="s">
        <v>99</v>
      </c>
      <c r="K284" s="519" t="s">
        <v>1340</v>
      </c>
      <c r="L284" s="521" t="s">
        <v>1383</v>
      </c>
      <c r="M284" s="521" t="s">
        <v>1384</v>
      </c>
      <c r="N284" s="521" t="s">
        <v>885</v>
      </c>
      <c r="O284" s="22" t="s">
        <v>495</v>
      </c>
      <c r="P284" s="69">
        <v>2016</v>
      </c>
      <c r="Q284" s="414">
        <f t="shared" ca="1" si="18"/>
        <v>0.76659595662088242</v>
      </c>
      <c r="R284" s="335">
        <f t="shared" ca="1" si="16"/>
        <v>0</v>
      </c>
      <c r="S284" s="335">
        <f t="shared" ca="1" si="17"/>
        <v>0</v>
      </c>
      <c r="T284" s="429" t="s">
        <v>48</v>
      </c>
      <c r="U284" s="22" t="s">
        <v>49</v>
      </c>
      <c r="V284" s="24"/>
      <c r="W284" s="21"/>
      <c r="Y284" s="490"/>
    </row>
    <row r="285" spans="1:25" s="13" customFormat="1" ht="60">
      <c r="A285" s="31">
        <v>282</v>
      </c>
      <c r="B285" s="22" t="s">
        <v>39</v>
      </c>
      <c r="C285" s="22" t="s">
        <v>509</v>
      </c>
      <c r="D285" s="22" t="s">
        <v>510</v>
      </c>
      <c r="E285" s="23" t="s">
        <v>51</v>
      </c>
      <c r="F285" s="22" t="s">
        <v>511</v>
      </c>
      <c r="G285" s="22" t="s">
        <v>53</v>
      </c>
      <c r="H285" s="22" t="s">
        <v>30</v>
      </c>
      <c r="I285" s="22" t="s">
        <v>512</v>
      </c>
      <c r="J285" s="22" t="s">
        <v>513</v>
      </c>
      <c r="K285" s="519" t="s">
        <v>1385</v>
      </c>
      <c r="L285" s="521" t="s">
        <v>1386</v>
      </c>
      <c r="M285" s="521" t="s">
        <v>1387</v>
      </c>
      <c r="N285" s="521" t="s">
        <v>815</v>
      </c>
      <c r="O285" s="22" t="s">
        <v>514</v>
      </c>
      <c r="P285" s="69">
        <v>2016</v>
      </c>
      <c r="Q285" s="414">
        <f ca="1">SUMIF(INDIRECT("'"&amp;K285&amp;"'!a:a"),A285,INDIRECT("'"&amp;K285&amp;"'!d:d"))</f>
        <v>0</v>
      </c>
      <c r="R285" s="335" t="str">
        <f t="shared" ca="1" si="16"/>
        <v>N/A</v>
      </c>
      <c r="S285" s="335" t="str">
        <f t="shared" ca="1" si="17"/>
        <v>N/A</v>
      </c>
      <c r="T285" s="429" t="s">
        <v>515</v>
      </c>
      <c r="U285" s="22" t="s">
        <v>516</v>
      </c>
      <c r="V285" s="24"/>
      <c r="W285" s="21"/>
      <c r="X285" s="427"/>
      <c r="Y285" s="490"/>
    </row>
    <row r="286" spans="1:25" s="13" customFormat="1" ht="60">
      <c r="A286" s="31">
        <v>283</v>
      </c>
      <c r="B286" s="22" t="s">
        <v>39</v>
      </c>
      <c r="C286" s="22" t="s">
        <v>509</v>
      </c>
      <c r="D286" s="22" t="s">
        <v>510</v>
      </c>
      <c r="E286" s="23" t="s">
        <v>51</v>
      </c>
      <c r="F286" s="22" t="s">
        <v>517</v>
      </c>
      <c r="G286" s="22" t="s">
        <v>53</v>
      </c>
      <c r="H286" s="22" t="s">
        <v>30</v>
      </c>
      <c r="I286" s="22" t="s">
        <v>512</v>
      </c>
      <c r="J286" s="22" t="s">
        <v>518</v>
      </c>
      <c r="K286" s="519" t="s">
        <v>1385</v>
      </c>
      <c r="L286" s="521" t="s">
        <v>1388</v>
      </c>
      <c r="M286" s="521" t="s">
        <v>1389</v>
      </c>
      <c r="N286" s="521" t="s">
        <v>815</v>
      </c>
      <c r="O286" s="22" t="s">
        <v>514</v>
      </c>
      <c r="P286" s="69">
        <v>2016</v>
      </c>
      <c r="Q286" s="414">
        <f t="shared" ref="Q286:Q297" ca="1" si="19">SUMIF(INDIRECT("'"&amp;K286&amp;"'!a:a"),A286,INDIRECT("'"&amp;K286&amp;"'!d:d"))</f>
        <v>0</v>
      </c>
      <c r="R286" s="335" t="str">
        <f t="shared" ca="1" si="16"/>
        <v>N/A</v>
      </c>
      <c r="S286" s="335" t="str">
        <f t="shared" ca="1" si="17"/>
        <v>N/A</v>
      </c>
      <c r="T286" s="429" t="s">
        <v>515</v>
      </c>
      <c r="U286" s="22" t="s">
        <v>519</v>
      </c>
      <c r="V286" s="24"/>
      <c r="W286" s="21"/>
      <c r="X286" s="427"/>
      <c r="Y286" s="490"/>
    </row>
    <row r="287" spans="1:25" s="13" customFormat="1" ht="60">
      <c r="A287" s="31">
        <v>284</v>
      </c>
      <c r="B287" s="22" t="s">
        <v>39</v>
      </c>
      <c r="C287" s="22" t="s">
        <v>509</v>
      </c>
      <c r="D287" s="22" t="s">
        <v>510</v>
      </c>
      <c r="E287" s="23" t="s">
        <v>51</v>
      </c>
      <c r="F287" s="22" t="s">
        <v>520</v>
      </c>
      <c r="G287" s="22" t="s">
        <v>53</v>
      </c>
      <c r="H287" s="22" t="s">
        <v>30</v>
      </c>
      <c r="I287" s="22" t="s">
        <v>512</v>
      </c>
      <c r="J287" s="22" t="s">
        <v>521</v>
      </c>
      <c r="K287" s="519" t="s">
        <v>1385</v>
      </c>
      <c r="L287" s="521" t="s">
        <v>1390</v>
      </c>
      <c r="M287" s="521" t="s">
        <v>1391</v>
      </c>
      <c r="N287" s="521" t="s">
        <v>815</v>
      </c>
      <c r="O287" s="22" t="s">
        <v>514</v>
      </c>
      <c r="P287" s="69">
        <v>2016</v>
      </c>
      <c r="Q287" s="414">
        <f t="shared" ca="1" si="19"/>
        <v>0</v>
      </c>
      <c r="R287" s="335" t="str">
        <f t="shared" ca="1" si="16"/>
        <v>N/A</v>
      </c>
      <c r="S287" s="335" t="str">
        <f t="shared" ca="1" si="17"/>
        <v>N/A</v>
      </c>
      <c r="T287" s="429" t="s">
        <v>515</v>
      </c>
      <c r="U287" s="22" t="s">
        <v>516</v>
      </c>
      <c r="V287" s="24"/>
      <c r="W287" s="21"/>
      <c r="X287" s="427"/>
      <c r="Y287" s="490"/>
    </row>
    <row r="288" spans="1:25" s="13" customFormat="1" ht="45">
      <c r="A288" s="31">
        <v>285</v>
      </c>
      <c r="B288" s="22" t="s">
        <v>39</v>
      </c>
      <c r="C288" s="22" t="s">
        <v>509</v>
      </c>
      <c r="D288" s="22" t="s">
        <v>522</v>
      </c>
      <c r="E288" s="23">
        <v>1</v>
      </c>
      <c r="F288" s="22" t="s">
        <v>523</v>
      </c>
      <c r="G288" s="22" t="s">
        <v>524</v>
      </c>
      <c r="H288" s="22" t="s">
        <v>30</v>
      </c>
      <c r="I288" s="22" t="s">
        <v>525</v>
      </c>
      <c r="J288" s="22" t="s">
        <v>525</v>
      </c>
      <c r="K288" s="519" t="s">
        <v>1385</v>
      </c>
      <c r="L288" s="521" t="s">
        <v>1392</v>
      </c>
      <c r="M288" s="521" t="s">
        <v>1393</v>
      </c>
      <c r="N288" s="521" t="s">
        <v>815</v>
      </c>
      <c r="O288" s="22" t="s">
        <v>514</v>
      </c>
      <c r="P288" s="69">
        <v>2016</v>
      </c>
      <c r="Q288" s="414">
        <f t="shared" ca="1" si="19"/>
        <v>0</v>
      </c>
      <c r="R288" s="335" t="str">
        <f t="shared" ca="1" si="16"/>
        <v>N/A</v>
      </c>
      <c r="S288" s="335" t="str">
        <f t="shared" ca="1" si="17"/>
        <v>N/A</v>
      </c>
      <c r="T288" s="429" t="s">
        <v>526</v>
      </c>
      <c r="U288" s="22" t="s">
        <v>527</v>
      </c>
      <c r="V288" s="24"/>
      <c r="W288" s="21"/>
      <c r="X288" s="427"/>
      <c r="Y288" s="490"/>
    </row>
    <row r="289" spans="1:25" s="13" customFormat="1" ht="45">
      <c r="A289" s="31">
        <v>286</v>
      </c>
      <c r="B289" s="22" t="s">
        <v>39</v>
      </c>
      <c r="C289" s="22" t="s">
        <v>509</v>
      </c>
      <c r="D289" s="22" t="s">
        <v>522</v>
      </c>
      <c r="E289" s="23">
        <v>2</v>
      </c>
      <c r="F289" s="22" t="s">
        <v>523</v>
      </c>
      <c r="G289" s="22" t="s">
        <v>524</v>
      </c>
      <c r="H289" s="22" t="s">
        <v>30</v>
      </c>
      <c r="I289" s="22" t="s">
        <v>528</v>
      </c>
      <c r="J289" s="22" t="s">
        <v>528</v>
      </c>
      <c r="K289" s="519" t="s">
        <v>1385</v>
      </c>
      <c r="L289" s="521" t="s">
        <v>1394</v>
      </c>
      <c r="M289" s="521" t="s">
        <v>1395</v>
      </c>
      <c r="N289" s="521" t="s">
        <v>815</v>
      </c>
      <c r="O289" s="22" t="s">
        <v>514</v>
      </c>
      <c r="P289" s="69">
        <v>2016</v>
      </c>
      <c r="Q289" s="414">
        <f t="shared" ca="1" si="19"/>
        <v>0</v>
      </c>
      <c r="R289" s="335" t="str">
        <f t="shared" ca="1" si="16"/>
        <v>N/A</v>
      </c>
      <c r="S289" s="335" t="str">
        <f t="shared" ca="1" si="17"/>
        <v>N/A</v>
      </c>
      <c r="T289" s="429" t="s">
        <v>529</v>
      </c>
      <c r="U289" s="22" t="s">
        <v>527</v>
      </c>
      <c r="V289" s="24"/>
      <c r="W289" s="21"/>
      <c r="X289" s="427"/>
      <c r="Y289" s="490"/>
    </row>
    <row r="290" spans="1:25" s="13" customFormat="1" ht="45">
      <c r="A290" s="31">
        <v>287</v>
      </c>
      <c r="B290" s="22" t="s">
        <v>39</v>
      </c>
      <c r="C290" s="22" t="s">
        <v>509</v>
      </c>
      <c r="D290" s="22" t="s">
        <v>530</v>
      </c>
      <c r="E290" s="23">
        <v>1</v>
      </c>
      <c r="F290" s="22" t="s">
        <v>523</v>
      </c>
      <c r="G290" s="22" t="s">
        <v>531</v>
      </c>
      <c r="H290" s="22" t="s">
        <v>30</v>
      </c>
      <c r="I290" s="22" t="s">
        <v>532</v>
      </c>
      <c r="J290" s="22" t="s">
        <v>532</v>
      </c>
      <c r="K290" s="519" t="s">
        <v>1385</v>
      </c>
      <c r="L290" s="521" t="s">
        <v>1396</v>
      </c>
      <c r="M290" s="521" t="s">
        <v>1397</v>
      </c>
      <c r="N290" s="521" t="s">
        <v>815</v>
      </c>
      <c r="O290" s="22" t="s">
        <v>514</v>
      </c>
      <c r="P290" s="69">
        <v>2016</v>
      </c>
      <c r="Q290" s="414">
        <f t="shared" ca="1" si="19"/>
        <v>0</v>
      </c>
      <c r="R290" s="335" t="str">
        <f t="shared" ca="1" si="16"/>
        <v>N/A</v>
      </c>
      <c r="S290" s="335" t="str">
        <f t="shared" ca="1" si="17"/>
        <v>N/A</v>
      </c>
      <c r="T290" s="429" t="s">
        <v>533</v>
      </c>
      <c r="U290" s="22" t="s">
        <v>534</v>
      </c>
      <c r="V290" s="24"/>
      <c r="W290" s="21"/>
      <c r="X290" s="427"/>
      <c r="Y290" s="490"/>
    </row>
    <row r="291" spans="1:25" ht="30">
      <c r="A291" s="31">
        <v>288</v>
      </c>
      <c r="B291" s="22" t="s">
        <v>39</v>
      </c>
      <c r="C291" s="22" t="s">
        <v>509</v>
      </c>
      <c r="D291" s="22" t="s">
        <v>530</v>
      </c>
      <c r="E291" s="23">
        <v>2</v>
      </c>
      <c r="F291" s="22" t="s">
        <v>523</v>
      </c>
      <c r="G291" s="22" t="s">
        <v>531</v>
      </c>
      <c r="H291" s="22" t="s">
        <v>30</v>
      </c>
      <c r="I291" s="22" t="s">
        <v>535</v>
      </c>
      <c r="J291" s="22" t="s">
        <v>535</v>
      </c>
      <c r="K291" s="519" t="s">
        <v>1385</v>
      </c>
      <c r="L291" s="521" t="s">
        <v>1398</v>
      </c>
      <c r="M291" s="521" t="s">
        <v>1399</v>
      </c>
      <c r="N291" s="521" t="s">
        <v>815</v>
      </c>
      <c r="O291" s="22" t="s">
        <v>514</v>
      </c>
      <c r="P291" s="69">
        <v>2016</v>
      </c>
      <c r="Q291" s="414">
        <f t="shared" ca="1" si="19"/>
        <v>0</v>
      </c>
      <c r="R291" s="335" t="str">
        <f t="shared" ca="1" si="16"/>
        <v>N/A</v>
      </c>
      <c r="S291" s="335" t="str">
        <f t="shared" ca="1" si="17"/>
        <v>N/A</v>
      </c>
      <c r="T291" s="429" t="s">
        <v>529</v>
      </c>
      <c r="U291" s="22" t="s">
        <v>536</v>
      </c>
      <c r="V291" s="24"/>
      <c r="W291" s="21"/>
      <c r="Y291" s="490"/>
    </row>
    <row r="292" spans="1:25" ht="60">
      <c r="A292" s="31">
        <v>289</v>
      </c>
      <c r="B292" s="22" t="s">
        <v>39</v>
      </c>
      <c r="C292" s="22" t="s">
        <v>509</v>
      </c>
      <c r="D292" s="22" t="s">
        <v>537</v>
      </c>
      <c r="E292" s="23">
        <v>1</v>
      </c>
      <c r="F292" s="22" t="s">
        <v>523</v>
      </c>
      <c r="G292" s="22" t="s">
        <v>538</v>
      </c>
      <c r="H292" s="22" t="s">
        <v>30</v>
      </c>
      <c r="I292" s="22" t="s">
        <v>539</v>
      </c>
      <c r="J292" s="22" t="s">
        <v>539</v>
      </c>
      <c r="K292" s="519" t="s">
        <v>1385</v>
      </c>
      <c r="L292" s="521" t="s">
        <v>1400</v>
      </c>
      <c r="M292" s="521" t="s">
        <v>1401</v>
      </c>
      <c r="N292" s="521" t="s">
        <v>815</v>
      </c>
      <c r="O292" s="22" t="s">
        <v>514</v>
      </c>
      <c r="P292" s="69">
        <v>2016</v>
      </c>
      <c r="Q292" s="414">
        <f t="shared" ca="1" si="19"/>
        <v>0</v>
      </c>
      <c r="R292" s="335" t="str">
        <f t="shared" ca="1" si="16"/>
        <v>N/A</v>
      </c>
      <c r="S292" s="335" t="str">
        <f t="shared" ca="1" si="17"/>
        <v>N/A</v>
      </c>
      <c r="T292" s="429" t="s">
        <v>540</v>
      </c>
      <c r="U292" s="22" t="s">
        <v>541</v>
      </c>
      <c r="V292" s="24"/>
      <c r="W292" s="21"/>
      <c r="Y292" s="490"/>
    </row>
    <row r="293" spans="1:25" ht="60">
      <c r="A293" s="31">
        <v>290</v>
      </c>
      <c r="B293" s="22" t="s">
        <v>39</v>
      </c>
      <c r="C293" s="22" t="s">
        <v>509</v>
      </c>
      <c r="D293" s="22" t="s">
        <v>537</v>
      </c>
      <c r="E293" s="23">
        <v>2</v>
      </c>
      <c r="F293" s="22" t="s">
        <v>523</v>
      </c>
      <c r="G293" s="22" t="s">
        <v>538</v>
      </c>
      <c r="H293" s="22" t="s">
        <v>30</v>
      </c>
      <c r="I293" s="22" t="s">
        <v>542</v>
      </c>
      <c r="J293" s="22" t="s">
        <v>542</v>
      </c>
      <c r="K293" s="519" t="s">
        <v>1385</v>
      </c>
      <c r="L293" s="521" t="s">
        <v>1402</v>
      </c>
      <c r="M293" s="521" t="s">
        <v>1403</v>
      </c>
      <c r="N293" s="521" t="s">
        <v>815</v>
      </c>
      <c r="O293" s="22" t="s">
        <v>514</v>
      </c>
      <c r="P293" s="69">
        <v>2016</v>
      </c>
      <c r="Q293" s="414">
        <f t="shared" ca="1" si="19"/>
        <v>0</v>
      </c>
      <c r="R293" s="335" t="str">
        <f t="shared" ca="1" si="16"/>
        <v>N/A</v>
      </c>
      <c r="S293" s="335" t="str">
        <f t="shared" ca="1" si="17"/>
        <v>N/A</v>
      </c>
      <c r="T293" s="429" t="s">
        <v>543</v>
      </c>
      <c r="U293" s="22" t="s">
        <v>544</v>
      </c>
      <c r="V293" s="24"/>
      <c r="W293" s="21"/>
      <c r="Y293" s="490"/>
    </row>
    <row r="294" spans="1:25" ht="90">
      <c r="A294" s="31">
        <v>291</v>
      </c>
      <c r="B294" s="22" t="s">
        <v>39</v>
      </c>
      <c r="C294" s="22" t="s">
        <v>509</v>
      </c>
      <c r="D294" s="22" t="s">
        <v>545</v>
      </c>
      <c r="E294" s="23">
        <v>1</v>
      </c>
      <c r="F294" s="22" t="s">
        <v>523</v>
      </c>
      <c r="G294" s="22" t="s">
        <v>546</v>
      </c>
      <c r="H294" s="22" t="s">
        <v>30</v>
      </c>
      <c r="I294" s="22" t="s">
        <v>547</v>
      </c>
      <c r="J294" s="22" t="s">
        <v>547</v>
      </c>
      <c r="K294" s="519" t="s">
        <v>1385</v>
      </c>
      <c r="L294" s="521" t="s">
        <v>1404</v>
      </c>
      <c r="M294" s="521" t="s">
        <v>1405</v>
      </c>
      <c r="N294" s="521" t="s">
        <v>815</v>
      </c>
      <c r="O294" s="22" t="s">
        <v>514</v>
      </c>
      <c r="P294" s="69">
        <v>2016</v>
      </c>
      <c r="Q294" s="414">
        <f t="shared" ca="1" si="19"/>
        <v>0</v>
      </c>
      <c r="R294" s="335" t="str">
        <f t="shared" ca="1" si="16"/>
        <v>N/A</v>
      </c>
      <c r="S294" s="335" t="str">
        <f t="shared" ca="1" si="17"/>
        <v>N/A</v>
      </c>
      <c r="T294" s="429" t="s">
        <v>548</v>
      </c>
      <c r="U294" s="22" t="s">
        <v>549</v>
      </c>
      <c r="V294" s="24"/>
      <c r="W294" s="21"/>
      <c r="Y294" s="490"/>
    </row>
    <row r="295" spans="1:25" ht="120">
      <c r="A295" s="31">
        <v>292</v>
      </c>
      <c r="B295" s="22" t="s">
        <v>39</v>
      </c>
      <c r="C295" s="22" t="s">
        <v>550</v>
      </c>
      <c r="D295" s="22" t="s">
        <v>551</v>
      </c>
      <c r="E295" s="23">
        <v>1</v>
      </c>
      <c r="F295" s="22" t="s">
        <v>523</v>
      </c>
      <c r="G295" s="22" t="s">
        <v>552</v>
      </c>
      <c r="H295" s="22" t="s">
        <v>30</v>
      </c>
      <c r="I295" s="22" t="s">
        <v>553</v>
      </c>
      <c r="J295" s="22" t="s">
        <v>553</v>
      </c>
      <c r="K295" s="519" t="s">
        <v>1385</v>
      </c>
      <c r="L295" s="521" t="s">
        <v>1406</v>
      </c>
      <c r="M295" s="521" t="s">
        <v>1407</v>
      </c>
      <c r="N295" s="521" t="s">
        <v>815</v>
      </c>
      <c r="O295" s="22" t="s">
        <v>514</v>
      </c>
      <c r="P295" s="69">
        <v>2016</v>
      </c>
      <c r="Q295" s="414">
        <f t="shared" ca="1" si="19"/>
        <v>0</v>
      </c>
      <c r="R295" s="335" t="str">
        <f t="shared" ca="1" si="16"/>
        <v>N/A</v>
      </c>
      <c r="S295" s="335" t="str">
        <f t="shared" ca="1" si="17"/>
        <v>N/A</v>
      </c>
      <c r="T295" s="429" t="s">
        <v>554</v>
      </c>
      <c r="U295" s="22" t="s">
        <v>555</v>
      </c>
      <c r="V295" s="24"/>
      <c r="W295" s="21"/>
      <c r="Y295" s="490"/>
    </row>
    <row r="296" spans="1:25" ht="120">
      <c r="A296" s="31">
        <v>293</v>
      </c>
      <c r="B296" s="22" t="s">
        <v>39</v>
      </c>
      <c r="C296" s="22" t="s">
        <v>550</v>
      </c>
      <c r="D296" s="22" t="s">
        <v>551</v>
      </c>
      <c r="E296" s="23">
        <v>2</v>
      </c>
      <c r="F296" s="22" t="s">
        <v>523</v>
      </c>
      <c r="G296" s="22" t="s">
        <v>552</v>
      </c>
      <c r="H296" s="22" t="s">
        <v>30</v>
      </c>
      <c r="I296" s="22" t="s">
        <v>556</v>
      </c>
      <c r="J296" s="22" t="s">
        <v>556</v>
      </c>
      <c r="K296" s="519" t="s">
        <v>1385</v>
      </c>
      <c r="L296" s="521" t="s">
        <v>1408</v>
      </c>
      <c r="M296" s="521" t="s">
        <v>1409</v>
      </c>
      <c r="N296" s="521" t="s">
        <v>815</v>
      </c>
      <c r="O296" s="22" t="s">
        <v>514</v>
      </c>
      <c r="P296" s="69">
        <v>2016</v>
      </c>
      <c r="Q296" s="414">
        <f t="shared" ca="1" si="19"/>
        <v>0</v>
      </c>
      <c r="R296" s="335" t="str">
        <f t="shared" ca="1" si="16"/>
        <v>N/A</v>
      </c>
      <c r="S296" s="335" t="str">
        <f t="shared" ca="1" si="17"/>
        <v>N/A</v>
      </c>
      <c r="T296" s="429" t="s">
        <v>557</v>
      </c>
      <c r="U296" s="22" t="s">
        <v>558</v>
      </c>
      <c r="V296" s="24"/>
      <c r="W296" s="21"/>
      <c r="Y296" s="490"/>
    </row>
    <row r="297" spans="1:25" ht="90">
      <c r="A297" s="31">
        <v>294</v>
      </c>
      <c r="B297" s="22" t="s">
        <v>39</v>
      </c>
      <c r="C297" s="22" t="s">
        <v>550</v>
      </c>
      <c r="D297" s="22" t="s">
        <v>551</v>
      </c>
      <c r="E297" s="23">
        <v>3</v>
      </c>
      <c r="F297" s="22" t="s">
        <v>559</v>
      </c>
      <c r="G297" s="22" t="s">
        <v>552</v>
      </c>
      <c r="H297" s="22" t="s">
        <v>30</v>
      </c>
      <c r="I297" s="22" t="s">
        <v>560</v>
      </c>
      <c r="J297" s="22" t="s">
        <v>560</v>
      </c>
      <c r="K297" s="519" t="s">
        <v>1385</v>
      </c>
      <c r="L297" s="521" t="s">
        <v>1410</v>
      </c>
      <c r="M297" s="521" t="s">
        <v>1411</v>
      </c>
      <c r="N297" s="521" t="s">
        <v>815</v>
      </c>
      <c r="O297" s="22" t="s">
        <v>514</v>
      </c>
      <c r="P297" s="69">
        <v>2016</v>
      </c>
      <c r="Q297" s="414">
        <f t="shared" ca="1" si="19"/>
        <v>0</v>
      </c>
      <c r="R297" s="335" t="str">
        <f t="shared" ca="1" si="16"/>
        <v>N/A</v>
      </c>
      <c r="S297" s="335" t="str">
        <f t="shared" ca="1" si="17"/>
        <v>N/A</v>
      </c>
      <c r="T297" s="429" t="s">
        <v>561</v>
      </c>
      <c r="U297" s="22" t="s">
        <v>562</v>
      </c>
      <c r="V297" s="24"/>
      <c r="W297" s="21"/>
      <c r="Y297" s="490"/>
    </row>
    <row r="298" spans="1:25" ht="60">
      <c r="A298" s="31">
        <v>295</v>
      </c>
      <c r="B298" s="22" t="s">
        <v>563</v>
      </c>
      <c r="C298" s="22" t="s">
        <v>550</v>
      </c>
      <c r="D298" s="22" t="s">
        <v>564</v>
      </c>
      <c r="E298" s="23">
        <v>1</v>
      </c>
      <c r="F298" s="22" t="s">
        <v>142</v>
      </c>
      <c r="G298" s="22" t="s">
        <v>552</v>
      </c>
      <c r="H298" s="22" t="s">
        <v>30</v>
      </c>
      <c r="I298" s="22" t="s">
        <v>565</v>
      </c>
      <c r="J298" s="22" t="s">
        <v>565</v>
      </c>
      <c r="K298" s="519" t="s">
        <v>1385</v>
      </c>
      <c r="L298" s="521" t="s">
        <v>1412</v>
      </c>
      <c r="M298" s="521" t="s">
        <v>1413</v>
      </c>
      <c r="N298" s="521" t="s">
        <v>815</v>
      </c>
      <c r="O298" s="22" t="s">
        <v>514</v>
      </c>
      <c r="P298" s="69">
        <v>2016</v>
      </c>
      <c r="Q298" s="529" t="s">
        <v>1414</v>
      </c>
      <c r="R298" s="335" t="str">
        <f t="shared" ca="1" si="16"/>
        <v>N/A</v>
      </c>
      <c r="S298" s="335" t="str">
        <f t="shared" ca="1" si="17"/>
        <v>N/A</v>
      </c>
      <c r="T298" s="429" t="s">
        <v>566</v>
      </c>
      <c r="U298" s="22" t="s">
        <v>566</v>
      </c>
      <c r="V298" s="24"/>
      <c r="W298" s="21"/>
      <c r="Y298" s="490"/>
    </row>
    <row r="299" spans="1:25" ht="60">
      <c r="A299" s="31">
        <v>296</v>
      </c>
      <c r="B299" s="22" t="s">
        <v>563</v>
      </c>
      <c r="C299" s="22" t="s">
        <v>550</v>
      </c>
      <c r="D299" s="22" t="s">
        <v>567</v>
      </c>
      <c r="E299" s="23">
        <v>1</v>
      </c>
      <c r="F299" s="22" t="s">
        <v>523</v>
      </c>
      <c r="G299" s="22" t="s">
        <v>552</v>
      </c>
      <c r="H299" s="22" t="s">
        <v>164</v>
      </c>
      <c r="I299" s="22" t="s">
        <v>568</v>
      </c>
      <c r="J299" s="22" t="s">
        <v>568</v>
      </c>
      <c r="K299" s="519" t="s">
        <v>1385</v>
      </c>
      <c r="L299" s="521" t="s">
        <v>1415</v>
      </c>
      <c r="M299" s="521" t="s">
        <v>1416</v>
      </c>
      <c r="N299" s="521" t="s">
        <v>815</v>
      </c>
      <c r="O299" s="22" t="s">
        <v>514</v>
      </c>
      <c r="P299" s="69">
        <v>2016</v>
      </c>
      <c r="Q299" s="529" t="s">
        <v>1414</v>
      </c>
      <c r="R299" s="335" t="str">
        <f t="shared" ca="1" si="16"/>
        <v>N/A</v>
      </c>
      <c r="S299" s="335" t="str">
        <f t="shared" ca="1" si="17"/>
        <v>N/A</v>
      </c>
      <c r="T299" s="429" t="s">
        <v>569</v>
      </c>
      <c r="U299" s="22" t="s">
        <v>569</v>
      </c>
      <c r="V299" s="24"/>
      <c r="W299" s="21"/>
      <c r="Y299" s="490"/>
    </row>
    <row r="300" spans="1:25" ht="60">
      <c r="A300" s="31">
        <v>297</v>
      </c>
      <c r="B300" s="22" t="s">
        <v>563</v>
      </c>
      <c r="C300" s="22" t="s">
        <v>550</v>
      </c>
      <c r="D300" s="22" t="s">
        <v>567</v>
      </c>
      <c r="E300" s="23">
        <v>1</v>
      </c>
      <c r="F300" s="22" t="s">
        <v>142</v>
      </c>
      <c r="G300" s="22" t="s">
        <v>552</v>
      </c>
      <c r="H300" s="22" t="s">
        <v>164</v>
      </c>
      <c r="I300" s="22" t="s">
        <v>568</v>
      </c>
      <c r="J300" s="22" t="s">
        <v>568</v>
      </c>
      <c r="K300" s="519" t="s">
        <v>1385</v>
      </c>
      <c r="L300" s="521" t="s">
        <v>1417</v>
      </c>
      <c r="M300" s="521" t="s">
        <v>1418</v>
      </c>
      <c r="N300" s="521" t="s">
        <v>815</v>
      </c>
      <c r="O300" s="22" t="s">
        <v>514</v>
      </c>
      <c r="P300" s="69">
        <v>2016</v>
      </c>
      <c r="Q300" s="529" t="s">
        <v>1414</v>
      </c>
      <c r="R300" s="335" t="str">
        <f t="shared" ca="1" si="16"/>
        <v>N/A</v>
      </c>
      <c r="S300" s="335" t="str">
        <f t="shared" ca="1" si="17"/>
        <v>N/A</v>
      </c>
      <c r="T300" s="429" t="s">
        <v>569</v>
      </c>
      <c r="U300" s="22" t="s">
        <v>569</v>
      </c>
      <c r="V300" s="24"/>
      <c r="W300" s="21"/>
      <c r="Y300" s="490"/>
    </row>
    <row r="301" spans="1:25" ht="45">
      <c r="A301" s="31">
        <v>298</v>
      </c>
      <c r="B301" s="22" t="s">
        <v>563</v>
      </c>
      <c r="C301" s="22" t="s">
        <v>550</v>
      </c>
      <c r="D301" s="22" t="s">
        <v>567</v>
      </c>
      <c r="E301" s="23">
        <v>2</v>
      </c>
      <c r="F301" s="22" t="s">
        <v>523</v>
      </c>
      <c r="G301" s="22" t="s">
        <v>552</v>
      </c>
      <c r="H301" s="22" t="s">
        <v>164</v>
      </c>
      <c r="I301" s="22" t="s">
        <v>570</v>
      </c>
      <c r="J301" s="22" t="s">
        <v>570</v>
      </c>
      <c r="K301" s="519" t="s">
        <v>1385</v>
      </c>
      <c r="L301" s="521" t="s">
        <v>1419</v>
      </c>
      <c r="M301" s="521" t="s">
        <v>1420</v>
      </c>
      <c r="N301" s="521" t="s">
        <v>815</v>
      </c>
      <c r="O301" s="22" t="s">
        <v>514</v>
      </c>
      <c r="P301" s="69">
        <v>2016</v>
      </c>
      <c r="Q301" s="529" t="s">
        <v>1414</v>
      </c>
      <c r="R301" s="335" t="str">
        <f t="shared" ca="1" si="16"/>
        <v>N/A</v>
      </c>
      <c r="S301" s="335" t="str">
        <f t="shared" ca="1" si="17"/>
        <v>N/A</v>
      </c>
      <c r="T301" s="429" t="s">
        <v>569</v>
      </c>
      <c r="U301" s="22" t="s">
        <v>569</v>
      </c>
      <c r="V301" s="24"/>
      <c r="W301" s="21"/>
      <c r="Y301" s="490"/>
    </row>
    <row r="302" spans="1:25" ht="45">
      <c r="A302" s="31">
        <v>299</v>
      </c>
      <c r="B302" s="22" t="s">
        <v>563</v>
      </c>
      <c r="C302" s="22" t="s">
        <v>550</v>
      </c>
      <c r="D302" s="22" t="s">
        <v>567</v>
      </c>
      <c r="E302" s="23">
        <v>2</v>
      </c>
      <c r="F302" s="22" t="s">
        <v>142</v>
      </c>
      <c r="G302" s="22" t="s">
        <v>552</v>
      </c>
      <c r="H302" s="22" t="s">
        <v>164</v>
      </c>
      <c r="I302" s="22" t="s">
        <v>570</v>
      </c>
      <c r="J302" s="22" t="s">
        <v>570</v>
      </c>
      <c r="K302" s="519" t="s">
        <v>1385</v>
      </c>
      <c r="L302" s="521" t="s">
        <v>1421</v>
      </c>
      <c r="M302" s="521" t="s">
        <v>1422</v>
      </c>
      <c r="N302" s="521" t="s">
        <v>815</v>
      </c>
      <c r="O302" s="22" t="s">
        <v>514</v>
      </c>
      <c r="P302" s="69">
        <v>2016</v>
      </c>
      <c r="Q302" s="529" t="s">
        <v>1414</v>
      </c>
      <c r="R302" s="335" t="str">
        <f t="shared" ca="1" si="16"/>
        <v>N/A</v>
      </c>
      <c r="S302" s="335" t="str">
        <f t="shared" ca="1" si="17"/>
        <v>N/A</v>
      </c>
      <c r="T302" s="429" t="s">
        <v>569</v>
      </c>
      <c r="U302" s="22" t="s">
        <v>569</v>
      </c>
      <c r="V302" s="24"/>
      <c r="W302" s="21"/>
      <c r="Y302" s="490"/>
    </row>
    <row r="303" spans="1:25" ht="60">
      <c r="A303" s="31">
        <v>300</v>
      </c>
      <c r="B303" s="22" t="s">
        <v>563</v>
      </c>
      <c r="C303" s="22" t="s">
        <v>550</v>
      </c>
      <c r="D303" s="22" t="s">
        <v>567</v>
      </c>
      <c r="E303" s="23">
        <v>3</v>
      </c>
      <c r="F303" s="22" t="s">
        <v>523</v>
      </c>
      <c r="G303" s="22" t="s">
        <v>552</v>
      </c>
      <c r="H303" s="22" t="s">
        <v>164</v>
      </c>
      <c r="I303" s="22" t="s">
        <v>571</v>
      </c>
      <c r="J303" s="22" t="s">
        <v>571</v>
      </c>
      <c r="K303" s="519" t="s">
        <v>1385</v>
      </c>
      <c r="L303" s="521" t="s">
        <v>1423</v>
      </c>
      <c r="M303" s="521" t="s">
        <v>1424</v>
      </c>
      <c r="N303" s="521" t="s">
        <v>815</v>
      </c>
      <c r="O303" s="22" t="s">
        <v>514</v>
      </c>
      <c r="P303" s="69">
        <v>2016</v>
      </c>
      <c r="Q303" s="530" t="s">
        <v>1414</v>
      </c>
      <c r="R303" s="335" t="str">
        <f t="shared" ca="1" si="16"/>
        <v>N/A</v>
      </c>
      <c r="S303" s="335" t="str">
        <f t="shared" ca="1" si="17"/>
        <v>N/A</v>
      </c>
      <c r="T303" s="429" t="s">
        <v>569</v>
      </c>
      <c r="U303" s="22" t="s">
        <v>569</v>
      </c>
      <c r="V303" s="24"/>
      <c r="W303" s="21"/>
      <c r="Y303" s="490"/>
    </row>
    <row r="304" spans="1:25" ht="60">
      <c r="A304" s="31">
        <v>301</v>
      </c>
      <c r="B304" s="22" t="s">
        <v>39</v>
      </c>
      <c r="C304" s="22" t="s">
        <v>572</v>
      </c>
      <c r="D304" s="22" t="s">
        <v>573</v>
      </c>
      <c r="E304" s="23">
        <v>1</v>
      </c>
      <c r="F304" s="22" t="s">
        <v>523</v>
      </c>
      <c r="G304" s="22" t="s">
        <v>574</v>
      </c>
      <c r="H304" s="22" t="s">
        <v>30</v>
      </c>
      <c r="I304" s="22" t="s">
        <v>575</v>
      </c>
      <c r="J304" s="22" t="s">
        <v>575</v>
      </c>
      <c r="K304" s="519" t="s">
        <v>1425</v>
      </c>
      <c r="L304" s="521" t="s">
        <v>1426</v>
      </c>
      <c r="M304" s="521" t="s">
        <v>1427</v>
      </c>
      <c r="N304" s="521" t="s">
        <v>815</v>
      </c>
      <c r="O304" s="22" t="s">
        <v>576</v>
      </c>
      <c r="P304" s="69">
        <v>2016</v>
      </c>
      <c r="Q304" s="530" t="s">
        <v>382</v>
      </c>
      <c r="R304" s="335" t="str">
        <f t="shared" ca="1" si="16"/>
        <v>N/A</v>
      </c>
      <c r="S304" s="335" t="str">
        <f t="shared" ca="1" si="17"/>
        <v>N/A</v>
      </c>
      <c r="T304" s="429" t="s">
        <v>577</v>
      </c>
      <c r="U304" s="22" t="s">
        <v>578</v>
      </c>
      <c r="V304" s="24"/>
      <c r="W304" s="21"/>
      <c r="Y304" s="490"/>
    </row>
    <row r="305" spans="1:25" ht="180">
      <c r="A305" s="100">
        <v>302</v>
      </c>
      <c r="B305" s="101" t="s">
        <v>39</v>
      </c>
      <c r="C305" s="101" t="s">
        <v>572</v>
      </c>
      <c r="D305" s="101" t="s">
        <v>579</v>
      </c>
      <c r="E305" s="411">
        <v>1</v>
      </c>
      <c r="F305" s="101" t="s">
        <v>523</v>
      </c>
      <c r="G305" s="101" t="s">
        <v>580</v>
      </c>
      <c r="H305" s="101" t="s">
        <v>30</v>
      </c>
      <c r="I305" s="101" t="s">
        <v>581</v>
      </c>
      <c r="J305" s="101" t="s">
        <v>581</v>
      </c>
      <c r="K305" s="519" t="s">
        <v>1425</v>
      </c>
      <c r="L305" s="521" t="s">
        <v>1428</v>
      </c>
      <c r="M305" s="521" t="s">
        <v>1429</v>
      </c>
      <c r="N305" s="521" t="s">
        <v>815</v>
      </c>
      <c r="O305" s="101" t="s">
        <v>576</v>
      </c>
      <c r="P305" s="69">
        <v>2016</v>
      </c>
      <c r="Q305" s="530" t="s">
        <v>382</v>
      </c>
      <c r="R305" s="335" t="str">
        <f t="shared" ca="1" si="16"/>
        <v>N/A</v>
      </c>
      <c r="S305" s="335" t="str">
        <f t="shared" ca="1" si="17"/>
        <v>N/A</v>
      </c>
      <c r="T305" s="429" t="s">
        <v>582</v>
      </c>
      <c r="U305" s="101" t="s">
        <v>583</v>
      </c>
      <c r="V305" s="24"/>
      <c r="W305" s="21"/>
      <c r="Y305" s="490"/>
    </row>
    <row r="306" spans="1:25" ht="180">
      <c r="A306" s="31">
        <v>303</v>
      </c>
      <c r="B306" s="22" t="s">
        <v>39</v>
      </c>
      <c r="C306" s="22" t="s">
        <v>572</v>
      </c>
      <c r="D306" s="22" t="s">
        <v>579</v>
      </c>
      <c r="E306" s="23">
        <v>1</v>
      </c>
      <c r="F306" s="22" t="s">
        <v>584</v>
      </c>
      <c r="G306" s="22" t="s">
        <v>580</v>
      </c>
      <c r="H306" s="22" t="s">
        <v>30</v>
      </c>
      <c r="I306" s="22" t="s">
        <v>585</v>
      </c>
      <c r="J306" s="22" t="s">
        <v>585</v>
      </c>
      <c r="K306" s="519" t="s">
        <v>1425</v>
      </c>
      <c r="L306" s="521" t="s">
        <v>1430</v>
      </c>
      <c r="M306" s="521" t="s">
        <v>1431</v>
      </c>
      <c r="N306" s="521" t="s">
        <v>815</v>
      </c>
      <c r="O306" s="22" t="s">
        <v>576</v>
      </c>
      <c r="P306" s="69">
        <v>2016</v>
      </c>
      <c r="Q306" s="534">
        <f>R306/S306</f>
        <v>9.7934085711071955E-2</v>
      </c>
      <c r="R306" s="335">
        <v>2612</v>
      </c>
      <c r="S306" s="335">
        <v>26671</v>
      </c>
      <c r="T306" s="429" t="s">
        <v>586</v>
      </c>
      <c r="U306" s="22" t="s">
        <v>587</v>
      </c>
      <c r="V306" s="24"/>
      <c r="W306" s="21"/>
      <c r="Y306" s="490"/>
    </row>
    <row r="307" spans="1:25" ht="195">
      <c r="A307" s="31">
        <v>304</v>
      </c>
      <c r="B307" s="22" t="s">
        <v>39</v>
      </c>
      <c r="C307" s="22" t="s">
        <v>572</v>
      </c>
      <c r="D307" s="22" t="s">
        <v>588</v>
      </c>
      <c r="E307" s="23">
        <v>1</v>
      </c>
      <c r="F307" s="22" t="s">
        <v>584</v>
      </c>
      <c r="G307" s="22" t="s">
        <v>589</v>
      </c>
      <c r="H307" s="22" t="s">
        <v>30</v>
      </c>
      <c r="I307" s="22" t="s">
        <v>590</v>
      </c>
      <c r="J307" s="22" t="s">
        <v>590</v>
      </c>
      <c r="K307" s="519" t="s">
        <v>1425</v>
      </c>
      <c r="L307" s="521" t="s">
        <v>1432</v>
      </c>
      <c r="M307" s="521" t="s">
        <v>1433</v>
      </c>
      <c r="N307" s="521" t="s">
        <v>815</v>
      </c>
      <c r="O307" s="22" t="s">
        <v>576</v>
      </c>
      <c r="P307" s="69" t="s">
        <v>59</v>
      </c>
      <c r="Q307" s="534">
        <f>R307/S307</f>
        <v>3.6986673918955673E-2</v>
      </c>
      <c r="R307" s="335">
        <v>136</v>
      </c>
      <c r="S307" s="335">
        <v>3677</v>
      </c>
      <c r="T307" s="429" t="s">
        <v>591</v>
      </c>
      <c r="U307" s="22" t="s">
        <v>592</v>
      </c>
      <c r="V307" s="24"/>
      <c r="W307" s="21"/>
      <c r="Y307" s="490"/>
    </row>
    <row r="308" spans="1:25" ht="255">
      <c r="A308" s="31">
        <v>305</v>
      </c>
      <c r="B308" s="22" t="s">
        <v>39</v>
      </c>
      <c r="C308" s="22" t="s">
        <v>572</v>
      </c>
      <c r="D308" s="22" t="s">
        <v>588</v>
      </c>
      <c r="E308" s="23">
        <v>1</v>
      </c>
      <c r="F308" s="22" t="s">
        <v>584</v>
      </c>
      <c r="G308" s="22" t="s">
        <v>589</v>
      </c>
      <c r="H308" s="22" t="s">
        <v>30</v>
      </c>
      <c r="I308" s="22" t="s">
        <v>593</v>
      </c>
      <c r="J308" s="22" t="s">
        <v>593</v>
      </c>
      <c r="K308" s="519" t="s">
        <v>1425</v>
      </c>
      <c r="L308" s="521" t="s">
        <v>1434</v>
      </c>
      <c r="M308" s="521" t="s">
        <v>1435</v>
      </c>
      <c r="N308" s="521" t="s">
        <v>815</v>
      </c>
      <c r="O308" s="22" t="s">
        <v>576</v>
      </c>
      <c r="P308" s="69" t="s">
        <v>59</v>
      </c>
      <c r="Q308" s="530" t="s">
        <v>59</v>
      </c>
      <c r="R308" s="335" t="str">
        <f t="shared" ref="R308:R316" ca="1" si="20">IF($N308 = "N","N/A",SUMIF(INDIRECT("'"&amp;K308&amp;"'!i:i"),L308,INDIRECT("'"&amp;K308&amp;"'!k:k")))</f>
        <v>N/A</v>
      </c>
      <c r="S308" s="335" t="str">
        <f t="shared" ref="S308:S332" ca="1" si="21">IF($N308 = "N","N/A",SUMIF(INDIRECT("'"&amp;K308&amp;"'!i:i"),M308,INDIRECT("'"&amp;K308&amp;"'!k:k")))</f>
        <v>N/A</v>
      </c>
      <c r="T308" s="429" t="s">
        <v>594</v>
      </c>
      <c r="U308" s="22" t="s">
        <v>595</v>
      </c>
      <c r="V308" s="24"/>
      <c r="W308" s="21"/>
      <c r="Y308" s="490"/>
    </row>
    <row r="309" spans="1:25" ht="60">
      <c r="A309" s="31">
        <v>306</v>
      </c>
      <c r="B309" s="22" t="s">
        <v>39</v>
      </c>
      <c r="C309" s="22" t="s">
        <v>572</v>
      </c>
      <c r="D309" s="22" t="s">
        <v>596</v>
      </c>
      <c r="E309" s="23">
        <v>1</v>
      </c>
      <c r="F309" s="22" t="s">
        <v>523</v>
      </c>
      <c r="G309" s="22" t="s">
        <v>589</v>
      </c>
      <c r="H309" s="22" t="s">
        <v>164</v>
      </c>
      <c r="I309" s="22" t="s">
        <v>597</v>
      </c>
      <c r="J309" s="22" t="s">
        <v>597</v>
      </c>
      <c r="K309" s="519" t="s">
        <v>1425</v>
      </c>
      <c r="L309" s="521" t="s">
        <v>1436</v>
      </c>
      <c r="M309" s="521" t="s">
        <v>1437</v>
      </c>
      <c r="N309" s="521" t="s">
        <v>815</v>
      </c>
      <c r="O309" s="22" t="s">
        <v>576</v>
      </c>
      <c r="P309" s="69" t="s">
        <v>167</v>
      </c>
      <c r="Q309" s="529" t="s">
        <v>167</v>
      </c>
      <c r="R309" s="335" t="str">
        <f t="shared" ca="1" si="20"/>
        <v>N/A</v>
      </c>
      <c r="S309" s="335" t="str">
        <f t="shared" ca="1" si="21"/>
        <v>N/A</v>
      </c>
      <c r="T309" s="429" t="s">
        <v>598</v>
      </c>
      <c r="U309" s="22" t="s">
        <v>59</v>
      </c>
      <c r="V309" s="24"/>
      <c r="W309" s="21"/>
      <c r="Y309" s="490"/>
    </row>
    <row r="310" spans="1:25" ht="60">
      <c r="A310" s="31">
        <v>307</v>
      </c>
      <c r="B310" s="22" t="s">
        <v>39</v>
      </c>
      <c r="C310" s="22" t="s">
        <v>599</v>
      </c>
      <c r="D310" s="22" t="s">
        <v>600</v>
      </c>
      <c r="E310" s="23">
        <v>1</v>
      </c>
      <c r="F310" s="22" t="s">
        <v>523</v>
      </c>
      <c r="G310" s="22" t="s">
        <v>601</v>
      </c>
      <c r="H310" s="22" t="s">
        <v>30</v>
      </c>
      <c r="I310" s="22" t="s">
        <v>602</v>
      </c>
      <c r="J310" s="22" t="s">
        <v>603</v>
      </c>
      <c r="K310" s="519" t="s">
        <v>1438</v>
      </c>
      <c r="L310" s="521" t="s">
        <v>1439</v>
      </c>
      <c r="M310" s="521" t="s">
        <v>1440</v>
      </c>
      <c r="N310" s="521" t="s">
        <v>815</v>
      </c>
      <c r="O310" s="22" t="s">
        <v>604</v>
      </c>
      <c r="P310" s="69" t="s">
        <v>59</v>
      </c>
      <c r="Q310" s="535" t="s">
        <v>1438</v>
      </c>
      <c r="R310" s="335" t="str">
        <f t="shared" ca="1" si="20"/>
        <v>N/A</v>
      </c>
      <c r="S310" s="335" t="str">
        <f t="shared" ca="1" si="21"/>
        <v>N/A</v>
      </c>
      <c r="T310" s="429" t="s">
        <v>608</v>
      </c>
      <c r="U310" s="22" t="s">
        <v>609</v>
      </c>
      <c r="V310" s="24"/>
      <c r="W310" s="21"/>
      <c r="Y310" s="490"/>
    </row>
    <row r="311" spans="1:25" ht="45">
      <c r="A311" s="31">
        <v>308</v>
      </c>
      <c r="B311" s="22" t="s">
        <v>39</v>
      </c>
      <c r="C311" s="22" t="s">
        <v>599</v>
      </c>
      <c r="D311" s="22" t="s">
        <v>610</v>
      </c>
      <c r="E311" s="23">
        <v>1</v>
      </c>
      <c r="F311" s="22" t="s">
        <v>611</v>
      </c>
      <c r="G311" s="22" t="s">
        <v>601</v>
      </c>
      <c r="H311" s="22" t="s">
        <v>30</v>
      </c>
      <c r="I311" s="22" t="s">
        <v>612</v>
      </c>
      <c r="J311" s="22" t="s">
        <v>613</v>
      </c>
      <c r="K311" s="519" t="s">
        <v>1438</v>
      </c>
      <c r="L311" s="521" t="s">
        <v>1441</v>
      </c>
      <c r="M311" s="521" t="s">
        <v>1442</v>
      </c>
      <c r="N311" s="521" t="s">
        <v>815</v>
      </c>
      <c r="O311" s="22" t="s">
        <v>604</v>
      </c>
      <c r="P311" s="69" t="s">
        <v>59</v>
      </c>
      <c r="Q311" s="529" t="s">
        <v>1438</v>
      </c>
      <c r="R311" s="335" t="str">
        <f t="shared" ca="1" si="20"/>
        <v>N/A</v>
      </c>
      <c r="S311" s="335" t="str">
        <f t="shared" ca="1" si="21"/>
        <v>N/A</v>
      </c>
      <c r="T311" s="429" t="s">
        <v>608</v>
      </c>
      <c r="U311" s="22" t="s">
        <v>614</v>
      </c>
      <c r="V311" s="24"/>
      <c r="W311" s="21"/>
      <c r="Y311" s="490"/>
    </row>
    <row r="312" spans="1:25" ht="45">
      <c r="A312" s="31">
        <v>309</v>
      </c>
      <c r="B312" s="22" t="s">
        <v>39</v>
      </c>
      <c r="C312" s="22" t="s">
        <v>599</v>
      </c>
      <c r="D312" s="22" t="s">
        <v>615</v>
      </c>
      <c r="E312" s="23">
        <v>1</v>
      </c>
      <c r="F312" s="22" t="s">
        <v>616</v>
      </c>
      <c r="G312" s="22" t="s">
        <v>617</v>
      </c>
      <c r="H312" s="22" t="s">
        <v>30</v>
      </c>
      <c r="I312" s="22" t="s">
        <v>618</v>
      </c>
      <c r="J312" s="22" t="s">
        <v>619</v>
      </c>
      <c r="K312" s="519" t="s">
        <v>1438</v>
      </c>
      <c r="L312" s="521" t="s">
        <v>1443</v>
      </c>
      <c r="M312" s="521" t="s">
        <v>1444</v>
      </c>
      <c r="N312" s="521" t="s">
        <v>815</v>
      </c>
      <c r="O312" s="22" t="s">
        <v>604</v>
      </c>
      <c r="P312" s="69" t="s">
        <v>620</v>
      </c>
      <c r="Q312" s="529" t="s">
        <v>1438</v>
      </c>
      <c r="R312" s="335" t="str">
        <f t="shared" ca="1" si="20"/>
        <v>N/A</v>
      </c>
      <c r="S312" s="335" t="str">
        <f t="shared" ca="1" si="21"/>
        <v>N/A</v>
      </c>
      <c r="T312" s="429" t="s">
        <v>608</v>
      </c>
      <c r="U312" s="22" t="s">
        <v>622</v>
      </c>
      <c r="V312" s="24"/>
      <c r="W312" s="21"/>
      <c r="Y312" s="490"/>
    </row>
    <row r="313" spans="1:25" ht="90">
      <c r="A313" s="31">
        <v>310</v>
      </c>
      <c r="B313" s="22" t="s">
        <v>39</v>
      </c>
      <c r="C313" s="22" t="s">
        <v>599</v>
      </c>
      <c r="D313" s="22" t="s">
        <v>623</v>
      </c>
      <c r="E313" s="23">
        <v>1</v>
      </c>
      <c r="F313" s="22" t="s">
        <v>624</v>
      </c>
      <c r="G313" s="22" t="s">
        <v>625</v>
      </c>
      <c r="H313" s="22" t="s">
        <v>30</v>
      </c>
      <c r="I313" s="22" t="s">
        <v>626</v>
      </c>
      <c r="J313" s="22" t="s">
        <v>627</v>
      </c>
      <c r="K313" s="519" t="s">
        <v>1438</v>
      </c>
      <c r="L313" s="521" t="s">
        <v>1445</v>
      </c>
      <c r="M313" s="521" t="s">
        <v>1446</v>
      </c>
      <c r="N313" s="521" t="s">
        <v>815</v>
      </c>
      <c r="O313" s="22" t="s">
        <v>604</v>
      </c>
      <c r="P313" s="69">
        <v>2017</v>
      </c>
      <c r="Q313" s="529" t="s">
        <v>1438</v>
      </c>
      <c r="R313" s="335" t="str">
        <f t="shared" ca="1" si="20"/>
        <v>N/A</v>
      </c>
      <c r="S313" s="335" t="str">
        <f t="shared" ca="1" si="21"/>
        <v>N/A</v>
      </c>
      <c r="T313" s="429" t="s">
        <v>1447</v>
      </c>
      <c r="U313" s="22" t="s">
        <v>630</v>
      </c>
      <c r="V313" s="24"/>
      <c r="W313" s="21"/>
      <c r="Y313" s="490"/>
    </row>
    <row r="314" spans="1:25" ht="90">
      <c r="A314" s="31">
        <v>311</v>
      </c>
      <c r="B314" s="22" t="s">
        <v>39</v>
      </c>
      <c r="C314" s="22" t="s">
        <v>599</v>
      </c>
      <c r="D314" s="22" t="s">
        <v>631</v>
      </c>
      <c r="E314" s="23">
        <v>1</v>
      </c>
      <c r="F314" s="22" t="s">
        <v>624</v>
      </c>
      <c r="G314" s="22" t="s">
        <v>625</v>
      </c>
      <c r="H314" s="22" t="s">
        <v>30</v>
      </c>
      <c r="I314" s="22" t="s">
        <v>632</v>
      </c>
      <c r="J314" s="22" t="s">
        <v>633</v>
      </c>
      <c r="K314" s="519" t="s">
        <v>1438</v>
      </c>
      <c r="L314" s="521" t="s">
        <v>1448</v>
      </c>
      <c r="M314" s="521" t="s">
        <v>1449</v>
      </c>
      <c r="N314" s="521" t="s">
        <v>815</v>
      </c>
      <c r="O314" s="22" t="s">
        <v>604</v>
      </c>
      <c r="P314" s="69" t="s">
        <v>634</v>
      </c>
      <c r="Q314" s="529" t="s">
        <v>1438</v>
      </c>
      <c r="R314" s="335" t="str">
        <f t="shared" ca="1" si="20"/>
        <v>N/A</v>
      </c>
      <c r="S314" s="335" t="str">
        <f t="shared" ca="1" si="21"/>
        <v>N/A</v>
      </c>
      <c r="T314" s="429" t="s">
        <v>1450</v>
      </c>
      <c r="U314" s="22" t="s">
        <v>636</v>
      </c>
      <c r="V314" s="24"/>
      <c r="W314" s="21"/>
      <c r="Y314" s="490"/>
    </row>
    <row r="315" spans="1:25" ht="75">
      <c r="A315" s="31">
        <v>312</v>
      </c>
      <c r="B315" s="22" t="s">
        <v>39</v>
      </c>
      <c r="C315" s="22" t="s">
        <v>637</v>
      </c>
      <c r="D315" s="22" t="s">
        <v>638</v>
      </c>
      <c r="E315" s="23">
        <v>1</v>
      </c>
      <c r="F315" s="22" t="s">
        <v>639</v>
      </c>
      <c r="G315" s="22" t="s">
        <v>640</v>
      </c>
      <c r="H315" s="22" t="s">
        <v>30</v>
      </c>
      <c r="I315" s="22" t="s">
        <v>641</v>
      </c>
      <c r="J315" s="22" t="s">
        <v>642</v>
      </c>
      <c r="K315" s="519" t="s">
        <v>1438</v>
      </c>
      <c r="L315" s="521" t="s">
        <v>1451</v>
      </c>
      <c r="M315" s="521" t="s">
        <v>1452</v>
      </c>
      <c r="N315" s="521" t="s">
        <v>815</v>
      </c>
      <c r="O315" s="22" t="s">
        <v>604</v>
      </c>
      <c r="P315" s="69" t="s">
        <v>59</v>
      </c>
      <c r="Q315" s="529" t="s">
        <v>1438</v>
      </c>
      <c r="R315" s="335" t="str">
        <f t="shared" ca="1" si="20"/>
        <v>N/A</v>
      </c>
      <c r="S315" s="335" t="str">
        <f t="shared" ca="1" si="21"/>
        <v>N/A</v>
      </c>
      <c r="T315" s="429" t="s">
        <v>645</v>
      </c>
      <c r="U315" s="22" t="s">
        <v>646</v>
      </c>
      <c r="V315" s="24"/>
      <c r="W315" s="21"/>
      <c r="Y315" s="490"/>
    </row>
    <row r="316" spans="1:25" ht="120">
      <c r="A316" s="31">
        <v>313</v>
      </c>
      <c r="B316" s="22" t="s">
        <v>39</v>
      </c>
      <c r="C316" s="22" t="s">
        <v>637</v>
      </c>
      <c r="D316" s="22" t="s">
        <v>647</v>
      </c>
      <c r="E316" s="23">
        <v>1</v>
      </c>
      <c r="F316" s="22" t="s">
        <v>639</v>
      </c>
      <c r="G316" s="22" t="s">
        <v>640</v>
      </c>
      <c r="H316" s="22" t="s">
        <v>30</v>
      </c>
      <c r="I316" s="22" t="s">
        <v>648</v>
      </c>
      <c r="J316" s="22" t="s">
        <v>649</v>
      </c>
      <c r="K316" s="519" t="s">
        <v>1438</v>
      </c>
      <c r="L316" s="521" t="s">
        <v>1453</v>
      </c>
      <c r="M316" s="521" t="s">
        <v>1454</v>
      </c>
      <c r="N316" s="521" t="s">
        <v>815</v>
      </c>
      <c r="O316" s="22" t="s">
        <v>604</v>
      </c>
      <c r="P316" s="69" t="s">
        <v>59</v>
      </c>
      <c r="Q316" s="529" t="s">
        <v>1438</v>
      </c>
      <c r="R316" s="335" t="str">
        <f t="shared" ca="1" si="20"/>
        <v>N/A</v>
      </c>
      <c r="S316" s="335" t="str">
        <f t="shared" ca="1" si="21"/>
        <v>N/A</v>
      </c>
      <c r="T316" s="429" t="s">
        <v>608</v>
      </c>
      <c r="U316" s="22" t="s">
        <v>650</v>
      </c>
      <c r="V316" s="24"/>
      <c r="W316" s="21"/>
      <c r="Y316" s="490"/>
    </row>
    <row r="317" spans="1:25" ht="135">
      <c r="A317" s="31">
        <v>314</v>
      </c>
      <c r="B317" s="22" t="s">
        <v>39</v>
      </c>
      <c r="C317" s="22" t="s">
        <v>651</v>
      </c>
      <c r="D317" s="22" t="s">
        <v>652</v>
      </c>
      <c r="E317" s="23">
        <v>1</v>
      </c>
      <c r="F317" s="22" t="s">
        <v>653</v>
      </c>
      <c r="G317" s="22" t="s">
        <v>654</v>
      </c>
      <c r="H317" s="22" t="s">
        <v>30</v>
      </c>
      <c r="I317" s="22" t="s">
        <v>655</v>
      </c>
      <c r="J317" s="22" t="s">
        <v>656</v>
      </c>
      <c r="K317" s="519" t="s">
        <v>1438</v>
      </c>
      <c r="L317" s="521" t="s">
        <v>1455</v>
      </c>
      <c r="M317" s="521" t="s">
        <v>1456</v>
      </c>
      <c r="N317" s="521" t="s">
        <v>815</v>
      </c>
      <c r="O317" s="22" t="s">
        <v>604</v>
      </c>
      <c r="P317" s="69" t="s">
        <v>59</v>
      </c>
      <c r="Q317" s="529" t="s">
        <v>657</v>
      </c>
      <c r="R317" s="414" t="s">
        <v>657</v>
      </c>
      <c r="S317" s="335" t="str">
        <f t="shared" ca="1" si="21"/>
        <v>N/A</v>
      </c>
      <c r="T317" s="429" t="s">
        <v>658</v>
      </c>
      <c r="U317" s="22" t="s">
        <v>659</v>
      </c>
      <c r="V317" s="24"/>
      <c r="W317" s="21"/>
      <c r="Y317" s="490"/>
    </row>
    <row r="318" spans="1:25" ht="120">
      <c r="A318" s="31">
        <v>315</v>
      </c>
      <c r="B318" s="22" t="s">
        <v>39</v>
      </c>
      <c r="C318" s="22" t="s">
        <v>651</v>
      </c>
      <c r="D318" s="22" t="s">
        <v>660</v>
      </c>
      <c r="E318" s="23">
        <v>1</v>
      </c>
      <c r="F318" s="22" t="s">
        <v>661</v>
      </c>
      <c r="G318" s="22" t="s">
        <v>654</v>
      </c>
      <c r="H318" s="22" t="s">
        <v>30</v>
      </c>
      <c r="I318" s="22" t="s">
        <v>662</v>
      </c>
      <c r="J318" s="22" t="s">
        <v>663</v>
      </c>
      <c r="K318" s="519" t="s">
        <v>1438</v>
      </c>
      <c r="L318" s="521" t="s">
        <v>1457</v>
      </c>
      <c r="M318" s="521" t="s">
        <v>1458</v>
      </c>
      <c r="N318" s="521" t="s">
        <v>815</v>
      </c>
      <c r="O318" s="22" t="s">
        <v>604</v>
      </c>
      <c r="P318" s="69" t="s">
        <v>59</v>
      </c>
      <c r="Q318" s="529" t="s">
        <v>657</v>
      </c>
      <c r="R318" s="67" t="s">
        <v>59</v>
      </c>
      <c r="S318" s="335" t="str">
        <f t="shared" ca="1" si="21"/>
        <v>N/A</v>
      </c>
      <c r="T318" s="429" t="s">
        <v>664</v>
      </c>
      <c r="U318" s="22" t="s">
        <v>659</v>
      </c>
      <c r="V318" s="24"/>
      <c r="W318" s="21"/>
      <c r="Y318" s="490"/>
    </row>
    <row r="319" spans="1:25" ht="105">
      <c r="A319" s="31">
        <v>316</v>
      </c>
      <c r="B319" s="22" t="s">
        <v>39</v>
      </c>
      <c r="C319" s="22" t="s">
        <v>651</v>
      </c>
      <c r="D319" s="22" t="s">
        <v>665</v>
      </c>
      <c r="E319" s="23">
        <v>1</v>
      </c>
      <c r="F319" s="22" t="s">
        <v>142</v>
      </c>
      <c r="G319" s="22" t="s">
        <v>654</v>
      </c>
      <c r="H319" s="22" t="s">
        <v>30</v>
      </c>
      <c r="I319" s="22" t="s">
        <v>666</v>
      </c>
      <c r="J319" s="22" t="s">
        <v>667</v>
      </c>
      <c r="K319" s="519" t="s">
        <v>1438</v>
      </c>
      <c r="L319" s="521" t="s">
        <v>1459</v>
      </c>
      <c r="M319" s="521" t="s">
        <v>1460</v>
      </c>
      <c r="N319" s="521" t="s">
        <v>815</v>
      </c>
      <c r="O319" s="22" t="s">
        <v>604</v>
      </c>
      <c r="P319" s="69" t="s">
        <v>59</v>
      </c>
      <c r="Q319" s="529" t="s">
        <v>657</v>
      </c>
      <c r="R319" s="414" t="s">
        <v>657</v>
      </c>
      <c r="S319" s="335" t="str">
        <f t="shared" ca="1" si="21"/>
        <v>N/A</v>
      </c>
      <c r="T319" s="429" t="s">
        <v>668</v>
      </c>
      <c r="U319" s="22" t="s">
        <v>659</v>
      </c>
      <c r="V319" s="24"/>
      <c r="W319" s="21"/>
      <c r="Y319" s="490"/>
    </row>
    <row r="320" spans="1:25" ht="135">
      <c r="A320" s="31">
        <v>317</v>
      </c>
      <c r="B320" s="22" t="s">
        <v>39</v>
      </c>
      <c r="C320" s="22" t="s">
        <v>651</v>
      </c>
      <c r="D320" s="22" t="s">
        <v>669</v>
      </c>
      <c r="E320" s="23">
        <v>1</v>
      </c>
      <c r="F320" s="22" t="s">
        <v>523</v>
      </c>
      <c r="G320" s="22" t="s">
        <v>654</v>
      </c>
      <c r="H320" s="22" t="s">
        <v>30</v>
      </c>
      <c r="I320" s="22" t="s">
        <v>670</v>
      </c>
      <c r="J320" s="22" t="s">
        <v>671</v>
      </c>
      <c r="K320" s="519" t="s">
        <v>1438</v>
      </c>
      <c r="L320" s="521" t="s">
        <v>1461</v>
      </c>
      <c r="M320" s="521" t="s">
        <v>1462</v>
      </c>
      <c r="N320" s="521" t="s">
        <v>815</v>
      </c>
      <c r="O320" s="22" t="s">
        <v>604</v>
      </c>
      <c r="P320" s="69" t="s">
        <v>59</v>
      </c>
      <c r="Q320" s="529" t="s">
        <v>657</v>
      </c>
      <c r="R320" s="67" t="s">
        <v>59</v>
      </c>
      <c r="S320" s="335" t="str">
        <f t="shared" ca="1" si="21"/>
        <v>N/A</v>
      </c>
      <c r="T320" s="429" t="s">
        <v>672</v>
      </c>
      <c r="U320" s="22" t="s">
        <v>673</v>
      </c>
      <c r="V320" s="24"/>
      <c r="W320" s="21"/>
      <c r="Y320" s="490"/>
    </row>
    <row r="321" spans="1:25" ht="120">
      <c r="A321" s="31">
        <v>318</v>
      </c>
      <c r="B321" s="22" t="s">
        <v>39</v>
      </c>
      <c r="C321" s="22" t="s">
        <v>651</v>
      </c>
      <c r="D321" s="22" t="s">
        <v>674</v>
      </c>
      <c r="E321" s="23">
        <v>1</v>
      </c>
      <c r="F321" s="22" t="s">
        <v>675</v>
      </c>
      <c r="G321" s="22" t="s">
        <v>676</v>
      </c>
      <c r="H321" s="22" t="s">
        <v>30</v>
      </c>
      <c r="I321" s="22" t="s">
        <v>677</v>
      </c>
      <c r="J321" s="22" t="s">
        <v>678</v>
      </c>
      <c r="K321" s="519" t="s">
        <v>1438</v>
      </c>
      <c r="L321" s="521" t="s">
        <v>1463</v>
      </c>
      <c r="M321" s="521" t="s">
        <v>1464</v>
      </c>
      <c r="N321" s="521" t="s">
        <v>815</v>
      </c>
      <c r="O321" s="22" t="s">
        <v>604</v>
      </c>
      <c r="P321" s="69" t="s">
        <v>59</v>
      </c>
      <c r="Q321" s="529" t="s">
        <v>657</v>
      </c>
      <c r="R321" s="67" t="s">
        <v>59</v>
      </c>
      <c r="S321" s="335" t="str">
        <f t="shared" ca="1" si="21"/>
        <v>N/A</v>
      </c>
      <c r="T321" s="429" t="s">
        <v>679</v>
      </c>
      <c r="U321" s="22" t="s">
        <v>680</v>
      </c>
      <c r="V321" s="24"/>
      <c r="W321" s="21"/>
      <c r="Y321" s="490"/>
    </row>
    <row r="322" spans="1:25" ht="120">
      <c r="A322" s="31">
        <v>319</v>
      </c>
      <c r="B322" s="22" t="s">
        <v>39</v>
      </c>
      <c r="C322" s="22" t="s">
        <v>651</v>
      </c>
      <c r="D322" s="22" t="s">
        <v>681</v>
      </c>
      <c r="E322" s="23">
        <v>1</v>
      </c>
      <c r="F322" s="22" t="s">
        <v>682</v>
      </c>
      <c r="G322" s="22" t="s">
        <v>676</v>
      </c>
      <c r="H322" s="22" t="s">
        <v>30</v>
      </c>
      <c r="I322" s="22" t="s">
        <v>683</v>
      </c>
      <c r="J322" s="22" t="s">
        <v>684</v>
      </c>
      <c r="K322" s="519" t="s">
        <v>1438</v>
      </c>
      <c r="L322" s="521" t="s">
        <v>1465</v>
      </c>
      <c r="M322" s="521" t="s">
        <v>1466</v>
      </c>
      <c r="N322" s="521" t="s">
        <v>815</v>
      </c>
      <c r="O322" s="22" t="s">
        <v>604</v>
      </c>
      <c r="P322" s="69" t="s">
        <v>59</v>
      </c>
      <c r="Q322" s="529" t="s">
        <v>657</v>
      </c>
      <c r="R322" s="67" t="s">
        <v>59</v>
      </c>
      <c r="S322" s="335" t="str">
        <f t="shared" ca="1" si="21"/>
        <v>N/A</v>
      </c>
      <c r="T322" s="429" t="s">
        <v>679</v>
      </c>
      <c r="U322" s="22" t="s">
        <v>680</v>
      </c>
      <c r="V322" s="24"/>
      <c r="W322" s="21"/>
      <c r="Y322" s="490"/>
    </row>
    <row r="323" spans="1:25" ht="120">
      <c r="A323" s="31">
        <v>320</v>
      </c>
      <c r="B323" s="22" t="s">
        <v>39</v>
      </c>
      <c r="C323" s="22" t="s">
        <v>651</v>
      </c>
      <c r="D323" s="22" t="s">
        <v>685</v>
      </c>
      <c r="E323" s="23">
        <v>1</v>
      </c>
      <c r="F323" s="22" t="s">
        <v>686</v>
      </c>
      <c r="G323" s="22" t="s">
        <v>676</v>
      </c>
      <c r="H323" s="22" t="s">
        <v>30</v>
      </c>
      <c r="I323" s="22" t="s">
        <v>687</v>
      </c>
      <c r="J323" s="22" t="s">
        <v>688</v>
      </c>
      <c r="K323" s="519" t="s">
        <v>1438</v>
      </c>
      <c r="L323" s="521" t="s">
        <v>1467</v>
      </c>
      <c r="M323" s="521" t="s">
        <v>1468</v>
      </c>
      <c r="N323" s="521" t="s">
        <v>815</v>
      </c>
      <c r="O323" s="22" t="s">
        <v>604</v>
      </c>
      <c r="P323" s="69" t="s">
        <v>59</v>
      </c>
      <c r="Q323" s="529" t="s">
        <v>657</v>
      </c>
      <c r="R323" s="67" t="s">
        <v>59</v>
      </c>
      <c r="S323" s="335" t="str">
        <f t="shared" ca="1" si="21"/>
        <v>N/A</v>
      </c>
      <c r="T323" s="429" t="s">
        <v>679</v>
      </c>
      <c r="U323" s="22" t="s">
        <v>680</v>
      </c>
      <c r="V323" s="24"/>
      <c r="W323" s="21"/>
      <c r="Y323" s="490"/>
    </row>
    <row r="324" spans="1:25" ht="195">
      <c r="A324" s="31">
        <v>321</v>
      </c>
      <c r="B324" s="22" t="s">
        <v>39</v>
      </c>
      <c r="C324" s="22" t="s">
        <v>651</v>
      </c>
      <c r="D324" s="22" t="s">
        <v>689</v>
      </c>
      <c r="E324" s="23">
        <v>1</v>
      </c>
      <c r="F324" s="22" t="s">
        <v>690</v>
      </c>
      <c r="G324" s="22" t="s">
        <v>691</v>
      </c>
      <c r="H324" s="22" t="s">
        <v>30</v>
      </c>
      <c r="I324" s="22" t="s">
        <v>692</v>
      </c>
      <c r="J324" s="22" t="s">
        <v>693</v>
      </c>
      <c r="K324" s="519" t="s">
        <v>1438</v>
      </c>
      <c r="L324" s="521" t="s">
        <v>1469</v>
      </c>
      <c r="M324" s="521" t="s">
        <v>1470</v>
      </c>
      <c r="N324" s="521" t="s">
        <v>815</v>
      </c>
      <c r="O324" s="22" t="s">
        <v>604</v>
      </c>
      <c r="P324" s="69" t="s">
        <v>59</v>
      </c>
      <c r="Q324" s="529" t="s">
        <v>657</v>
      </c>
      <c r="R324" s="67" t="s">
        <v>59</v>
      </c>
      <c r="S324" s="335" t="str">
        <f t="shared" ca="1" si="21"/>
        <v>N/A</v>
      </c>
      <c r="T324" s="429" t="s">
        <v>694</v>
      </c>
      <c r="U324" s="22" t="s">
        <v>695</v>
      </c>
      <c r="V324" s="24"/>
      <c r="W324" s="21"/>
      <c r="Y324" s="490"/>
    </row>
    <row r="325" spans="1:25" ht="195">
      <c r="A325" s="31">
        <v>322</v>
      </c>
      <c r="B325" s="22" t="s">
        <v>39</v>
      </c>
      <c r="C325" s="22" t="s">
        <v>651</v>
      </c>
      <c r="D325" s="22" t="s">
        <v>696</v>
      </c>
      <c r="E325" s="23">
        <v>1</v>
      </c>
      <c r="F325" s="22" t="s">
        <v>697</v>
      </c>
      <c r="G325" s="22" t="s">
        <v>691</v>
      </c>
      <c r="H325" s="22" t="s">
        <v>30</v>
      </c>
      <c r="I325" s="22" t="s">
        <v>698</v>
      </c>
      <c r="J325" s="22" t="s">
        <v>699</v>
      </c>
      <c r="K325" s="519" t="s">
        <v>1438</v>
      </c>
      <c r="L325" s="521" t="s">
        <v>1471</v>
      </c>
      <c r="M325" s="521" t="s">
        <v>1472</v>
      </c>
      <c r="N325" s="521" t="s">
        <v>815</v>
      </c>
      <c r="O325" s="22" t="s">
        <v>604</v>
      </c>
      <c r="P325" s="69" t="s">
        <v>59</v>
      </c>
      <c r="Q325" s="529" t="s">
        <v>1438</v>
      </c>
      <c r="R325" s="67" t="s">
        <v>59</v>
      </c>
      <c r="S325" s="335" t="str">
        <f t="shared" ca="1" si="21"/>
        <v>N/A</v>
      </c>
      <c r="T325" s="429" t="s">
        <v>694</v>
      </c>
      <c r="U325" s="22" t="s">
        <v>695</v>
      </c>
      <c r="V325" s="24"/>
      <c r="W325" s="21"/>
      <c r="Y325" s="490"/>
    </row>
    <row r="326" spans="1:25" ht="195">
      <c r="A326" s="31">
        <v>323</v>
      </c>
      <c r="B326" s="22" t="s">
        <v>39</v>
      </c>
      <c r="C326" s="22" t="s">
        <v>651</v>
      </c>
      <c r="D326" s="22" t="s">
        <v>700</v>
      </c>
      <c r="E326" s="23">
        <v>1</v>
      </c>
      <c r="F326" s="22" t="s">
        <v>701</v>
      </c>
      <c r="G326" s="22" t="s">
        <v>691</v>
      </c>
      <c r="H326" s="22" t="s">
        <v>30</v>
      </c>
      <c r="I326" s="22" t="s">
        <v>702</v>
      </c>
      <c r="J326" s="22" t="s">
        <v>703</v>
      </c>
      <c r="K326" s="519" t="s">
        <v>1438</v>
      </c>
      <c r="L326" s="521" t="s">
        <v>1473</v>
      </c>
      <c r="M326" s="521" t="s">
        <v>1474</v>
      </c>
      <c r="N326" s="521" t="s">
        <v>815</v>
      </c>
      <c r="O326" s="22" t="s">
        <v>604</v>
      </c>
      <c r="P326" s="69" t="s">
        <v>59</v>
      </c>
      <c r="Q326" s="529" t="s">
        <v>1438</v>
      </c>
      <c r="R326" s="67" t="s">
        <v>59</v>
      </c>
      <c r="S326" s="335" t="str">
        <f t="shared" ca="1" si="21"/>
        <v>N/A</v>
      </c>
      <c r="T326" s="429" t="s">
        <v>694</v>
      </c>
      <c r="U326" s="22" t="s">
        <v>695</v>
      </c>
      <c r="V326" s="24"/>
      <c r="W326" s="21"/>
      <c r="Y326" s="490"/>
    </row>
    <row r="327" spans="1:25" ht="195">
      <c r="A327" s="31">
        <v>324</v>
      </c>
      <c r="B327" s="22" t="s">
        <v>39</v>
      </c>
      <c r="C327" s="22" t="s">
        <v>651</v>
      </c>
      <c r="D327" s="22" t="s">
        <v>704</v>
      </c>
      <c r="E327" s="23">
        <v>1</v>
      </c>
      <c r="F327" s="22" t="s">
        <v>705</v>
      </c>
      <c r="G327" s="22" t="s">
        <v>691</v>
      </c>
      <c r="H327" s="22" t="s">
        <v>30</v>
      </c>
      <c r="I327" s="22" t="s">
        <v>706</v>
      </c>
      <c r="J327" s="22" t="s">
        <v>707</v>
      </c>
      <c r="K327" s="519" t="s">
        <v>1438</v>
      </c>
      <c r="L327" s="521" t="s">
        <v>1475</v>
      </c>
      <c r="M327" s="521" t="s">
        <v>1476</v>
      </c>
      <c r="N327" s="521" t="s">
        <v>815</v>
      </c>
      <c r="O327" s="22" t="s">
        <v>604</v>
      </c>
      <c r="P327" s="69" t="s">
        <v>59</v>
      </c>
      <c r="Q327" s="529" t="s">
        <v>1438</v>
      </c>
      <c r="R327" s="67" t="s">
        <v>59</v>
      </c>
      <c r="S327" s="335" t="str">
        <f t="shared" ca="1" si="21"/>
        <v>N/A</v>
      </c>
      <c r="T327" s="429" t="s">
        <v>694</v>
      </c>
      <c r="U327" s="22" t="s">
        <v>708</v>
      </c>
      <c r="V327" s="24"/>
      <c r="W327" s="21"/>
      <c r="Y327" s="490"/>
    </row>
    <row r="328" spans="1:25" ht="195">
      <c r="A328" s="31">
        <v>325</v>
      </c>
      <c r="B328" s="22" t="s">
        <v>39</v>
      </c>
      <c r="C328" s="22" t="s">
        <v>651</v>
      </c>
      <c r="D328" s="22" t="s">
        <v>709</v>
      </c>
      <c r="E328" s="23">
        <v>1</v>
      </c>
      <c r="F328" s="22" t="s">
        <v>690</v>
      </c>
      <c r="G328" s="22" t="s">
        <v>691</v>
      </c>
      <c r="H328" s="22" t="s">
        <v>30</v>
      </c>
      <c r="I328" s="22" t="s">
        <v>710</v>
      </c>
      <c r="J328" s="22" t="s">
        <v>711</v>
      </c>
      <c r="K328" s="519" t="s">
        <v>1438</v>
      </c>
      <c r="L328" s="521" t="s">
        <v>1477</v>
      </c>
      <c r="M328" s="521" t="s">
        <v>1478</v>
      </c>
      <c r="N328" s="521" t="s">
        <v>815</v>
      </c>
      <c r="O328" s="22" t="s">
        <v>604</v>
      </c>
      <c r="P328" s="69" t="s">
        <v>59</v>
      </c>
      <c r="Q328" s="529" t="s">
        <v>1438</v>
      </c>
      <c r="R328" s="67" t="s">
        <v>59</v>
      </c>
      <c r="S328" s="335" t="str">
        <f t="shared" ca="1" si="21"/>
        <v>N/A</v>
      </c>
      <c r="T328" s="429" t="s">
        <v>712</v>
      </c>
      <c r="U328" s="22" t="s">
        <v>695</v>
      </c>
      <c r="V328" s="24"/>
      <c r="W328" s="21"/>
      <c r="Y328" s="490"/>
    </row>
    <row r="329" spans="1:25" ht="195">
      <c r="A329" s="31">
        <v>326</v>
      </c>
      <c r="B329" s="22" t="s">
        <v>39</v>
      </c>
      <c r="C329" s="22" t="s">
        <v>651</v>
      </c>
      <c r="D329" s="22" t="s">
        <v>713</v>
      </c>
      <c r="E329" s="23">
        <v>1</v>
      </c>
      <c r="F329" s="22" t="s">
        <v>697</v>
      </c>
      <c r="G329" s="22" t="s">
        <v>691</v>
      </c>
      <c r="H329" s="22" t="s">
        <v>30</v>
      </c>
      <c r="I329" s="22" t="s">
        <v>714</v>
      </c>
      <c r="J329" s="22" t="s">
        <v>715</v>
      </c>
      <c r="K329" s="519" t="s">
        <v>1438</v>
      </c>
      <c r="L329" s="521" t="s">
        <v>1479</v>
      </c>
      <c r="M329" s="521" t="s">
        <v>1480</v>
      </c>
      <c r="N329" s="521" t="s">
        <v>815</v>
      </c>
      <c r="O329" s="22" t="s">
        <v>604</v>
      </c>
      <c r="P329" s="69" t="s">
        <v>59</v>
      </c>
      <c r="Q329" s="529" t="s">
        <v>1438</v>
      </c>
      <c r="R329" s="67" t="s">
        <v>59</v>
      </c>
      <c r="S329" s="335" t="str">
        <f t="shared" ca="1" si="21"/>
        <v>N/A</v>
      </c>
      <c r="T329" s="429" t="s">
        <v>712</v>
      </c>
      <c r="U329" s="22" t="s">
        <v>695</v>
      </c>
      <c r="V329" s="24"/>
      <c r="W329" s="21"/>
      <c r="Y329" s="490"/>
    </row>
    <row r="330" spans="1:25" ht="195">
      <c r="A330" s="31">
        <v>327</v>
      </c>
      <c r="B330" s="22" t="s">
        <v>39</v>
      </c>
      <c r="C330" s="22" t="s">
        <v>651</v>
      </c>
      <c r="D330" s="22" t="s">
        <v>716</v>
      </c>
      <c r="E330" s="23">
        <v>1</v>
      </c>
      <c r="F330" s="22" t="s">
        <v>701</v>
      </c>
      <c r="G330" s="22" t="s">
        <v>691</v>
      </c>
      <c r="H330" s="22" t="s">
        <v>30</v>
      </c>
      <c r="I330" s="22" t="s">
        <v>717</v>
      </c>
      <c r="J330" s="22" t="s">
        <v>718</v>
      </c>
      <c r="K330" s="519" t="s">
        <v>1438</v>
      </c>
      <c r="L330" s="521" t="s">
        <v>1481</v>
      </c>
      <c r="M330" s="521" t="s">
        <v>1482</v>
      </c>
      <c r="N330" s="521" t="s">
        <v>815</v>
      </c>
      <c r="O330" s="22" t="s">
        <v>604</v>
      </c>
      <c r="P330" s="69" t="s">
        <v>59</v>
      </c>
      <c r="Q330" s="529" t="s">
        <v>1438</v>
      </c>
      <c r="R330" s="67" t="s">
        <v>59</v>
      </c>
      <c r="S330" s="335" t="str">
        <f t="shared" ca="1" si="21"/>
        <v>N/A</v>
      </c>
      <c r="T330" s="429" t="s">
        <v>712</v>
      </c>
      <c r="U330" s="22" t="s">
        <v>695</v>
      </c>
      <c r="V330" s="24"/>
      <c r="W330" s="21"/>
      <c r="Y330" s="490"/>
    </row>
    <row r="331" spans="1:25" ht="195">
      <c r="A331" s="31">
        <v>328</v>
      </c>
      <c r="B331" s="22" t="s">
        <v>39</v>
      </c>
      <c r="C331" s="22" t="s">
        <v>651</v>
      </c>
      <c r="D331" s="22" t="s">
        <v>719</v>
      </c>
      <c r="E331" s="23">
        <v>1</v>
      </c>
      <c r="F331" s="22" t="s">
        <v>705</v>
      </c>
      <c r="G331" s="22" t="s">
        <v>691</v>
      </c>
      <c r="H331" s="22" t="s">
        <v>30</v>
      </c>
      <c r="I331" s="22" t="s">
        <v>720</v>
      </c>
      <c r="J331" s="22" t="s">
        <v>721</v>
      </c>
      <c r="K331" s="519" t="s">
        <v>1438</v>
      </c>
      <c r="L331" s="521" t="s">
        <v>1483</v>
      </c>
      <c r="M331" s="521" t="s">
        <v>1484</v>
      </c>
      <c r="N331" s="521" t="s">
        <v>815</v>
      </c>
      <c r="O331" s="22" t="s">
        <v>604</v>
      </c>
      <c r="P331" s="69" t="s">
        <v>59</v>
      </c>
      <c r="Q331" s="529" t="s">
        <v>1438</v>
      </c>
      <c r="R331" s="67" t="s">
        <v>59</v>
      </c>
      <c r="S331" s="335" t="str">
        <f t="shared" ca="1" si="21"/>
        <v>N/A</v>
      </c>
      <c r="T331" s="429" t="s">
        <v>712</v>
      </c>
      <c r="U331" s="22" t="s">
        <v>695</v>
      </c>
      <c r="V331" s="24"/>
      <c r="W331" s="21"/>
      <c r="Y331" s="490"/>
    </row>
    <row r="332" spans="1:25" ht="165">
      <c r="A332" s="32">
        <v>329</v>
      </c>
      <c r="B332" s="25" t="s">
        <v>39</v>
      </c>
      <c r="C332" s="25" t="s">
        <v>722</v>
      </c>
      <c r="D332" s="25" t="s">
        <v>723</v>
      </c>
      <c r="E332" s="26">
        <v>1</v>
      </c>
      <c r="F332" s="25" t="s">
        <v>724</v>
      </c>
      <c r="G332" s="25" t="s">
        <v>725</v>
      </c>
      <c r="H332" s="25" t="s">
        <v>30</v>
      </c>
      <c r="I332" s="25" t="s">
        <v>726</v>
      </c>
      <c r="J332" s="25" t="s">
        <v>727</v>
      </c>
      <c r="K332" s="519" t="s">
        <v>1438</v>
      </c>
      <c r="L332" s="521" t="s">
        <v>1485</v>
      </c>
      <c r="M332" s="521" t="s">
        <v>1486</v>
      </c>
      <c r="N332" s="523" t="s">
        <v>815</v>
      </c>
      <c r="O332" s="25" t="s">
        <v>604</v>
      </c>
      <c r="P332" s="69" t="s">
        <v>59</v>
      </c>
      <c r="Q332" s="536" t="s">
        <v>1438</v>
      </c>
      <c r="R332" s="526" t="s">
        <v>59</v>
      </c>
      <c r="S332" s="335" t="str">
        <f t="shared" ca="1" si="21"/>
        <v>N/A</v>
      </c>
      <c r="T332" s="27" t="s">
        <v>730</v>
      </c>
      <c r="U332" s="25" t="s">
        <v>731</v>
      </c>
      <c r="V332" s="28"/>
      <c r="W332" s="27"/>
      <c r="Y332" s="490"/>
    </row>
  </sheetData>
  <autoFilter ref="A2:W332" xr:uid="{DBF9CB31-CDA7-429E-AD0F-4469299D3D09}"/>
  <mergeCells count="2">
    <mergeCell ref="A1:A2"/>
    <mergeCell ref="P1:S1"/>
  </mergeCells>
  <printOptions horizontalCentered="1"/>
  <pageMargins left="0.2" right="0.2" top="0.75" bottom="0.75" header="0.3" footer="0.3"/>
  <pageSetup scale="28" fitToHeight="0" orientation="landscape" r:id="rId1"/>
  <headerFooter>
    <oddFooter>&amp;RMay 1, 2019</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57D26-6B44-4A7A-A845-23AA042E0CAF}">
  <sheetPr>
    <tabColor rgb="FF00B0F0"/>
    <pageSetUpPr fitToPage="1"/>
  </sheetPr>
  <dimension ref="A1:Y332"/>
  <sheetViews>
    <sheetView showGridLines="0" zoomScale="80" zoomScaleNormal="80" zoomScaleSheetLayoutView="70" workbookViewId="0">
      <pane xSplit="9" ySplit="2" topLeftCell="J51" activePane="bottomRight" state="frozen"/>
      <selection activeCell="Q4" sqref="Q4"/>
      <selection pane="topRight" activeCell="Q4" sqref="Q4"/>
      <selection pane="bottomLeft" activeCell="Q4" sqref="Q4"/>
      <selection pane="bottomRight" activeCell="Q4" sqref="Q4"/>
    </sheetView>
  </sheetViews>
  <sheetFormatPr defaultColWidth="49.7109375" defaultRowHeight="15"/>
  <cols>
    <col min="1" max="1" width="13.85546875" style="15" customWidth="1"/>
    <col min="2" max="2" width="6.7109375" style="13" customWidth="1"/>
    <col min="3" max="3" width="5.28515625" style="13" customWidth="1"/>
    <col min="4" max="4" width="6.85546875" style="13" customWidth="1"/>
    <col min="5" max="5" width="7.28515625" style="15" customWidth="1"/>
    <col min="6" max="6" width="14.7109375" style="15" customWidth="1"/>
    <col min="7" max="7" width="20.7109375" style="13" customWidth="1"/>
    <col min="8" max="8" width="13.5703125" style="13" customWidth="1"/>
    <col min="9" max="9" width="49.7109375" style="13" customWidth="1"/>
    <col min="10" max="10" width="32.85546875" style="13" customWidth="1"/>
    <col min="11" max="11" width="15.42578125" style="516" customWidth="1"/>
    <col min="12" max="14" width="10.140625" style="520" customWidth="1"/>
    <col min="15" max="15" width="21.85546875" style="13" customWidth="1"/>
    <col min="16" max="16" width="20.42578125" style="427" customWidth="1"/>
    <col min="17" max="17" width="20.42578125" style="528" customWidth="1"/>
    <col min="18" max="19" width="20.42578125" style="527" customWidth="1"/>
    <col min="20" max="20" width="45.28515625" style="16" hidden="1" customWidth="1"/>
    <col min="21" max="21" width="57.28515625" style="13" hidden="1" customWidth="1"/>
    <col min="22" max="22" width="15.7109375" style="13" hidden="1" customWidth="1"/>
    <col min="23" max="23" width="6.7109375" style="13" hidden="1" customWidth="1"/>
    <col min="24" max="24" width="15.42578125" style="488" hidden="1" customWidth="1"/>
    <col min="25" max="25" width="17.5703125" style="14" customWidth="1"/>
    <col min="26" max="16384" width="49.7109375" style="14"/>
  </cols>
  <sheetData>
    <row r="1" spans="1:25">
      <c r="A1" s="834" t="s">
        <v>16</v>
      </c>
      <c r="P1" s="845"/>
      <c r="Q1" s="846"/>
      <c r="R1" s="847"/>
      <c r="S1" s="848"/>
    </row>
    <row r="2" spans="1:25" s="18" customFormat="1" ht="50.45" customHeight="1">
      <c r="A2" s="834"/>
      <c r="B2" s="597" t="s">
        <v>22</v>
      </c>
      <c r="C2" s="597" t="s">
        <v>23</v>
      </c>
      <c r="D2" s="597" t="s">
        <v>24</v>
      </c>
      <c r="E2" s="333" t="s">
        <v>25</v>
      </c>
      <c r="F2" s="333" t="s">
        <v>26</v>
      </c>
      <c r="G2" s="333" t="s">
        <v>27</v>
      </c>
      <c r="H2" s="333" t="s">
        <v>28</v>
      </c>
      <c r="I2" s="333" t="s">
        <v>29</v>
      </c>
      <c r="J2" s="333" t="s">
        <v>30</v>
      </c>
      <c r="K2" s="517" t="s">
        <v>807</v>
      </c>
      <c r="L2" s="517" t="s">
        <v>808</v>
      </c>
      <c r="M2" s="517" t="s">
        <v>809</v>
      </c>
      <c r="N2" s="517" t="s">
        <v>810</v>
      </c>
      <c r="O2" s="413" t="s">
        <v>31</v>
      </c>
      <c r="P2" s="598" t="s">
        <v>32</v>
      </c>
      <c r="Q2" s="524" t="s">
        <v>811</v>
      </c>
      <c r="R2" s="524" t="s">
        <v>33</v>
      </c>
      <c r="S2" s="525" t="s">
        <v>34</v>
      </c>
      <c r="T2" s="333" t="s">
        <v>35</v>
      </c>
      <c r="U2" s="333" t="s">
        <v>36</v>
      </c>
      <c r="V2" s="333" t="s">
        <v>37</v>
      </c>
      <c r="W2" s="334" t="s">
        <v>38</v>
      </c>
      <c r="X2" s="489"/>
    </row>
    <row r="3" spans="1:25" s="18" customFormat="1" ht="30">
      <c r="A3" s="30">
        <v>0</v>
      </c>
      <c r="B3" s="19" t="s">
        <v>39</v>
      </c>
      <c r="C3" s="19" t="s">
        <v>40</v>
      </c>
      <c r="D3" s="19" t="s">
        <v>41</v>
      </c>
      <c r="E3" s="20" t="s">
        <v>42</v>
      </c>
      <c r="F3" s="19" t="s">
        <v>43</v>
      </c>
      <c r="G3" s="19" t="s">
        <v>44</v>
      </c>
      <c r="H3" s="19" t="s">
        <v>30</v>
      </c>
      <c r="I3" s="19" t="s">
        <v>45</v>
      </c>
      <c r="J3" s="19" t="s">
        <v>46</v>
      </c>
      <c r="K3" s="518" t="s">
        <v>812</v>
      </c>
      <c r="L3" s="521" t="s">
        <v>813</v>
      </c>
      <c r="M3" s="521" t="s">
        <v>814</v>
      </c>
      <c r="N3" s="521" t="s">
        <v>815</v>
      </c>
      <c r="O3" s="19" t="s">
        <v>47</v>
      </c>
      <c r="P3" s="426">
        <v>2017</v>
      </c>
      <c r="Q3" s="414">
        <f t="shared" ref="Q3:Q34" ca="1" si="0">SUMIF(INDIRECT("'"&amp;K3&amp;"'!c:c"),A3,INDIRECT("'"&amp;K3&amp;"'!e:e"))</f>
        <v>319930.91134699981</v>
      </c>
      <c r="R3" s="335" t="str">
        <f t="shared" ref="R3:R66" ca="1" si="1">IF($N3 = "N","N/A",SUMIF(INDIRECT("'"&amp;K3&amp;"'!i:i"),L3,INDIRECT("'"&amp;K3&amp;"'!l:l")))</f>
        <v>N/A</v>
      </c>
      <c r="S3" s="335" t="str">
        <f t="shared" ref="S3:S66" ca="1" si="2">IF($N3 = "N","N/A",SUMIF(INDIRECT("'"&amp;K3&amp;"'!i:i"),M3,INDIRECT("'"&amp;K3&amp;"'!l:l")))</f>
        <v>N/A</v>
      </c>
      <c r="T3" s="21" t="s">
        <v>48</v>
      </c>
      <c r="U3" s="19" t="s">
        <v>49</v>
      </c>
      <c r="V3" s="29"/>
      <c r="W3" s="21"/>
      <c r="X3" s="489"/>
      <c r="Y3" s="490"/>
    </row>
    <row r="4" spans="1:25" ht="45">
      <c r="A4" s="30">
        <v>1</v>
      </c>
      <c r="B4" s="19" t="s">
        <v>39</v>
      </c>
      <c r="C4" s="19" t="s">
        <v>50</v>
      </c>
      <c r="D4" s="19" t="s">
        <v>41</v>
      </c>
      <c r="E4" s="20" t="s">
        <v>51</v>
      </c>
      <c r="F4" s="19" t="s">
        <v>52</v>
      </c>
      <c r="G4" s="19" t="s">
        <v>53</v>
      </c>
      <c r="H4" s="19" t="s">
        <v>30</v>
      </c>
      <c r="I4" s="19" t="s">
        <v>54</v>
      </c>
      <c r="J4" s="22" t="s">
        <v>52</v>
      </c>
      <c r="K4" s="518" t="s">
        <v>812</v>
      </c>
      <c r="L4" s="521" t="s">
        <v>368</v>
      </c>
      <c r="M4" s="521" t="s">
        <v>816</v>
      </c>
      <c r="N4" s="521" t="s">
        <v>815</v>
      </c>
      <c r="O4" s="19" t="s">
        <v>47</v>
      </c>
      <c r="P4" s="426">
        <v>2017</v>
      </c>
      <c r="Q4" s="414">
        <f t="shared" ca="1" si="0"/>
        <v>87297.336761534578</v>
      </c>
      <c r="R4" s="335" t="str">
        <f t="shared" ca="1" si="1"/>
        <v>N/A</v>
      </c>
      <c r="S4" s="335" t="str">
        <f t="shared" ca="1" si="2"/>
        <v>N/A</v>
      </c>
      <c r="T4" s="429" t="s">
        <v>48</v>
      </c>
      <c r="U4" s="19"/>
      <c r="V4" s="29"/>
      <c r="W4" s="21"/>
      <c r="Y4" s="490"/>
    </row>
    <row r="5" spans="1:25" ht="45">
      <c r="A5" s="31">
        <v>2</v>
      </c>
      <c r="B5" s="22" t="s">
        <v>39</v>
      </c>
      <c r="C5" s="22" t="s">
        <v>50</v>
      </c>
      <c r="D5" s="22" t="s">
        <v>41</v>
      </c>
      <c r="E5" s="23" t="s">
        <v>51</v>
      </c>
      <c r="F5" s="22" t="s">
        <v>55</v>
      </c>
      <c r="G5" s="22" t="s">
        <v>53</v>
      </c>
      <c r="H5" s="22" t="s">
        <v>30</v>
      </c>
      <c r="I5" s="22" t="s">
        <v>54</v>
      </c>
      <c r="J5" s="22" t="s">
        <v>55</v>
      </c>
      <c r="K5" s="518" t="s">
        <v>812</v>
      </c>
      <c r="L5" s="521" t="s">
        <v>373</v>
      </c>
      <c r="M5" s="521" t="s">
        <v>316</v>
      </c>
      <c r="N5" s="521" t="s">
        <v>815</v>
      </c>
      <c r="O5" s="22" t="s">
        <v>47</v>
      </c>
      <c r="P5" s="69">
        <v>2017</v>
      </c>
      <c r="Q5" s="414">
        <f t="shared" ca="1" si="0"/>
        <v>80492.313475682531</v>
      </c>
      <c r="R5" s="335" t="str">
        <f t="shared" ca="1" si="1"/>
        <v>N/A</v>
      </c>
      <c r="S5" s="335" t="str">
        <f t="shared" ca="1" si="2"/>
        <v>N/A</v>
      </c>
      <c r="T5" s="429" t="s">
        <v>48</v>
      </c>
      <c r="U5" s="22"/>
      <c r="V5" s="24"/>
      <c r="W5" s="21"/>
      <c r="Y5" s="490"/>
    </row>
    <row r="6" spans="1:25" ht="45">
      <c r="A6" s="31">
        <v>3</v>
      </c>
      <c r="B6" s="22" t="s">
        <v>39</v>
      </c>
      <c r="C6" s="22" t="s">
        <v>50</v>
      </c>
      <c r="D6" s="22" t="s">
        <v>41</v>
      </c>
      <c r="E6" s="23" t="s">
        <v>51</v>
      </c>
      <c r="F6" s="22" t="s">
        <v>56</v>
      </c>
      <c r="G6" s="22" t="s">
        <v>53</v>
      </c>
      <c r="H6" s="22" t="s">
        <v>30</v>
      </c>
      <c r="I6" s="22" t="s">
        <v>54</v>
      </c>
      <c r="J6" s="22" t="s">
        <v>56</v>
      </c>
      <c r="K6" s="518" t="s">
        <v>812</v>
      </c>
      <c r="L6" s="521" t="s">
        <v>817</v>
      </c>
      <c r="M6" s="521" t="s">
        <v>818</v>
      </c>
      <c r="N6" s="521" t="s">
        <v>815</v>
      </c>
      <c r="O6" s="22" t="s">
        <v>47</v>
      </c>
      <c r="P6" s="69">
        <v>2017</v>
      </c>
      <c r="Q6" s="414">
        <f t="shared" ca="1" si="0"/>
        <v>481703716.36790425</v>
      </c>
      <c r="R6" s="335" t="str">
        <f t="shared" ca="1" si="1"/>
        <v>N/A</v>
      </c>
      <c r="S6" s="335" t="str">
        <f t="shared" ca="1" si="2"/>
        <v>N/A</v>
      </c>
      <c r="T6" s="429" t="s">
        <v>48</v>
      </c>
      <c r="U6" s="22"/>
      <c r="V6" s="24"/>
      <c r="W6" s="21"/>
      <c r="Y6" s="490"/>
    </row>
    <row r="7" spans="1:25" ht="45">
      <c r="A7" s="31">
        <v>4</v>
      </c>
      <c r="B7" s="22" t="s">
        <v>39</v>
      </c>
      <c r="C7" s="22" t="s">
        <v>50</v>
      </c>
      <c r="D7" s="22" t="s">
        <v>41</v>
      </c>
      <c r="E7" s="23" t="s">
        <v>51</v>
      </c>
      <c r="F7" s="22" t="s">
        <v>57</v>
      </c>
      <c r="G7" s="22" t="s">
        <v>53</v>
      </c>
      <c r="H7" s="22" t="s">
        <v>30</v>
      </c>
      <c r="I7" s="22" t="s">
        <v>54</v>
      </c>
      <c r="J7" s="22" t="s">
        <v>57</v>
      </c>
      <c r="K7" s="518" t="s">
        <v>812</v>
      </c>
      <c r="L7" s="521" t="s">
        <v>819</v>
      </c>
      <c r="M7" s="521" t="s">
        <v>226</v>
      </c>
      <c r="N7" s="521" t="s">
        <v>815</v>
      </c>
      <c r="O7" s="22" t="s">
        <v>47</v>
      </c>
      <c r="P7" s="69">
        <v>2017</v>
      </c>
      <c r="Q7" s="414">
        <f t="shared" ca="1" si="0"/>
        <v>440258087.60130304</v>
      </c>
      <c r="R7" s="335" t="str">
        <f t="shared" ca="1" si="1"/>
        <v>N/A</v>
      </c>
      <c r="S7" s="335" t="str">
        <f t="shared" ca="1" si="2"/>
        <v>N/A</v>
      </c>
      <c r="T7" s="429" t="s">
        <v>48</v>
      </c>
      <c r="U7" s="22"/>
      <c r="V7" s="24"/>
      <c r="W7" s="21"/>
      <c r="Y7" s="490"/>
    </row>
    <row r="8" spans="1:25" ht="45">
      <c r="A8" s="31">
        <v>5</v>
      </c>
      <c r="B8" s="22" t="s">
        <v>39</v>
      </c>
      <c r="C8" s="22" t="s">
        <v>50</v>
      </c>
      <c r="D8" s="22" t="s">
        <v>41</v>
      </c>
      <c r="E8" s="23" t="s">
        <v>51</v>
      </c>
      <c r="F8" s="22" t="s">
        <v>58</v>
      </c>
      <c r="G8" s="22" t="s">
        <v>53</v>
      </c>
      <c r="H8" s="22" t="s">
        <v>30</v>
      </c>
      <c r="I8" s="22" t="s">
        <v>54</v>
      </c>
      <c r="J8" s="22" t="s">
        <v>58</v>
      </c>
      <c r="K8" s="518" t="s">
        <v>812</v>
      </c>
      <c r="L8" s="521" t="s">
        <v>820</v>
      </c>
      <c r="M8" s="521" t="s">
        <v>234</v>
      </c>
      <c r="N8" s="521" t="s">
        <v>815</v>
      </c>
      <c r="O8" s="22" t="s">
        <v>47</v>
      </c>
      <c r="P8" s="69">
        <v>2017</v>
      </c>
      <c r="Q8" s="414">
        <f t="shared" ca="1" si="0"/>
        <v>2102400.4276243942</v>
      </c>
      <c r="R8" s="335" t="str">
        <f t="shared" ca="1" si="1"/>
        <v>N/A</v>
      </c>
      <c r="S8" s="335" t="str">
        <f t="shared" ca="1" si="2"/>
        <v>N/A</v>
      </c>
      <c r="T8" s="429" t="s">
        <v>48</v>
      </c>
      <c r="U8" s="22" t="s">
        <v>49</v>
      </c>
      <c r="V8" s="24"/>
      <c r="W8" s="21"/>
      <c r="Y8" s="490"/>
    </row>
    <row r="9" spans="1:25" ht="45">
      <c r="A9" s="31">
        <v>6</v>
      </c>
      <c r="B9" s="22" t="s">
        <v>39</v>
      </c>
      <c r="C9" s="22" t="s">
        <v>50</v>
      </c>
      <c r="D9" s="22" t="s">
        <v>41</v>
      </c>
      <c r="E9" s="23" t="s">
        <v>51</v>
      </c>
      <c r="F9" s="22" t="s">
        <v>60</v>
      </c>
      <c r="G9" s="22" t="s">
        <v>53</v>
      </c>
      <c r="H9" s="22" t="s">
        <v>30</v>
      </c>
      <c r="I9" s="22" t="s">
        <v>54</v>
      </c>
      <c r="J9" s="22" t="s">
        <v>60</v>
      </c>
      <c r="K9" s="518" t="s">
        <v>812</v>
      </c>
      <c r="L9" s="521" t="s">
        <v>821</v>
      </c>
      <c r="M9" s="521" t="s">
        <v>822</v>
      </c>
      <c r="N9" s="521" t="s">
        <v>815</v>
      </c>
      <c r="O9" s="22" t="s">
        <v>47</v>
      </c>
      <c r="P9" s="69">
        <v>2017</v>
      </c>
      <c r="Q9" s="414">
        <f t="shared" ca="1" si="0"/>
        <v>1635555.3609204872</v>
      </c>
      <c r="R9" s="335" t="str">
        <f t="shared" ca="1" si="1"/>
        <v>N/A</v>
      </c>
      <c r="S9" s="335" t="str">
        <f t="shared" ca="1" si="2"/>
        <v>N/A</v>
      </c>
      <c r="T9" s="429" t="s">
        <v>48</v>
      </c>
      <c r="U9" s="22" t="s">
        <v>49</v>
      </c>
      <c r="V9" s="24"/>
      <c r="W9" s="21"/>
      <c r="Y9" s="490"/>
    </row>
    <row r="10" spans="1:25" ht="45">
      <c r="A10" s="31">
        <v>7</v>
      </c>
      <c r="B10" s="22" t="s">
        <v>39</v>
      </c>
      <c r="C10" s="22" t="s">
        <v>50</v>
      </c>
      <c r="D10" s="22" t="s">
        <v>41</v>
      </c>
      <c r="E10" s="23" t="s">
        <v>51</v>
      </c>
      <c r="F10" s="22" t="s">
        <v>61</v>
      </c>
      <c r="G10" s="22" t="s">
        <v>53</v>
      </c>
      <c r="H10" s="22" t="s">
        <v>30</v>
      </c>
      <c r="I10" s="22" t="s">
        <v>54</v>
      </c>
      <c r="J10" s="22" t="s">
        <v>61</v>
      </c>
      <c r="K10" s="518" t="s">
        <v>812</v>
      </c>
      <c r="L10" s="521" t="s">
        <v>823</v>
      </c>
      <c r="M10" s="521" t="s">
        <v>824</v>
      </c>
      <c r="N10" s="521" t="s">
        <v>815</v>
      </c>
      <c r="O10" s="22" t="s">
        <v>47</v>
      </c>
      <c r="P10" s="69">
        <v>2017</v>
      </c>
      <c r="Q10" s="414">
        <f t="shared" ca="1" si="0"/>
        <v>918866.07778339786</v>
      </c>
      <c r="R10" s="335" t="str">
        <f t="shared" ca="1" si="1"/>
        <v>N/A</v>
      </c>
      <c r="S10" s="335" t="str">
        <f t="shared" ca="1" si="2"/>
        <v>N/A</v>
      </c>
      <c r="T10" s="429" t="s">
        <v>48</v>
      </c>
      <c r="U10" s="22"/>
      <c r="V10" s="24"/>
      <c r="W10" s="21"/>
      <c r="Y10" s="490"/>
    </row>
    <row r="11" spans="1:25" ht="45">
      <c r="A11" s="31">
        <v>8</v>
      </c>
      <c r="B11" s="22" t="s">
        <v>39</v>
      </c>
      <c r="C11" s="22" t="s">
        <v>50</v>
      </c>
      <c r="D11" s="22" t="s">
        <v>41</v>
      </c>
      <c r="E11" s="23" t="s">
        <v>51</v>
      </c>
      <c r="F11" s="22" t="s">
        <v>62</v>
      </c>
      <c r="G11" s="22" t="s">
        <v>53</v>
      </c>
      <c r="H11" s="22" t="s">
        <v>30</v>
      </c>
      <c r="I11" s="22" t="s">
        <v>54</v>
      </c>
      <c r="J11" s="22" t="s">
        <v>62</v>
      </c>
      <c r="K11" s="518" t="s">
        <v>812</v>
      </c>
      <c r="L11" s="521" t="s">
        <v>825</v>
      </c>
      <c r="M11" s="521" t="s">
        <v>826</v>
      </c>
      <c r="N11" s="521" t="s">
        <v>815</v>
      </c>
      <c r="O11" s="22" t="s">
        <v>47</v>
      </c>
      <c r="P11" s="69">
        <v>2017</v>
      </c>
      <c r="Q11" s="414">
        <f t="shared" ca="1" si="0"/>
        <v>848279.64243081352</v>
      </c>
      <c r="R11" s="335" t="str">
        <f t="shared" ca="1" si="1"/>
        <v>N/A</v>
      </c>
      <c r="S11" s="335" t="str">
        <f t="shared" ca="1" si="2"/>
        <v>N/A</v>
      </c>
      <c r="T11" s="429" t="s">
        <v>48</v>
      </c>
      <c r="U11" s="22"/>
      <c r="V11" s="24"/>
      <c r="W11" s="21"/>
      <c r="Y11" s="490"/>
    </row>
    <row r="12" spans="1:25" ht="45">
      <c r="A12" s="31">
        <v>9</v>
      </c>
      <c r="B12" s="22" t="s">
        <v>39</v>
      </c>
      <c r="C12" s="22" t="s">
        <v>50</v>
      </c>
      <c r="D12" s="22" t="s">
        <v>41</v>
      </c>
      <c r="E12" s="23" t="s">
        <v>51</v>
      </c>
      <c r="F12" s="22" t="s">
        <v>63</v>
      </c>
      <c r="G12" s="22" t="s">
        <v>53</v>
      </c>
      <c r="H12" s="22" t="s">
        <v>30</v>
      </c>
      <c r="I12" s="22" t="s">
        <v>54</v>
      </c>
      <c r="J12" s="22" t="s">
        <v>63</v>
      </c>
      <c r="K12" s="518" t="s">
        <v>812</v>
      </c>
      <c r="L12" s="521" t="s">
        <v>827</v>
      </c>
      <c r="M12" s="521" t="s">
        <v>828</v>
      </c>
      <c r="N12" s="521" t="s">
        <v>815</v>
      </c>
      <c r="O12" s="22" t="s">
        <v>47</v>
      </c>
      <c r="P12" s="69">
        <v>2017</v>
      </c>
      <c r="Q12" s="414">
        <f t="shared" ca="1" si="0"/>
        <v>5453328495.2566442</v>
      </c>
      <c r="R12" s="335" t="str">
        <f t="shared" ca="1" si="1"/>
        <v>N/A</v>
      </c>
      <c r="S12" s="335" t="str">
        <f t="shared" ca="1" si="2"/>
        <v>N/A</v>
      </c>
      <c r="T12" s="429" t="s">
        <v>48</v>
      </c>
      <c r="U12" s="22"/>
      <c r="V12" s="24"/>
      <c r="W12" s="21"/>
      <c r="Y12" s="490"/>
    </row>
    <row r="13" spans="1:25" ht="45">
      <c r="A13" s="31">
        <v>10</v>
      </c>
      <c r="B13" s="22" t="s">
        <v>39</v>
      </c>
      <c r="C13" s="22" t="s">
        <v>50</v>
      </c>
      <c r="D13" s="22" t="s">
        <v>41</v>
      </c>
      <c r="E13" s="23" t="s">
        <v>51</v>
      </c>
      <c r="F13" s="22" t="s">
        <v>64</v>
      </c>
      <c r="G13" s="22" t="s">
        <v>53</v>
      </c>
      <c r="H13" s="22" t="s">
        <v>30</v>
      </c>
      <c r="I13" s="22" t="s">
        <v>54</v>
      </c>
      <c r="J13" s="22" t="s">
        <v>64</v>
      </c>
      <c r="K13" s="518" t="s">
        <v>812</v>
      </c>
      <c r="L13" s="521" t="s">
        <v>829</v>
      </c>
      <c r="M13" s="521" t="s">
        <v>830</v>
      </c>
      <c r="N13" s="521" t="s">
        <v>815</v>
      </c>
      <c r="O13" s="22" t="s">
        <v>47</v>
      </c>
      <c r="P13" s="69">
        <v>2017</v>
      </c>
      <c r="Q13" s="414">
        <f t="shared" ca="1" si="0"/>
        <v>4992750889.2698755</v>
      </c>
      <c r="R13" s="335" t="str">
        <f t="shared" ca="1" si="1"/>
        <v>N/A</v>
      </c>
      <c r="S13" s="335" t="str">
        <f t="shared" ca="1" si="2"/>
        <v>N/A</v>
      </c>
      <c r="T13" s="429" t="s">
        <v>48</v>
      </c>
      <c r="U13" s="22"/>
      <c r="V13" s="24"/>
      <c r="W13" s="21"/>
      <c r="Y13" s="490"/>
    </row>
    <row r="14" spans="1:25" ht="45">
      <c r="A14" s="31">
        <v>11</v>
      </c>
      <c r="B14" s="22" t="s">
        <v>39</v>
      </c>
      <c r="C14" s="22" t="s">
        <v>50</v>
      </c>
      <c r="D14" s="22" t="s">
        <v>41</v>
      </c>
      <c r="E14" s="23" t="s">
        <v>51</v>
      </c>
      <c r="F14" s="22" t="s">
        <v>65</v>
      </c>
      <c r="G14" s="22" t="s">
        <v>53</v>
      </c>
      <c r="H14" s="22" t="s">
        <v>30</v>
      </c>
      <c r="I14" s="22" t="s">
        <v>54</v>
      </c>
      <c r="J14" s="22" t="s">
        <v>65</v>
      </c>
      <c r="K14" s="518" t="s">
        <v>812</v>
      </c>
      <c r="L14" s="521" t="s">
        <v>831</v>
      </c>
      <c r="M14" s="521" t="s">
        <v>832</v>
      </c>
      <c r="N14" s="521" t="s">
        <v>815</v>
      </c>
      <c r="O14" s="22" t="s">
        <v>47</v>
      </c>
      <c r="P14" s="69">
        <v>2017</v>
      </c>
      <c r="Q14" s="414">
        <f t="shared" ca="1" si="0"/>
        <v>12096191.348439906</v>
      </c>
      <c r="R14" s="335" t="str">
        <f t="shared" ca="1" si="1"/>
        <v>N/A</v>
      </c>
      <c r="S14" s="335" t="str">
        <f t="shared" ca="1" si="2"/>
        <v>N/A</v>
      </c>
      <c r="T14" s="429" t="s">
        <v>48</v>
      </c>
      <c r="U14" s="22" t="s">
        <v>49</v>
      </c>
      <c r="V14" s="24"/>
      <c r="W14" s="21"/>
      <c r="Y14" s="490"/>
    </row>
    <row r="15" spans="1:25" ht="45">
      <c r="A15" s="31">
        <v>12</v>
      </c>
      <c r="B15" s="22" t="s">
        <v>39</v>
      </c>
      <c r="C15" s="22" t="s">
        <v>50</v>
      </c>
      <c r="D15" s="22" t="s">
        <v>41</v>
      </c>
      <c r="E15" s="23" t="s">
        <v>51</v>
      </c>
      <c r="F15" s="22" t="s">
        <v>66</v>
      </c>
      <c r="G15" s="22" t="s">
        <v>53</v>
      </c>
      <c r="H15" s="22" t="s">
        <v>30</v>
      </c>
      <c r="I15" s="22" t="s">
        <v>54</v>
      </c>
      <c r="J15" s="22" t="s">
        <v>66</v>
      </c>
      <c r="K15" s="518" t="s">
        <v>812</v>
      </c>
      <c r="L15" s="521" t="s">
        <v>833</v>
      </c>
      <c r="M15" s="521" t="s">
        <v>834</v>
      </c>
      <c r="N15" s="521" t="s">
        <v>815</v>
      </c>
      <c r="O15" s="22" t="s">
        <v>47</v>
      </c>
      <c r="P15" s="69">
        <v>2017</v>
      </c>
      <c r="Q15" s="414">
        <f t="shared" ca="1" si="0"/>
        <v>7509075.2939949445</v>
      </c>
      <c r="R15" s="335" t="str">
        <f t="shared" ca="1" si="1"/>
        <v>N/A</v>
      </c>
      <c r="S15" s="335" t="str">
        <f t="shared" ca="1" si="2"/>
        <v>N/A</v>
      </c>
      <c r="T15" s="429" t="s">
        <v>48</v>
      </c>
      <c r="U15" s="22" t="s">
        <v>49</v>
      </c>
      <c r="V15" s="24"/>
      <c r="W15" s="21"/>
      <c r="Y15" s="490"/>
    </row>
    <row r="16" spans="1:25" ht="45">
      <c r="A16" s="31">
        <v>13</v>
      </c>
      <c r="B16" s="22" t="s">
        <v>39</v>
      </c>
      <c r="C16" s="22" t="s">
        <v>50</v>
      </c>
      <c r="D16" s="22" t="s">
        <v>67</v>
      </c>
      <c r="E16" s="23" t="s">
        <v>68</v>
      </c>
      <c r="F16" s="22" t="s">
        <v>52</v>
      </c>
      <c r="G16" s="22" t="s">
        <v>69</v>
      </c>
      <c r="H16" s="22" t="s">
        <v>30</v>
      </c>
      <c r="I16" s="22" t="s">
        <v>70</v>
      </c>
      <c r="J16" s="22" t="s">
        <v>71</v>
      </c>
      <c r="K16" s="518" t="s">
        <v>812</v>
      </c>
      <c r="L16" s="521" t="s">
        <v>835</v>
      </c>
      <c r="M16" s="521" t="s">
        <v>836</v>
      </c>
      <c r="N16" s="521" t="s">
        <v>815</v>
      </c>
      <c r="O16" s="22" t="s">
        <v>47</v>
      </c>
      <c r="P16" s="69">
        <v>2017</v>
      </c>
      <c r="Q16" s="414">
        <f t="shared" ca="1" si="0"/>
        <v>4285.691113087415</v>
      </c>
      <c r="R16" s="335" t="str">
        <f t="shared" ca="1" si="1"/>
        <v>N/A</v>
      </c>
      <c r="S16" s="335" t="str">
        <f t="shared" ca="1" si="2"/>
        <v>N/A</v>
      </c>
      <c r="T16" s="429"/>
      <c r="U16" s="22"/>
      <c r="V16" s="24"/>
      <c r="W16" s="21"/>
      <c r="Y16" s="490"/>
    </row>
    <row r="17" spans="1:25" ht="45">
      <c r="A17" s="31">
        <v>14</v>
      </c>
      <c r="B17" s="22" t="s">
        <v>39</v>
      </c>
      <c r="C17" s="22" t="s">
        <v>50</v>
      </c>
      <c r="D17" s="22" t="s">
        <v>67</v>
      </c>
      <c r="E17" s="23" t="s">
        <v>68</v>
      </c>
      <c r="F17" s="22" t="s">
        <v>55</v>
      </c>
      <c r="G17" s="22" t="s">
        <v>69</v>
      </c>
      <c r="H17" s="22" t="s">
        <v>30</v>
      </c>
      <c r="I17" s="22" t="s">
        <v>70</v>
      </c>
      <c r="J17" s="22" t="s">
        <v>72</v>
      </c>
      <c r="K17" s="518" t="s">
        <v>812</v>
      </c>
      <c r="L17" s="521" t="s">
        <v>837</v>
      </c>
      <c r="M17" s="521" t="s">
        <v>838</v>
      </c>
      <c r="N17" s="521" t="s">
        <v>815</v>
      </c>
      <c r="O17" s="22" t="s">
        <v>47</v>
      </c>
      <c r="P17" s="69">
        <v>2017</v>
      </c>
      <c r="Q17" s="414">
        <f t="shared" ca="1" si="0"/>
        <v>3682.9592725007815</v>
      </c>
      <c r="R17" s="335" t="str">
        <f t="shared" ca="1" si="1"/>
        <v>N/A</v>
      </c>
      <c r="S17" s="335" t="str">
        <f t="shared" ca="1" si="2"/>
        <v>N/A</v>
      </c>
      <c r="T17" s="429"/>
      <c r="U17" s="22"/>
      <c r="V17" s="24"/>
      <c r="W17" s="21"/>
      <c r="Y17" s="490"/>
    </row>
    <row r="18" spans="1:25" ht="45">
      <c r="A18" s="31">
        <v>15</v>
      </c>
      <c r="B18" s="22" t="s">
        <v>39</v>
      </c>
      <c r="C18" s="22" t="s">
        <v>50</v>
      </c>
      <c r="D18" s="22" t="s">
        <v>67</v>
      </c>
      <c r="E18" s="23" t="s">
        <v>68</v>
      </c>
      <c r="F18" s="22" t="s">
        <v>56</v>
      </c>
      <c r="G18" s="22" t="s">
        <v>69</v>
      </c>
      <c r="H18" s="22" t="s">
        <v>30</v>
      </c>
      <c r="I18" s="22" t="s">
        <v>70</v>
      </c>
      <c r="J18" s="22" t="s">
        <v>73</v>
      </c>
      <c r="K18" s="518" t="s">
        <v>812</v>
      </c>
      <c r="L18" s="521" t="s">
        <v>839</v>
      </c>
      <c r="M18" s="521" t="s">
        <v>840</v>
      </c>
      <c r="N18" s="521" t="s">
        <v>815</v>
      </c>
      <c r="O18" s="22" t="s">
        <v>47</v>
      </c>
      <c r="P18" s="69">
        <v>2017</v>
      </c>
      <c r="Q18" s="414">
        <f t="shared" ca="1" si="0"/>
        <v>30399380.744004786</v>
      </c>
      <c r="R18" s="335" t="str">
        <f t="shared" ca="1" si="1"/>
        <v>N/A</v>
      </c>
      <c r="S18" s="335" t="str">
        <f t="shared" ca="1" si="2"/>
        <v>N/A</v>
      </c>
      <c r="T18" s="429"/>
      <c r="U18" s="22"/>
      <c r="V18" s="24"/>
      <c r="W18" s="21"/>
      <c r="Y18" s="490"/>
    </row>
    <row r="19" spans="1:25" ht="45">
      <c r="A19" s="31">
        <v>16</v>
      </c>
      <c r="B19" s="22" t="s">
        <v>39</v>
      </c>
      <c r="C19" s="22" t="s">
        <v>50</v>
      </c>
      <c r="D19" s="22" t="s">
        <v>67</v>
      </c>
      <c r="E19" s="23" t="s">
        <v>68</v>
      </c>
      <c r="F19" s="22" t="s">
        <v>57</v>
      </c>
      <c r="G19" s="22" t="s">
        <v>69</v>
      </c>
      <c r="H19" s="22" t="s">
        <v>30</v>
      </c>
      <c r="I19" s="22" t="s">
        <v>70</v>
      </c>
      <c r="J19" s="22" t="s">
        <v>74</v>
      </c>
      <c r="K19" s="518" t="s">
        <v>812</v>
      </c>
      <c r="L19" s="521" t="s">
        <v>841</v>
      </c>
      <c r="M19" s="521" t="s">
        <v>842</v>
      </c>
      <c r="N19" s="521" t="s">
        <v>815</v>
      </c>
      <c r="O19" s="22" t="s">
        <v>47</v>
      </c>
      <c r="P19" s="69">
        <v>2017</v>
      </c>
      <c r="Q19" s="414">
        <f t="shared" ca="1" si="0"/>
        <v>25846856.266083285</v>
      </c>
      <c r="R19" s="335" t="str">
        <f t="shared" ca="1" si="1"/>
        <v>N/A</v>
      </c>
      <c r="S19" s="335" t="str">
        <f t="shared" ca="1" si="2"/>
        <v>N/A</v>
      </c>
      <c r="T19" s="429"/>
      <c r="U19" s="22"/>
      <c r="V19" s="24"/>
      <c r="W19" s="21"/>
      <c r="Y19" s="490"/>
    </row>
    <row r="20" spans="1:25" ht="45">
      <c r="A20" s="31">
        <v>17</v>
      </c>
      <c r="B20" s="22" t="s">
        <v>39</v>
      </c>
      <c r="C20" s="22" t="s">
        <v>50</v>
      </c>
      <c r="D20" s="22" t="s">
        <v>67</v>
      </c>
      <c r="E20" s="23" t="s">
        <v>68</v>
      </c>
      <c r="F20" s="22" t="s">
        <v>58</v>
      </c>
      <c r="G20" s="22" t="s">
        <v>69</v>
      </c>
      <c r="H20" s="22" t="s">
        <v>30</v>
      </c>
      <c r="I20" s="22" t="s">
        <v>70</v>
      </c>
      <c r="J20" s="22" t="s">
        <v>75</v>
      </c>
      <c r="K20" s="518" t="s">
        <v>812</v>
      </c>
      <c r="L20" s="521" t="s">
        <v>843</v>
      </c>
      <c r="M20" s="521" t="s">
        <v>844</v>
      </c>
      <c r="N20" s="521" t="s">
        <v>815</v>
      </c>
      <c r="O20" s="22" t="s">
        <v>47</v>
      </c>
      <c r="P20" s="69">
        <v>2017</v>
      </c>
      <c r="Q20" s="414">
        <f t="shared" ca="1" si="0"/>
        <v>-150539.52781050606</v>
      </c>
      <c r="R20" s="335" t="str">
        <f t="shared" ca="1" si="1"/>
        <v>N/A</v>
      </c>
      <c r="S20" s="335" t="str">
        <f t="shared" ca="1" si="2"/>
        <v>N/A</v>
      </c>
      <c r="T20" s="429" t="s">
        <v>59</v>
      </c>
      <c r="U20" s="22" t="str">
        <f>Definitions!C$7</f>
        <v>D.18-05-041: DAC = Bill accounts in census tracts corresponding to census tracts in the top quartile of CalEnviroScreen 3.0 scores.</v>
      </c>
      <c r="V20" s="24"/>
      <c r="W20" s="21"/>
      <c r="Y20" s="490"/>
    </row>
    <row r="21" spans="1:25" ht="45">
      <c r="A21" s="31">
        <v>18</v>
      </c>
      <c r="B21" s="22" t="s">
        <v>39</v>
      </c>
      <c r="C21" s="22" t="s">
        <v>50</v>
      </c>
      <c r="D21" s="22" t="s">
        <v>67</v>
      </c>
      <c r="E21" s="23" t="s">
        <v>68</v>
      </c>
      <c r="F21" s="22" t="s">
        <v>60</v>
      </c>
      <c r="G21" s="22" t="s">
        <v>69</v>
      </c>
      <c r="H21" s="22" t="s">
        <v>30</v>
      </c>
      <c r="I21" s="22" t="s">
        <v>70</v>
      </c>
      <c r="J21" s="22" t="s">
        <v>76</v>
      </c>
      <c r="K21" s="518" t="s">
        <v>812</v>
      </c>
      <c r="L21" s="521" t="s">
        <v>845</v>
      </c>
      <c r="M21" s="521" t="s">
        <v>846</v>
      </c>
      <c r="N21" s="521" t="s">
        <v>815</v>
      </c>
      <c r="O21" s="22" t="s">
        <v>47</v>
      </c>
      <c r="P21" s="69">
        <v>2017</v>
      </c>
      <c r="Q21" s="414">
        <f t="shared" ca="1" si="0"/>
        <v>-190556.01303688195</v>
      </c>
      <c r="R21" s="335" t="str">
        <f t="shared" ca="1" si="1"/>
        <v>N/A</v>
      </c>
      <c r="S21" s="335" t="str">
        <f t="shared" ca="1" si="2"/>
        <v>N/A</v>
      </c>
      <c r="T21" s="429" t="s">
        <v>59</v>
      </c>
      <c r="U21" s="22" t="str">
        <f>Definitions!C$7</f>
        <v>D.18-05-041: DAC = Bill accounts in census tracts corresponding to census tracts in the top quartile of CalEnviroScreen 3.0 scores.</v>
      </c>
      <c r="V21" s="24"/>
      <c r="W21" s="21"/>
      <c r="Y21" s="490"/>
    </row>
    <row r="22" spans="1:25" ht="45">
      <c r="A22" s="31">
        <v>19</v>
      </c>
      <c r="B22" s="22" t="s">
        <v>39</v>
      </c>
      <c r="C22" s="22" t="s">
        <v>50</v>
      </c>
      <c r="D22" s="22" t="s">
        <v>67</v>
      </c>
      <c r="E22" s="23" t="s">
        <v>68</v>
      </c>
      <c r="F22" s="22" t="s">
        <v>61</v>
      </c>
      <c r="G22" s="22" t="s">
        <v>69</v>
      </c>
      <c r="H22" s="22" t="s">
        <v>30</v>
      </c>
      <c r="I22" s="22" t="s">
        <v>70</v>
      </c>
      <c r="J22" s="22" t="s">
        <v>77</v>
      </c>
      <c r="K22" s="518" t="s">
        <v>812</v>
      </c>
      <c r="L22" s="521" t="s">
        <v>847</v>
      </c>
      <c r="M22" s="521" t="s">
        <v>848</v>
      </c>
      <c r="N22" s="521" t="s">
        <v>815</v>
      </c>
      <c r="O22" s="22" t="s">
        <v>47</v>
      </c>
      <c r="P22" s="69">
        <v>2017</v>
      </c>
      <c r="Q22" s="414">
        <f t="shared" ca="1" si="0"/>
        <v>49935.854901536833</v>
      </c>
      <c r="R22" s="335" t="str">
        <f t="shared" ca="1" si="1"/>
        <v>N/A</v>
      </c>
      <c r="S22" s="335" t="str">
        <f t="shared" ca="1" si="2"/>
        <v>N/A</v>
      </c>
      <c r="T22" s="429"/>
      <c r="U22" s="22"/>
      <c r="V22" s="24"/>
      <c r="W22" s="21"/>
      <c r="Y22" s="490"/>
    </row>
    <row r="23" spans="1:25" ht="45">
      <c r="A23" s="31">
        <v>20</v>
      </c>
      <c r="B23" s="22" t="s">
        <v>39</v>
      </c>
      <c r="C23" s="22" t="s">
        <v>50</v>
      </c>
      <c r="D23" s="22" t="s">
        <v>67</v>
      </c>
      <c r="E23" s="23" t="s">
        <v>68</v>
      </c>
      <c r="F23" s="22" t="s">
        <v>62</v>
      </c>
      <c r="G23" s="22" t="s">
        <v>69</v>
      </c>
      <c r="H23" s="22" t="s">
        <v>30</v>
      </c>
      <c r="I23" s="22" t="s">
        <v>70</v>
      </c>
      <c r="J23" s="22" t="s">
        <v>78</v>
      </c>
      <c r="K23" s="518" t="s">
        <v>812</v>
      </c>
      <c r="L23" s="521" t="s">
        <v>849</v>
      </c>
      <c r="M23" s="521" t="s">
        <v>850</v>
      </c>
      <c r="N23" s="521" t="s">
        <v>815</v>
      </c>
      <c r="O23" s="22" t="s">
        <v>47</v>
      </c>
      <c r="P23" s="69">
        <v>2017</v>
      </c>
      <c r="Q23" s="414">
        <f t="shared" ca="1" si="0"/>
        <v>43831.899768361509</v>
      </c>
      <c r="R23" s="335" t="str">
        <f t="shared" ca="1" si="1"/>
        <v>N/A</v>
      </c>
      <c r="S23" s="335" t="str">
        <f t="shared" ca="1" si="2"/>
        <v>N/A</v>
      </c>
      <c r="T23" s="429"/>
      <c r="U23" s="22"/>
      <c r="V23" s="24"/>
      <c r="W23" s="21"/>
      <c r="Y23" s="490"/>
    </row>
    <row r="24" spans="1:25" ht="45">
      <c r="A24" s="31">
        <v>21</v>
      </c>
      <c r="B24" s="22" t="s">
        <v>39</v>
      </c>
      <c r="C24" s="22" t="s">
        <v>50</v>
      </c>
      <c r="D24" s="22" t="s">
        <v>67</v>
      </c>
      <c r="E24" s="23" t="s">
        <v>68</v>
      </c>
      <c r="F24" s="22" t="s">
        <v>63</v>
      </c>
      <c r="G24" s="22" t="s">
        <v>69</v>
      </c>
      <c r="H24" s="22" t="s">
        <v>30</v>
      </c>
      <c r="I24" s="22" t="s">
        <v>70</v>
      </c>
      <c r="J24" s="22" t="s">
        <v>79</v>
      </c>
      <c r="K24" s="518" t="s">
        <v>812</v>
      </c>
      <c r="L24" s="521" t="s">
        <v>851</v>
      </c>
      <c r="M24" s="521" t="s">
        <v>852</v>
      </c>
      <c r="N24" s="521" t="s">
        <v>815</v>
      </c>
      <c r="O24" s="22" t="s">
        <v>47</v>
      </c>
      <c r="P24" s="69">
        <v>2017</v>
      </c>
      <c r="Q24" s="414">
        <f t="shared" ca="1" si="0"/>
        <v>379473611.89551783</v>
      </c>
      <c r="R24" s="335" t="str">
        <f t="shared" ca="1" si="1"/>
        <v>N/A</v>
      </c>
      <c r="S24" s="335" t="str">
        <f t="shared" ca="1" si="2"/>
        <v>N/A</v>
      </c>
      <c r="T24" s="429"/>
      <c r="U24" s="22"/>
      <c r="V24" s="24"/>
      <c r="W24" s="21"/>
      <c r="Y24" s="490"/>
    </row>
    <row r="25" spans="1:25" ht="45">
      <c r="A25" s="31">
        <v>22</v>
      </c>
      <c r="B25" s="22" t="s">
        <v>39</v>
      </c>
      <c r="C25" s="22" t="s">
        <v>50</v>
      </c>
      <c r="D25" s="22" t="s">
        <v>67</v>
      </c>
      <c r="E25" s="23" t="s">
        <v>68</v>
      </c>
      <c r="F25" s="22" t="s">
        <v>64</v>
      </c>
      <c r="G25" s="22" t="s">
        <v>69</v>
      </c>
      <c r="H25" s="22" t="s">
        <v>30</v>
      </c>
      <c r="I25" s="22" t="s">
        <v>70</v>
      </c>
      <c r="J25" s="22" t="s">
        <v>80</v>
      </c>
      <c r="K25" s="518" t="s">
        <v>812</v>
      </c>
      <c r="L25" s="521" t="s">
        <v>853</v>
      </c>
      <c r="M25" s="521" t="s">
        <v>854</v>
      </c>
      <c r="N25" s="521" t="s">
        <v>815</v>
      </c>
      <c r="O25" s="22" t="s">
        <v>47</v>
      </c>
      <c r="P25" s="69">
        <v>2017</v>
      </c>
      <c r="Q25" s="414">
        <f t="shared" ca="1" si="0"/>
        <v>331820857.0606364</v>
      </c>
      <c r="R25" s="335" t="str">
        <f t="shared" ca="1" si="1"/>
        <v>N/A</v>
      </c>
      <c r="S25" s="335" t="str">
        <f t="shared" ca="1" si="2"/>
        <v>N/A</v>
      </c>
      <c r="T25" s="429"/>
      <c r="U25" s="22"/>
      <c r="V25" s="24"/>
      <c r="W25" s="21"/>
      <c r="Y25" s="490"/>
    </row>
    <row r="26" spans="1:25" ht="45">
      <c r="A26" s="31">
        <v>23</v>
      </c>
      <c r="B26" s="22" t="s">
        <v>39</v>
      </c>
      <c r="C26" s="22" t="s">
        <v>50</v>
      </c>
      <c r="D26" s="22" t="s">
        <v>67</v>
      </c>
      <c r="E26" s="23" t="s">
        <v>68</v>
      </c>
      <c r="F26" s="22" t="s">
        <v>65</v>
      </c>
      <c r="G26" s="22" t="s">
        <v>69</v>
      </c>
      <c r="H26" s="22" t="s">
        <v>30</v>
      </c>
      <c r="I26" s="22" t="s">
        <v>70</v>
      </c>
      <c r="J26" s="22" t="s">
        <v>81</v>
      </c>
      <c r="K26" s="518" t="s">
        <v>812</v>
      </c>
      <c r="L26" s="521" t="s">
        <v>855</v>
      </c>
      <c r="M26" s="521" t="s">
        <v>856</v>
      </c>
      <c r="N26" s="521" t="s">
        <v>815</v>
      </c>
      <c r="O26" s="22" t="s">
        <v>47</v>
      </c>
      <c r="P26" s="69">
        <v>2017</v>
      </c>
      <c r="Q26" s="414">
        <f t="shared" ca="1" si="0"/>
        <v>-2209074.9557754756</v>
      </c>
      <c r="R26" s="335" t="str">
        <f t="shared" ca="1" si="1"/>
        <v>N/A</v>
      </c>
      <c r="S26" s="335" t="str">
        <f t="shared" ca="1" si="2"/>
        <v>N/A</v>
      </c>
      <c r="T26" s="429" t="s">
        <v>59</v>
      </c>
      <c r="U26" s="22" t="str">
        <f>Definitions!C$7</f>
        <v>D.18-05-041: DAC = Bill accounts in census tracts corresponding to census tracts in the top quartile of CalEnviroScreen 3.0 scores.</v>
      </c>
      <c r="V26" s="24"/>
      <c r="W26" s="21"/>
      <c r="Y26" s="490"/>
    </row>
    <row r="27" spans="1:25" ht="45">
      <c r="A27" s="31">
        <v>24</v>
      </c>
      <c r="B27" s="22" t="s">
        <v>39</v>
      </c>
      <c r="C27" s="22" t="s">
        <v>50</v>
      </c>
      <c r="D27" s="22" t="s">
        <v>67</v>
      </c>
      <c r="E27" s="23" t="s">
        <v>68</v>
      </c>
      <c r="F27" s="22" t="s">
        <v>66</v>
      </c>
      <c r="G27" s="22" t="s">
        <v>69</v>
      </c>
      <c r="H27" s="22" t="s">
        <v>30</v>
      </c>
      <c r="I27" s="22" t="s">
        <v>70</v>
      </c>
      <c r="J27" s="22" t="s">
        <v>82</v>
      </c>
      <c r="K27" s="518" t="s">
        <v>812</v>
      </c>
      <c r="L27" s="521" t="s">
        <v>857</v>
      </c>
      <c r="M27" s="521" t="s">
        <v>858</v>
      </c>
      <c r="N27" s="521" t="s">
        <v>815</v>
      </c>
      <c r="O27" s="22" t="s">
        <v>47</v>
      </c>
      <c r="P27" s="69">
        <v>2017</v>
      </c>
      <c r="Q27" s="414">
        <f t="shared" ca="1" si="0"/>
        <v>-2829173.7813169812</v>
      </c>
      <c r="R27" s="335" t="str">
        <f t="shared" ca="1" si="1"/>
        <v>N/A</v>
      </c>
      <c r="S27" s="335" t="str">
        <f t="shared" ca="1" si="2"/>
        <v>N/A</v>
      </c>
      <c r="T27" s="429" t="s">
        <v>59</v>
      </c>
      <c r="U27" s="22" t="str">
        <f>Definitions!C$7</f>
        <v>D.18-05-041: DAC = Bill accounts in census tracts corresponding to census tracts in the top quartile of CalEnviroScreen 3.0 scores.</v>
      </c>
      <c r="V27" s="24"/>
      <c r="W27" s="21"/>
      <c r="Y27" s="490"/>
    </row>
    <row r="28" spans="1:25" ht="45">
      <c r="A28" s="31">
        <v>25</v>
      </c>
      <c r="B28" s="22" t="s">
        <v>39</v>
      </c>
      <c r="C28" s="22" t="s">
        <v>50</v>
      </c>
      <c r="D28" s="22" t="s">
        <v>83</v>
      </c>
      <c r="E28" s="23" t="s">
        <v>84</v>
      </c>
      <c r="F28" s="22" t="s">
        <v>52</v>
      </c>
      <c r="G28" s="22" t="s">
        <v>85</v>
      </c>
      <c r="H28" s="22" t="s">
        <v>30</v>
      </c>
      <c r="I28" s="22" t="s">
        <v>86</v>
      </c>
      <c r="J28" s="22" t="s">
        <v>87</v>
      </c>
      <c r="K28" s="518" t="s">
        <v>812</v>
      </c>
      <c r="L28" s="521" t="s">
        <v>859</v>
      </c>
      <c r="M28" s="521" t="s">
        <v>860</v>
      </c>
      <c r="N28" s="521" t="s">
        <v>815</v>
      </c>
      <c r="O28" s="22" t="s">
        <v>47</v>
      </c>
      <c r="P28" s="69">
        <v>2017</v>
      </c>
      <c r="Q28" s="414">
        <f t="shared" ca="1" si="0"/>
        <v>1588.4303456033253</v>
      </c>
      <c r="R28" s="335" t="str">
        <f t="shared" ca="1" si="1"/>
        <v>N/A</v>
      </c>
      <c r="S28" s="335" t="str">
        <f t="shared" ca="1" si="2"/>
        <v>N/A</v>
      </c>
      <c r="T28" s="429"/>
      <c r="U28" s="22"/>
      <c r="V28" s="24"/>
      <c r="W28" s="21"/>
      <c r="Y28" s="490"/>
    </row>
    <row r="29" spans="1:25" ht="45">
      <c r="A29" s="31">
        <v>26</v>
      </c>
      <c r="B29" s="22" t="s">
        <v>39</v>
      </c>
      <c r="C29" s="22" t="s">
        <v>50</v>
      </c>
      <c r="D29" s="22" t="s">
        <v>83</v>
      </c>
      <c r="E29" s="23" t="s">
        <v>84</v>
      </c>
      <c r="F29" s="22" t="s">
        <v>55</v>
      </c>
      <c r="G29" s="22" t="s">
        <v>85</v>
      </c>
      <c r="H29" s="22" t="s">
        <v>30</v>
      </c>
      <c r="I29" s="22" t="s">
        <v>86</v>
      </c>
      <c r="J29" s="22" t="s">
        <v>88</v>
      </c>
      <c r="K29" s="518" t="s">
        <v>812</v>
      </c>
      <c r="L29" s="521" t="s">
        <v>861</v>
      </c>
      <c r="M29" s="521" t="s">
        <v>862</v>
      </c>
      <c r="N29" s="521" t="s">
        <v>815</v>
      </c>
      <c r="O29" s="22" t="s">
        <v>47</v>
      </c>
      <c r="P29" s="69">
        <v>2017</v>
      </c>
      <c r="Q29" s="414">
        <f t="shared" ca="1" si="0"/>
        <v>1405.8268413474159</v>
      </c>
      <c r="R29" s="335" t="str">
        <f t="shared" ca="1" si="1"/>
        <v>N/A</v>
      </c>
      <c r="S29" s="335" t="str">
        <f t="shared" ca="1" si="2"/>
        <v>N/A</v>
      </c>
      <c r="T29" s="429"/>
      <c r="U29" s="22"/>
      <c r="V29" s="24"/>
      <c r="W29" s="21"/>
      <c r="Y29" s="490"/>
    </row>
    <row r="30" spans="1:25" ht="45">
      <c r="A30" s="31">
        <v>27</v>
      </c>
      <c r="B30" s="22" t="s">
        <v>39</v>
      </c>
      <c r="C30" s="22" t="s">
        <v>50</v>
      </c>
      <c r="D30" s="22" t="s">
        <v>83</v>
      </c>
      <c r="E30" s="23" t="s">
        <v>84</v>
      </c>
      <c r="F30" s="22" t="s">
        <v>56</v>
      </c>
      <c r="G30" s="22" t="s">
        <v>85</v>
      </c>
      <c r="H30" s="22" t="s">
        <v>30</v>
      </c>
      <c r="I30" s="22" t="s">
        <v>86</v>
      </c>
      <c r="J30" s="22" t="s">
        <v>89</v>
      </c>
      <c r="K30" s="518" t="s">
        <v>812</v>
      </c>
      <c r="L30" s="521" t="s">
        <v>863</v>
      </c>
      <c r="M30" s="521" t="s">
        <v>864</v>
      </c>
      <c r="N30" s="521" t="s">
        <v>815</v>
      </c>
      <c r="O30" s="22" t="s">
        <v>47</v>
      </c>
      <c r="P30" s="69">
        <v>2017</v>
      </c>
      <c r="Q30" s="414">
        <f t="shared" ca="1" si="0"/>
        <v>10289594.148304887</v>
      </c>
      <c r="R30" s="335" t="str">
        <f t="shared" ca="1" si="1"/>
        <v>N/A</v>
      </c>
      <c r="S30" s="335" t="str">
        <f t="shared" ca="1" si="2"/>
        <v>N/A</v>
      </c>
      <c r="T30" s="429"/>
      <c r="U30" s="22"/>
      <c r="V30" s="24"/>
      <c r="W30" s="21"/>
      <c r="Y30" s="490"/>
    </row>
    <row r="31" spans="1:25" ht="45">
      <c r="A31" s="31">
        <v>28</v>
      </c>
      <c r="B31" s="22" t="s">
        <v>39</v>
      </c>
      <c r="C31" s="22" t="s">
        <v>50</v>
      </c>
      <c r="D31" s="22" t="s">
        <v>83</v>
      </c>
      <c r="E31" s="23" t="s">
        <v>84</v>
      </c>
      <c r="F31" s="22" t="s">
        <v>57</v>
      </c>
      <c r="G31" s="22" t="s">
        <v>85</v>
      </c>
      <c r="H31" s="22" t="s">
        <v>30</v>
      </c>
      <c r="I31" s="22" t="s">
        <v>86</v>
      </c>
      <c r="J31" s="22" t="s">
        <v>57</v>
      </c>
      <c r="K31" s="518" t="s">
        <v>812</v>
      </c>
      <c r="L31" s="521" t="s">
        <v>865</v>
      </c>
      <c r="M31" s="521" t="s">
        <v>866</v>
      </c>
      <c r="N31" s="521" t="s">
        <v>815</v>
      </c>
      <c r="O31" s="22" t="s">
        <v>47</v>
      </c>
      <c r="P31" s="69">
        <v>2017</v>
      </c>
      <c r="Q31" s="414">
        <f t="shared" ca="1" si="0"/>
        <v>9220973.1133457366</v>
      </c>
      <c r="R31" s="335" t="str">
        <f t="shared" ca="1" si="1"/>
        <v>N/A</v>
      </c>
      <c r="S31" s="335" t="str">
        <f t="shared" ca="1" si="2"/>
        <v>N/A</v>
      </c>
      <c r="T31" s="429"/>
      <c r="U31" s="22"/>
      <c r="V31" s="24"/>
      <c r="W31" s="21"/>
      <c r="Y31" s="490"/>
    </row>
    <row r="32" spans="1:25" ht="105">
      <c r="A32" s="31">
        <v>29</v>
      </c>
      <c r="B32" s="22" t="s">
        <v>39</v>
      </c>
      <c r="C32" s="22" t="s">
        <v>50</v>
      </c>
      <c r="D32" s="22" t="s">
        <v>83</v>
      </c>
      <c r="E32" s="23" t="s">
        <v>84</v>
      </c>
      <c r="F32" s="22" t="s">
        <v>58</v>
      </c>
      <c r="G32" s="22" t="s">
        <v>85</v>
      </c>
      <c r="H32" s="22" t="s">
        <v>30</v>
      </c>
      <c r="I32" s="22" t="s">
        <v>86</v>
      </c>
      <c r="J32" s="22" t="s">
        <v>58</v>
      </c>
      <c r="K32" s="518" t="s">
        <v>812</v>
      </c>
      <c r="L32" s="521" t="s">
        <v>867</v>
      </c>
      <c r="M32" s="521" t="s">
        <v>868</v>
      </c>
      <c r="N32" s="521" t="s">
        <v>815</v>
      </c>
      <c r="O32" s="22" t="s">
        <v>47</v>
      </c>
      <c r="P32" s="69">
        <v>2017</v>
      </c>
      <c r="Q32" s="414">
        <f t="shared" ca="1" si="0"/>
        <v>-110984.98251064183</v>
      </c>
      <c r="R32" s="335" t="str">
        <f t="shared" ca="1" si="1"/>
        <v>N/A</v>
      </c>
      <c r="S32" s="335" t="str">
        <f t="shared" ca="1" si="2"/>
        <v>N/A</v>
      </c>
      <c r="T32" s="429" t="s">
        <v>59</v>
      </c>
      <c r="U32"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2" s="24"/>
      <c r="W32" s="21"/>
      <c r="Y32" s="490"/>
    </row>
    <row r="33" spans="1:25" ht="105">
      <c r="A33" s="31">
        <v>30</v>
      </c>
      <c r="B33" s="22" t="s">
        <v>39</v>
      </c>
      <c r="C33" s="22" t="s">
        <v>50</v>
      </c>
      <c r="D33" s="22" t="s">
        <v>83</v>
      </c>
      <c r="E33" s="23" t="s">
        <v>84</v>
      </c>
      <c r="F33" s="22" t="s">
        <v>60</v>
      </c>
      <c r="G33" s="22" t="s">
        <v>85</v>
      </c>
      <c r="H33" s="22" t="s">
        <v>30</v>
      </c>
      <c r="I33" s="22" t="s">
        <v>86</v>
      </c>
      <c r="J33" s="22" t="s">
        <v>60</v>
      </c>
      <c r="K33" s="518" t="s">
        <v>812</v>
      </c>
      <c r="L33" s="521" t="s">
        <v>869</v>
      </c>
      <c r="M33" s="521" t="s">
        <v>870</v>
      </c>
      <c r="N33" s="521" t="s">
        <v>815</v>
      </c>
      <c r="O33" s="22" t="s">
        <v>47</v>
      </c>
      <c r="P33" s="69">
        <v>2017</v>
      </c>
      <c r="Q33" s="414">
        <f t="shared" ca="1" si="0"/>
        <v>-104644.40102857532</v>
      </c>
      <c r="R33" s="335" t="str">
        <f t="shared" ca="1" si="1"/>
        <v>N/A</v>
      </c>
      <c r="S33" s="335" t="str">
        <f t="shared" ca="1" si="2"/>
        <v>N/A</v>
      </c>
      <c r="T33" s="429" t="s">
        <v>59</v>
      </c>
      <c r="U3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3" s="24"/>
      <c r="W33" s="21"/>
      <c r="Y33" s="490"/>
    </row>
    <row r="34" spans="1:25" ht="45">
      <c r="A34" s="31">
        <v>31</v>
      </c>
      <c r="B34" s="22" t="s">
        <v>39</v>
      </c>
      <c r="C34" s="22" t="s">
        <v>50</v>
      </c>
      <c r="D34" s="22" t="s">
        <v>83</v>
      </c>
      <c r="E34" s="23" t="s">
        <v>84</v>
      </c>
      <c r="F34" s="22" t="s">
        <v>61</v>
      </c>
      <c r="G34" s="22" t="s">
        <v>85</v>
      </c>
      <c r="H34" s="22" t="s">
        <v>30</v>
      </c>
      <c r="I34" s="22" t="s">
        <v>86</v>
      </c>
      <c r="J34" s="22" t="s">
        <v>61</v>
      </c>
      <c r="K34" s="518" t="s">
        <v>812</v>
      </c>
      <c r="L34" s="521" t="s">
        <v>871</v>
      </c>
      <c r="M34" s="521" t="s">
        <v>872</v>
      </c>
      <c r="N34" s="521" t="s">
        <v>815</v>
      </c>
      <c r="O34" s="22" t="s">
        <v>47</v>
      </c>
      <c r="P34" s="69">
        <v>2017</v>
      </c>
      <c r="Q34" s="414">
        <f t="shared" ca="1" si="0"/>
        <v>18147.892622313058</v>
      </c>
      <c r="R34" s="335" t="str">
        <f t="shared" ca="1" si="1"/>
        <v>N/A</v>
      </c>
      <c r="S34" s="335" t="str">
        <f t="shared" ca="1" si="2"/>
        <v>N/A</v>
      </c>
      <c r="T34" s="429"/>
      <c r="U34" s="22"/>
      <c r="V34" s="24"/>
      <c r="W34" s="21"/>
      <c r="Y34" s="490"/>
    </row>
    <row r="35" spans="1:25" ht="45">
      <c r="A35" s="31">
        <v>32</v>
      </c>
      <c r="B35" s="22" t="s">
        <v>39</v>
      </c>
      <c r="C35" s="22" t="s">
        <v>50</v>
      </c>
      <c r="D35" s="22" t="s">
        <v>83</v>
      </c>
      <c r="E35" s="23" t="s">
        <v>84</v>
      </c>
      <c r="F35" s="22" t="s">
        <v>62</v>
      </c>
      <c r="G35" s="22" t="s">
        <v>85</v>
      </c>
      <c r="H35" s="22" t="s">
        <v>30</v>
      </c>
      <c r="I35" s="22" t="s">
        <v>86</v>
      </c>
      <c r="J35" s="22" t="s">
        <v>62</v>
      </c>
      <c r="K35" s="518" t="s">
        <v>812</v>
      </c>
      <c r="L35" s="521" t="s">
        <v>873</v>
      </c>
      <c r="M35" s="521" t="s">
        <v>874</v>
      </c>
      <c r="N35" s="521" t="s">
        <v>815</v>
      </c>
      <c r="O35" s="22" t="s">
        <v>47</v>
      </c>
      <c r="P35" s="69">
        <v>2017</v>
      </c>
      <c r="Q35" s="414">
        <f t="shared" ref="Q35:Q66" ca="1" si="3">SUMIF(INDIRECT("'"&amp;K35&amp;"'!c:c"),A35,INDIRECT("'"&amp;K35&amp;"'!e:e"))</f>
        <v>16486.053892001019</v>
      </c>
      <c r="R35" s="335" t="str">
        <f t="shared" ca="1" si="1"/>
        <v>N/A</v>
      </c>
      <c r="S35" s="335" t="str">
        <f t="shared" ca="1" si="2"/>
        <v>N/A</v>
      </c>
      <c r="T35" s="429"/>
      <c r="U35" s="22"/>
      <c r="V35" s="24"/>
      <c r="W35" s="21"/>
      <c r="Y35" s="490"/>
    </row>
    <row r="36" spans="1:25" ht="45">
      <c r="A36" s="31">
        <v>33</v>
      </c>
      <c r="B36" s="22" t="s">
        <v>39</v>
      </c>
      <c r="C36" s="22" t="s">
        <v>50</v>
      </c>
      <c r="D36" s="22" t="s">
        <v>83</v>
      </c>
      <c r="E36" s="23" t="s">
        <v>84</v>
      </c>
      <c r="F36" s="22" t="s">
        <v>63</v>
      </c>
      <c r="G36" s="22" t="s">
        <v>85</v>
      </c>
      <c r="H36" s="22" t="s">
        <v>30</v>
      </c>
      <c r="I36" s="22" t="s">
        <v>86</v>
      </c>
      <c r="J36" s="22" t="s">
        <v>63</v>
      </c>
      <c r="K36" s="518" t="s">
        <v>812</v>
      </c>
      <c r="L36" s="521" t="s">
        <v>875</v>
      </c>
      <c r="M36" s="521" t="s">
        <v>876</v>
      </c>
      <c r="N36" s="521" t="s">
        <v>815</v>
      </c>
      <c r="O36" s="22" t="s">
        <v>47</v>
      </c>
      <c r="P36" s="69">
        <v>2017</v>
      </c>
      <c r="Q36" s="414">
        <f t="shared" ca="1" si="3"/>
        <v>133922082.97886318</v>
      </c>
      <c r="R36" s="335" t="str">
        <f t="shared" ca="1" si="1"/>
        <v>N/A</v>
      </c>
      <c r="S36" s="335" t="str">
        <f t="shared" ca="1" si="2"/>
        <v>N/A</v>
      </c>
      <c r="T36" s="429"/>
      <c r="U36" s="22"/>
      <c r="V36" s="24"/>
      <c r="W36" s="21"/>
      <c r="Y36" s="490"/>
    </row>
    <row r="37" spans="1:25" ht="45">
      <c r="A37" s="31">
        <v>34</v>
      </c>
      <c r="B37" s="22" t="s">
        <v>39</v>
      </c>
      <c r="C37" s="22" t="s">
        <v>50</v>
      </c>
      <c r="D37" s="22" t="s">
        <v>83</v>
      </c>
      <c r="E37" s="23" t="s">
        <v>84</v>
      </c>
      <c r="F37" s="22" t="s">
        <v>64</v>
      </c>
      <c r="G37" s="22" t="s">
        <v>85</v>
      </c>
      <c r="H37" s="22" t="s">
        <v>30</v>
      </c>
      <c r="I37" s="22" t="s">
        <v>86</v>
      </c>
      <c r="J37" s="22" t="s">
        <v>64</v>
      </c>
      <c r="K37" s="518" t="s">
        <v>812</v>
      </c>
      <c r="L37" s="521" t="s">
        <v>877</v>
      </c>
      <c r="M37" s="521" t="s">
        <v>878</v>
      </c>
      <c r="N37" s="521" t="s">
        <v>815</v>
      </c>
      <c r="O37" s="22" t="s">
        <v>47</v>
      </c>
      <c r="P37" s="69">
        <v>2017</v>
      </c>
      <c r="Q37" s="414">
        <f t="shared" ca="1" si="3"/>
        <v>122257999.19741485</v>
      </c>
      <c r="R37" s="335" t="str">
        <f t="shared" ca="1" si="1"/>
        <v>N/A</v>
      </c>
      <c r="S37" s="335" t="str">
        <f t="shared" ca="1" si="2"/>
        <v>N/A</v>
      </c>
      <c r="T37" s="429"/>
      <c r="U37" s="22"/>
      <c r="V37" s="24"/>
      <c r="W37" s="21"/>
      <c r="Y37" s="490"/>
    </row>
    <row r="38" spans="1:25" ht="105">
      <c r="A38" s="31">
        <v>35</v>
      </c>
      <c r="B38" s="22" t="s">
        <v>39</v>
      </c>
      <c r="C38" s="22" t="s">
        <v>50</v>
      </c>
      <c r="D38" s="22" t="s">
        <v>83</v>
      </c>
      <c r="E38" s="23" t="s">
        <v>84</v>
      </c>
      <c r="F38" s="22" t="s">
        <v>65</v>
      </c>
      <c r="G38" s="22" t="s">
        <v>85</v>
      </c>
      <c r="H38" s="22" t="s">
        <v>30</v>
      </c>
      <c r="I38" s="22" t="s">
        <v>86</v>
      </c>
      <c r="J38" s="22" t="s">
        <v>65</v>
      </c>
      <c r="K38" s="518" t="s">
        <v>812</v>
      </c>
      <c r="L38" s="521" t="s">
        <v>879</v>
      </c>
      <c r="M38" s="521" t="s">
        <v>880</v>
      </c>
      <c r="N38" s="521" t="s">
        <v>815</v>
      </c>
      <c r="O38" s="22" t="s">
        <v>47</v>
      </c>
      <c r="P38" s="69">
        <v>2017</v>
      </c>
      <c r="Q38" s="414">
        <f t="shared" ca="1" si="3"/>
        <v>-1677049.759178228</v>
      </c>
      <c r="R38" s="335" t="str">
        <f t="shared" ca="1" si="1"/>
        <v>N/A</v>
      </c>
      <c r="S38" s="335" t="str">
        <f t="shared" ca="1" si="2"/>
        <v>N/A</v>
      </c>
      <c r="T38" s="429" t="s">
        <v>59</v>
      </c>
      <c r="U38"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8" s="24"/>
      <c r="W38" s="21"/>
      <c r="Y38" s="490"/>
    </row>
    <row r="39" spans="1:25" ht="105">
      <c r="A39" s="31">
        <v>36</v>
      </c>
      <c r="B39" s="22" t="s">
        <v>39</v>
      </c>
      <c r="C39" s="22" t="s">
        <v>50</v>
      </c>
      <c r="D39" s="22" t="s">
        <v>83</v>
      </c>
      <c r="E39" s="23" t="s">
        <v>84</v>
      </c>
      <c r="F39" s="22" t="s">
        <v>66</v>
      </c>
      <c r="G39" s="22" t="s">
        <v>85</v>
      </c>
      <c r="H39" s="22" t="s">
        <v>30</v>
      </c>
      <c r="I39" s="22" t="s">
        <v>86</v>
      </c>
      <c r="J39" s="22" t="s">
        <v>66</v>
      </c>
      <c r="K39" s="518" t="s">
        <v>812</v>
      </c>
      <c r="L39" s="521" t="s">
        <v>881</v>
      </c>
      <c r="M39" s="521" t="s">
        <v>882</v>
      </c>
      <c r="N39" s="521" t="s">
        <v>815</v>
      </c>
      <c r="O39" s="22" t="s">
        <v>47</v>
      </c>
      <c r="P39" s="69">
        <v>2017</v>
      </c>
      <c r="Q39" s="414">
        <f t="shared" ca="1" si="3"/>
        <v>-1581163.2365073944</v>
      </c>
      <c r="R39" s="335" t="str">
        <f t="shared" ca="1" si="1"/>
        <v>N/A</v>
      </c>
      <c r="S39" s="335" t="str">
        <f t="shared" ca="1" si="2"/>
        <v>N/A</v>
      </c>
      <c r="T39" s="429" t="s">
        <v>59</v>
      </c>
      <c r="U39"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9" s="24"/>
      <c r="W39" s="21"/>
      <c r="Y39" s="490"/>
    </row>
    <row r="40" spans="1:25" ht="30">
      <c r="A40" s="31">
        <v>37</v>
      </c>
      <c r="B40" s="22" t="s">
        <v>39</v>
      </c>
      <c r="C40" s="22" t="s">
        <v>50</v>
      </c>
      <c r="D40" s="22" t="s">
        <v>90</v>
      </c>
      <c r="E40" s="23" t="s">
        <v>91</v>
      </c>
      <c r="F40" s="22" t="s">
        <v>92</v>
      </c>
      <c r="G40" s="22" t="s">
        <v>93</v>
      </c>
      <c r="H40" s="22" t="s">
        <v>30</v>
      </c>
      <c r="I40" s="22" t="s">
        <v>94</v>
      </c>
      <c r="J40" s="22" t="s">
        <v>92</v>
      </c>
      <c r="K40" s="518" t="s">
        <v>812</v>
      </c>
      <c r="L40" s="521" t="s">
        <v>883</v>
      </c>
      <c r="M40" s="521" t="s">
        <v>884</v>
      </c>
      <c r="N40" s="521" t="s">
        <v>885</v>
      </c>
      <c r="O40" s="22" t="s">
        <v>47</v>
      </c>
      <c r="P40" s="69">
        <v>2017</v>
      </c>
      <c r="Q40" s="414">
        <f t="shared" ca="1" si="3"/>
        <v>185.867699815739</v>
      </c>
      <c r="R40" s="335">
        <f t="shared" ca="1" si="1"/>
        <v>0</v>
      </c>
      <c r="S40" s="335">
        <f t="shared" ca="1" si="2"/>
        <v>0</v>
      </c>
      <c r="T40" s="429"/>
      <c r="U40" s="22"/>
      <c r="V40" s="24"/>
      <c r="W40" s="21"/>
      <c r="Y40" s="490"/>
    </row>
    <row r="41" spans="1:25" ht="30">
      <c r="A41" s="31">
        <v>38</v>
      </c>
      <c r="B41" s="22" t="s">
        <v>39</v>
      </c>
      <c r="C41" s="22" t="s">
        <v>50</v>
      </c>
      <c r="D41" s="22" t="s">
        <v>90</v>
      </c>
      <c r="E41" s="23" t="s">
        <v>91</v>
      </c>
      <c r="F41" s="22" t="s">
        <v>95</v>
      </c>
      <c r="G41" s="22" t="s">
        <v>93</v>
      </c>
      <c r="H41" s="22" t="s">
        <v>30</v>
      </c>
      <c r="I41" s="22" t="s">
        <v>94</v>
      </c>
      <c r="J41" s="22" t="s">
        <v>95</v>
      </c>
      <c r="K41" s="518" t="s">
        <v>812</v>
      </c>
      <c r="L41" s="521" t="s">
        <v>886</v>
      </c>
      <c r="M41" s="521" t="s">
        <v>887</v>
      </c>
      <c r="N41" s="521" t="s">
        <v>885</v>
      </c>
      <c r="O41" s="22" t="s">
        <v>47</v>
      </c>
      <c r="P41" s="69">
        <v>2017</v>
      </c>
      <c r="Q41" s="414">
        <f t="shared" ca="1" si="3"/>
        <v>2.6670905663994444E-2</v>
      </c>
      <c r="R41" s="335">
        <f t="shared" ca="1" si="1"/>
        <v>0</v>
      </c>
      <c r="S41" s="335">
        <f t="shared" ca="1" si="2"/>
        <v>0</v>
      </c>
      <c r="T41" s="429"/>
      <c r="U41" s="22"/>
      <c r="V41" s="24"/>
      <c r="W41" s="21"/>
      <c r="Y41" s="490"/>
    </row>
    <row r="42" spans="1:25" ht="30">
      <c r="A42" s="31">
        <v>39</v>
      </c>
      <c r="B42" s="22" t="s">
        <v>39</v>
      </c>
      <c r="C42" s="22" t="s">
        <v>50</v>
      </c>
      <c r="D42" s="22" t="s">
        <v>90</v>
      </c>
      <c r="E42" s="23" t="s">
        <v>91</v>
      </c>
      <c r="F42" s="22" t="s">
        <v>96</v>
      </c>
      <c r="G42" s="22" t="s">
        <v>93</v>
      </c>
      <c r="H42" s="22" t="s">
        <v>30</v>
      </c>
      <c r="I42" s="22" t="s">
        <v>94</v>
      </c>
      <c r="J42" s="22" t="s">
        <v>96</v>
      </c>
      <c r="K42" s="518" t="s">
        <v>812</v>
      </c>
      <c r="L42" s="521" t="s">
        <v>888</v>
      </c>
      <c r="M42" s="521" t="s">
        <v>889</v>
      </c>
      <c r="N42" s="521" t="s">
        <v>885</v>
      </c>
      <c r="O42" s="22" t="s">
        <v>47</v>
      </c>
      <c r="P42" s="69">
        <v>2017</v>
      </c>
      <c r="Q42" s="414">
        <f t="shared" ca="1" si="3"/>
        <v>0.19863807912374151</v>
      </c>
      <c r="R42" s="335">
        <f t="shared" ca="1" si="1"/>
        <v>0</v>
      </c>
      <c r="S42" s="335">
        <f t="shared" ca="1" si="2"/>
        <v>0</v>
      </c>
      <c r="T42" s="429" t="s">
        <v>48</v>
      </c>
      <c r="U42" s="22" t="s">
        <v>49</v>
      </c>
      <c r="V42" s="24"/>
      <c r="W42" s="21"/>
      <c r="Y42" s="490"/>
    </row>
    <row r="43" spans="1:25" ht="30">
      <c r="A43" s="31">
        <v>40</v>
      </c>
      <c r="B43" s="22" t="s">
        <v>39</v>
      </c>
      <c r="C43" s="22" t="s">
        <v>50</v>
      </c>
      <c r="D43" s="22" t="s">
        <v>90</v>
      </c>
      <c r="E43" s="23" t="s">
        <v>91</v>
      </c>
      <c r="F43" s="22" t="s">
        <v>97</v>
      </c>
      <c r="G43" s="22" t="s">
        <v>93</v>
      </c>
      <c r="H43" s="22" t="s">
        <v>30</v>
      </c>
      <c r="I43" s="22" t="s">
        <v>94</v>
      </c>
      <c r="J43" s="22" t="s">
        <v>97</v>
      </c>
      <c r="K43" s="518" t="s">
        <v>812</v>
      </c>
      <c r="L43" s="521" t="s">
        <v>890</v>
      </c>
      <c r="M43" s="521" t="s">
        <v>891</v>
      </c>
      <c r="N43" s="521" t="s">
        <v>885</v>
      </c>
      <c r="O43" s="22" t="s">
        <v>47</v>
      </c>
      <c r="P43" s="69">
        <v>2017</v>
      </c>
      <c r="Q43" s="414">
        <f t="shared" ca="1" si="3"/>
        <v>381.82048624610803</v>
      </c>
      <c r="R43" s="335">
        <f t="shared" ca="1" si="1"/>
        <v>0</v>
      </c>
      <c r="S43" s="335">
        <f t="shared" ca="1" si="2"/>
        <v>0</v>
      </c>
      <c r="T43" s="429"/>
      <c r="U43" s="22"/>
      <c r="V43" s="24"/>
      <c r="W43" s="21"/>
      <c r="Y43" s="490"/>
    </row>
    <row r="44" spans="1:25" ht="30">
      <c r="A44" s="31">
        <v>41</v>
      </c>
      <c r="B44" s="22" t="s">
        <v>39</v>
      </c>
      <c r="C44" s="22" t="s">
        <v>50</v>
      </c>
      <c r="D44" s="22" t="s">
        <v>90</v>
      </c>
      <c r="E44" s="23" t="s">
        <v>91</v>
      </c>
      <c r="F44" s="22" t="s">
        <v>98</v>
      </c>
      <c r="G44" s="22" t="s">
        <v>93</v>
      </c>
      <c r="H44" s="22" t="s">
        <v>30</v>
      </c>
      <c r="I44" s="22" t="s">
        <v>94</v>
      </c>
      <c r="J44" s="22" t="s">
        <v>98</v>
      </c>
      <c r="K44" s="518" t="s">
        <v>812</v>
      </c>
      <c r="L44" s="521" t="s">
        <v>892</v>
      </c>
      <c r="M44" s="521" t="s">
        <v>893</v>
      </c>
      <c r="N44" s="521" t="s">
        <v>885</v>
      </c>
      <c r="O44" s="22" t="s">
        <v>47</v>
      </c>
      <c r="P44" s="69">
        <v>2017</v>
      </c>
      <c r="Q44" s="414">
        <f t="shared" ca="1" si="3"/>
        <v>5.4788961069329976E-2</v>
      </c>
      <c r="R44" s="335">
        <f t="shared" ca="1" si="1"/>
        <v>0</v>
      </c>
      <c r="S44" s="335">
        <f t="shared" ca="1" si="2"/>
        <v>0</v>
      </c>
      <c r="T44" s="429"/>
      <c r="U44" s="22"/>
      <c r="V44" s="24"/>
      <c r="W44" s="21"/>
      <c r="Y44" s="490"/>
    </row>
    <row r="45" spans="1:25" ht="30">
      <c r="A45" s="31">
        <v>42</v>
      </c>
      <c r="B45" s="22" t="s">
        <v>39</v>
      </c>
      <c r="C45" s="22" t="s">
        <v>50</v>
      </c>
      <c r="D45" s="22" t="s">
        <v>90</v>
      </c>
      <c r="E45" s="23" t="s">
        <v>91</v>
      </c>
      <c r="F45" s="22" t="s">
        <v>99</v>
      </c>
      <c r="G45" s="22" t="s">
        <v>93</v>
      </c>
      <c r="H45" s="22" t="s">
        <v>30</v>
      </c>
      <c r="I45" s="22" t="s">
        <v>94</v>
      </c>
      <c r="J45" s="22" t="s">
        <v>99</v>
      </c>
      <c r="K45" s="518" t="s">
        <v>812</v>
      </c>
      <c r="L45" s="521" t="s">
        <v>894</v>
      </c>
      <c r="M45" s="521" t="s">
        <v>895</v>
      </c>
      <c r="N45" s="521" t="s">
        <v>885</v>
      </c>
      <c r="O45" s="22" t="s">
        <v>47</v>
      </c>
      <c r="P45" s="69">
        <v>2017</v>
      </c>
      <c r="Q45" s="414">
        <f t="shared" ca="1" si="3"/>
        <v>0.40805415913151299</v>
      </c>
      <c r="R45" s="335">
        <f t="shared" ca="1" si="1"/>
        <v>0</v>
      </c>
      <c r="S45" s="335">
        <f t="shared" ca="1" si="2"/>
        <v>0</v>
      </c>
      <c r="T45" s="429" t="s">
        <v>48</v>
      </c>
      <c r="U45" s="22" t="s">
        <v>49</v>
      </c>
      <c r="V45" s="24"/>
      <c r="W45" s="21"/>
      <c r="Y45" s="490"/>
    </row>
    <row r="46" spans="1:25" ht="45">
      <c r="A46" s="31">
        <v>43</v>
      </c>
      <c r="B46" s="22" t="s">
        <v>39</v>
      </c>
      <c r="C46" s="22" t="s">
        <v>50</v>
      </c>
      <c r="D46" s="22" t="s">
        <v>100</v>
      </c>
      <c r="E46" s="23" t="s">
        <v>51</v>
      </c>
      <c r="F46" s="22" t="s">
        <v>52</v>
      </c>
      <c r="G46" s="22" t="s">
        <v>53</v>
      </c>
      <c r="H46" s="22" t="s">
        <v>30</v>
      </c>
      <c r="I46" s="22" t="s">
        <v>101</v>
      </c>
      <c r="J46" s="22" t="s">
        <v>52</v>
      </c>
      <c r="K46" s="519" t="s">
        <v>896</v>
      </c>
      <c r="L46" s="521" t="s">
        <v>897</v>
      </c>
      <c r="M46" s="521" t="s">
        <v>898</v>
      </c>
      <c r="N46" s="521" t="s">
        <v>815</v>
      </c>
      <c r="O46" s="22" t="s">
        <v>102</v>
      </c>
      <c r="P46" s="69">
        <v>2017</v>
      </c>
      <c r="Q46" s="414">
        <f t="shared" ca="1" si="3"/>
        <v>28969.162092688963</v>
      </c>
      <c r="R46" s="335" t="str">
        <f t="shared" ca="1" si="1"/>
        <v>N/A</v>
      </c>
      <c r="S46" s="335" t="str">
        <f t="shared" ca="1" si="2"/>
        <v>N/A</v>
      </c>
      <c r="T46" s="429" t="s">
        <v>899</v>
      </c>
      <c r="U46" s="22"/>
      <c r="V46" s="24"/>
      <c r="W46" s="21"/>
      <c r="Y46" s="490"/>
    </row>
    <row r="47" spans="1:25" ht="45">
      <c r="A47" s="31">
        <v>44</v>
      </c>
      <c r="B47" s="22" t="s">
        <v>39</v>
      </c>
      <c r="C47" s="22" t="s">
        <v>50</v>
      </c>
      <c r="D47" s="22" t="s">
        <v>100</v>
      </c>
      <c r="E47" s="23" t="s">
        <v>51</v>
      </c>
      <c r="F47" s="22" t="s">
        <v>55</v>
      </c>
      <c r="G47" s="22" t="s">
        <v>53</v>
      </c>
      <c r="H47" s="22" t="s">
        <v>30</v>
      </c>
      <c r="I47" s="22" t="s">
        <v>101</v>
      </c>
      <c r="J47" s="22" t="s">
        <v>55</v>
      </c>
      <c r="K47" s="519" t="s">
        <v>896</v>
      </c>
      <c r="L47" s="521" t="s">
        <v>900</v>
      </c>
      <c r="M47" s="521" t="s">
        <v>901</v>
      </c>
      <c r="N47" s="521" t="s">
        <v>815</v>
      </c>
      <c r="O47" s="22" t="s">
        <v>102</v>
      </c>
      <c r="P47" s="69">
        <v>2017</v>
      </c>
      <c r="Q47" s="414">
        <f t="shared" ca="1" si="3"/>
        <v>26882.147796141435</v>
      </c>
      <c r="R47" s="335" t="str">
        <f t="shared" ca="1" si="1"/>
        <v>N/A</v>
      </c>
      <c r="S47" s="335" t="str">
        <f t="shared" ca="1" si="2"/>
        <v>N/A</v>
      </c>
      <c r="T47" s="429" t="s">
        <v>899</v>
      </c>
      <c r="U47" s="22"/>
      <c r="V47" s="24"/>
      <c r="W47" s="21"/>
      <c r="Y47" s="490"/>
    </row>
    <row r="48" spans="1:25" ht="45">
      <c r="A48" s="31">
        <v>45</v>
      </c>
      <c r="B48" s="22" t="s">
        <v>39</v>
      </c>
      <c r="C48" s="22" t="s">
        <v>50</v>
      </c>
      <c r="D48" s="22" t="s">
        <v>100</v>
      </c>
      <c r="E48" s="23" t="s">
        <v>51</v>
      </c>
      <c r="F48" s="22" t="s">
        <v>56</v>
      </c>
      <c r="G48" s="22" t="s">
        <v>53</v>
      </c>
      <c r="H48" s="22" t="s">
        <v>30</v>
      </c>
      <c r="I48" s="22" t="s">
        <v>101</v>
      </c>
      <c r="J48" s="22" t="s">
        <v>56</v>
      </c>
      <c r="K48" s="519" t="s">
        <v>896</v>
      </c>
      <c r="L48" s="521" t="s">
        <v>902</v>
      </c>
      <c r="M48" s="521" t="s">
        <v>903</v>
      </c>
      <c r="N48" s="521" t="s">
        <v>815</v>
      </c>
      <c r="O48" s="22" t="s">
        <v>102</v>
      </c>
      <c r="P48" s="69">
        <v>2017</v>
      </c>
      <c r="Q48" s="414">
        <f t="shared" ca="1" si="3"/>
        <v>172800465.07203701</v>
      </c>
      <c r="R48" s="335" t="str">
        <f t="shared" ca="1" si="1"/>
        <v>N/A</v>
      </c>
      <c r="S48" s="335" t="str">
        <f t="shared" ca="1" si="2"/>
        <v>N/A</v>
      </c>
      <c r="T48" s="429" t="s">
        <v>899</v>
      </c>
      <c r="U48" s="22"/>
      <c r="V48" s="24"/>
      <c r="W48" s="21"/>
      <c r="Y48" s="490"/>
    </row>
    <row r="49" spans="1:25" ht="45">
      <c r="A49" s="31">
        <v>46</v>
      </c>
      <c r="B49" s="22" t="s">
        <v>39</v>
      </c>
      <c r="C49" s="22" t="s">
        <v>50</v>
      </c>
      <c r="D49" s="22" t="s">
        <v>100</v>
      </c>
      <c r="E49" s="23" t="s">
        <v>51</v>
      </c>
      <c r="F49" s="22" t="s">
        <v>57</v>
      </c>
      <c r="G49" s="22" t="s">
        <v>53</v>
      </c>
      <c r="H49" s="22" t="s">
        <v>30</v>
      </c>
      <c r="I49" s="22" t="s">
        <v>101</v>
      </c>
      <c r="J49" s="22" t="s">
        <v>57</v>
      </c>
      <c r="K49" s="519" t="s">
        <v>896</v>
      </c>
      <c r="L49" s="521" t="s">
        <v>904</v>
      </c>
      <c r="M49" s="521" t="s">
        <v>905</v>
      </c>
      <c r="N49" s="521" t="s">
        <v>815</v>
      </c>
      <c r="O49" s="22" t="s">
        <v>102</v>
      </c>
      <c r="P49" s="69">
        <v>2017</v>
      </c>
      <c r="Q49" s="414">
        <f t="shared" ca="1" si="3"/>
        <v>158258802.05444619</v>
      </c>
      <c r="R49" s="335" t="str">
        <f t="shared" ca="1" si="1"/>
        <v>N/A</v>
      </c>
      <c r="S49" s="335" t="str">
        <f t="shared" ca="1" si="2"/>
        <v>N/A</v>
      </c>
      <c r="T49" s="429" t="s">
        <v>899</v>
      </c>
      <c r="U49" s="22"/>
      <c r="V49" s="24"/>
      <c r="W49" s="21"/>
      <c r="Y49" s="490"/>
    </row>
    <row r="50" spans="1:25" ht="45">
      <c r="A50" s="31">
        <v>47</v>
      </c>
      <c r="B50" s="22" t="s">
        <v>39</v>
      </c>
      <c r="C50" s="22" t="s">
        <v>50</v>
      </c>
      <c r="D50" s="22" t="s">
        <v>100</v>
      </c>
      <c r="E50" s="23" t="s">
        <v>51</v>
      </c>
      <c r="F50" s="22" t="s">
        <v>58</v>
      </c>
      <c r="G50" s="22" t="s">
        <v>53</v>
      </c>
      <c r="H50" s="22" t="s">
        <v>30</v>
      </c>
      <c r="I50" s="22" t="s">
        <v>101</v>
      </c>
      <c r="J50" s="22" t="s">
        <v>58</v>
      </c>
      <c r="K50" s="519" t="s">
        <v>896</v>
      </c>
      <c r="L50" s="521" t="s">
        <v>906</v>
      </c>
      <c r="M50" s="521" t="s">
        <v>907</v>
      </c>
      <c r="N50" s="521" t="s">
        <v>815</v>
      </c>
      <c r="O50" s="22" t="s">
        <v>102</v>
      </c>
      <c r="P50" s="69">
        <v>2017</v>
      </c>
      <c r="Q50" s="414">
        <f t="shared" ca="1" si="3"/>
        <v>-933885.90742931678</v>
      </c>
      <c r="R50" s="335" t="str">
        <f t="shared" ca="1" si="1"/>
        <v>N/A</v>
      </c>
      <c r="S50" s="335" t="str">
        <f t="shared" ca="1" si="2"/>
        <v>N/A</v>
      </c>
      <c r="T50" s="429" t="s">
        <v>899</v>
      </c>
      <c r="U50" s="22" t="s">
        <v>49</v>
      </c>
      <c r="V50" s="24"/>
      <c r="W50" s="21"/>
      <c r="Y50" s="490"/>
    </row>
    <row r="51" spans="1:25" ht="45">
      <c r="A51" s="31">
        <v>48</v>
      </c>
      <c r="B51" s="22" t="s">
        <v>39</v>
      </c>
      <c r="C51" s="22" t="s">
        <v>50</v>
      </c>
      <c r="D51" s="22" t="s">
        <v>100</v>
      </c>
      <c r="E51" s="23" t="s">
        <v>51</v>
      </c>
      <c r="F51" s="22" t="s">
        <v>60</v>
      </c>
      <c r="G51" s="22" t="s">
        <v>53</v>
      </c>
      <c r="H51" s="22" t="s">
        <v>30</v>
      </c>
      <c r="I51" s="22" t="s">
        <v>101</v>
      </c>
      <c r="J51" s="22" t="s">
        <v>60</v>
      </c>
      <c r="K51" s="519" t="s">
        <v>896</v>
      </c>
      <c r="L51" s="521" t="s">
        <v>908</v>
      </c>
      <c r="M51" s="521" t="s">
        <v>909</v>
      </c>
      <c r="N51" s="521" t="s">
        <v>815</v>
      </c>
      <c r="O51" s="22" t="s">
        <v>102</v>
      </c>
      <c r="P51" s="69">
        <v>2017</v>
      </c>
      <c r="Q51" s="414">
        <f t="shared" ca="1" si="3"/>
        <v>-835957.48843687319</v>
      </c>
      <c r="R51" s="335" t="str">
        <f t="shared" ca="1" si="1"/>
        <v>N/A</v>
      </c>
      <c r="S51" s="335" t="str">
        <f t="shared" ca="1" si="2"/>
        <v>N/A</v>
      </c>
      <c r="T51" s="429" t="s">
        <v>899</v>
      </c>
      <c r="U51" s="22" t="s">
        <v>49</v>
      </c>
      <c r="V51" s="24"/>
      <c r="W51" s="21"/>
      <c r="Y51" s="490"/>
    </row>
    <row r="52" spans="1:25" ht="45">
      <c r="A52" s="31">
        <v>49</v>
      </c>
      <c r="B52" s="22" t="s">
        <v>39</v>
      </c>
      <c r="C52" s="22" t="s">
        <v>50</v>
      </c>
      <c r="D52" s="22" t="s">
        <v>100</v>
      </c>
      <c r="E52" s="23" t="s">
        <v>51</v>
      </c>
      <c r="F52" s="22" t="s">
        <v>61</v>
      </c>
      <c r="G52" s="22" t="s">
        <v>53</v>
      </c>
      <c r="H52" s="22" t="s">
        <v>30</v>
      </c>
      <c r="I52" s="22" t="s">
        <v>101</v>
      </c>
      <c r="J52" s="22" t="s">
        <v>61</v>
      </c>
      <c r="K52" s="519" t="s">
        <v>896</v>
      </c>
      <c r="L52" s="521" t="s">
        <v>910</v>
      </c>
      <c r="M52" s="521" t="s">
        <v>911</v>
      </c>
      <c r="N52" s="521" t="s">
        <v>815</v>
      </c>
      <c r="O52" s="22" t="s">
        <v>102</v>
      </c>
      <c r="P52" s="69">
        <v>2017</v>
      </c>
      <c r="Q52" s="414">
        <f t="shared" ca="1" si="3"/>
        <v>269132.43180932821</v>
      </c>
      <c r="R52" s="335" t="str">
        <f t="shared" ca="1" si="1"/>
        <v>N/A</v>
      </c>
      <c r="S52" s="335" t="str">
        <f t="shared" ca="1" si="2"/>
        <v>N/A</v>
      </c>
      <c r="T52" s="429" t="s">
        <v>899</v>
      </c>
      <c r="U52" s="22"/>
      <c r="V52" s="24"/>
      <c r="W52" s="21"/>
      <c r="Y52" s="490"/>
    </row>
    <row r="53" spans="1:25" ht="45">
      <c r="A53" s="31">
        <v>50</v>
      </c>
      <c r="B53" s="22" t="s">
        <v>39</v>
      </c>
      <c r="C53" s="22" t="s">
        <v>50</v>
      </c>
      <c r="D53" s="22" t="s">
        <v>100</v>
      </c>
      <c r="E53" s="23" t="s">
        <v>51</v>
      </c>
      <c r="F53" s="22" t="s">
        <v>62</v>
      </c>
      <c r="G53" s="22" t="s">
        <v>53</v>
      </c>
      <c r="H53" s="22" t="s">
        <v>30</v>
      </c>
      <c r="I53" s="22" t="s">
        <v>101</v>
      </c>
      <c r="J53" s="22" t="s">
        <v>62</v>
      </c>
      <c r="K53" s="519" t="s">
        <v>896</v>
      </c>
      <c r="L53" s="521" t="s">
        <v>912</v>
      </c>
      <c r="M53" s="521" t="s">
        <v>913</v>
      </c>
      <c r="N53" s="521" t="s">
        <v>815</v>
      </c>
      <c r="O53" s="22" t="s">
        <v>102</v>
      </c>
      <c r="P53" s="69">
        <v>2017</v>
      </c>
      <c r="Q53" s="414">
        <f t="shared" ca="1" si="3"/>
        <v>236796.75498653812</v>
      </c>
      <c r="R53" s="335" t="str">
        <f t="shared" ca="1" si="1"/>
        <v>N/A</v>
      </c>
      <c r="S53" s="335" t="str">
        <f t="shared" ca="1" si="2"/>
        <v>N/A</v>
      </c>
      <c r="T53" s="429" t="s">
        <v>899</v>
      </c>
      <c r="U53" s="22"/>
      <c r="V53" s="24"/>
      <c r="W53" s="21"/>
      <c r="Y53" s="490"/>
    </row>
    <row r="54" spans="1:25" ht="45">
      <c r="A54" s="31">
        <v>51</v>
      </c>
      <c r="B54" s="22" t="s">
        <v>39</v>
      </c>
      <c r="C54" s="22" t="s">
        <v>50</v>
      </c>
      <c r="D54" s="22" t="s">
        <v>100</v>
      </c>
      <c r="E54" s="23" t="s">
        <v>51</v>
      </c>
      <c r="F54" s="22" t="s">
        <v>63</v>
      </c>
      <c r="G54" s="22" t="s">
        <v>53</v>
      </c>
      <c r="H54" s="22" t="s">
        <v>30</v>
      </c>
      <c r="I54" s="22" t="s">
        <v>101</v>
      </c>
      <c r="J54" s="22" t="s">
        <v>63</v>
      </c>
      <c r="K54" s="519" t="s">
        <v>896</v>
      </c>
      <c r="L54" s="521" t="s">
        <v>914</v>
      </c>
      <c r="M54" s="521" t="s">
        <v>915</v>
      </c>
      <c r="N54" s="521" t="s">
        <v>815</v>
      </c>
      <c r="O54" s="22" t="s">
        <v>102</v>
      </c>
      <c r="P54" s="69">
        <v>2017</v>
      </c>
      <c r="Q54" s="414">
        <f t="shared" ca="1" si="3"/>
        <v>2169183161.5208969</v>
      </c>
      <c r="R54" s="335" t="str">
        <f t="shared" ca="1" si="1"/>
        <v>N/A</v>
      </c>
      <c r="S54" s="335" t="str">
        <f t="shared" ca="1" si="2"/>
        <v>N/A</v>
      </c>
      <c r="T54" s="429" t="s">
        <v>899</v>
      </c>
      <c r="U54" s="22"/>
      <c r="V54" s="24"/>
      <c r="W54" s="21"/>
      <c r="Y54" s="490"/>
    </row>
    <row r="55" spans="1:25" ht="45">
      <c r="A55" s="31">
        <v>52</v>
      </c>
      <c r="B55" s="22" t="s">
        <v>39</v>
      </c>
      <c r="C55" s="22" t="s">
        <v>50</v>
      </c>
      <c r="D55" s="22" t="s">
        <v>100</v>
      </c>
      <c r="E55" s="23" t="s">
        <v>51</v>
      </c>
      <c r="F55" s="22" t="s">
        <v>64</v>
      </c>
      <c r="G55" s="22" t="s">
        <v>53</v>
      </c>
      <c r="H55" s="22" t="s">
        <v>30</v>
      </c>
      <c r="I55" s="22" t="s">
        <v>101</v>
      </c>
      <c r="J55" s="22" t="s">
        <v>64</v>
      </c>
      <c r="K55" s="519" t="s">
        <v>896</v>
      </c>
      <c r="L55" s="521" t="s">
        <v>916</v>
      </c>
      <c r="M55" s="521" t="s">
        <v>917</v>
      </c>
      <c r="N55" s="521" t="s">
        <v>815</v>
      </c>
      <c r="O55" s="22" t="s">
        <v>102</v>
      </c>
      <c r="P55" s="69">
        <v>2017</v>
      </c>
      <c r="Q55" s="414">
        <f t="shared" ca="1" si="3"/>
        <v>1934264941.6334074</v>
      </c>
      <c r="R55" s="335" t="str">
        <f t="shared" ca="1" si="1"/>
        <v>N/A</v>
      </c>
      <c r="S55" s="335" t="str">
        <f t="shared" ca="1" si="2"/>
        <v>N/A</v>
      </c>
      <c r="T55" s="429" t="s">
        <v>899</v>
      </c>
      <c r="U55" s="22"/>
      <c r="V55" s="24"/>
      <c r="W55" s="21"/>
      <c r="Y55" s="490"/>
    </row>
    <row r="56" spans="1:25" ht="45">
      <c r="A56" s="31">
        <v>53</v>
      </c>
      <c r="B56" s="22" t="s">
        <v>39</v>
      </c>
      <c r="C56" s="22" t="s">
        <v>50</v>
      </c>
      <c r="D56" s="22" t="s">
        <v>100</v>
      </c>
      <c r="E56" s="23" t="s">
        <v>51</v>
      </c>
      <c r="F56" s="22" t="s">
        <v>65</v>
      </c>
      <c r="G56" s="22" t="s">
        <v>53</v>
      </c>
      <c r="H56" s="22" t="s">
        <v>30</v>
      </c>
      <c r="I56" s="22" t="s">
        <v>101</v>
      </c>
      <c r="J56" s="22" t="s">
        <v>65</v>
      </c>
      <c r="K56" s="519" t="s">
        <v>896</v>
      </c>
      <c r="L56" s="521" t="s">
        <v>918</v>
      </c>
      <c r="M56" s="521" t="s">
        <v>919</v>
      </c>
      <c r="N56" s="521" t="s">
        <v>815</v>
      </c>
      <c r="O56" s="22" t="s">
        <v>102</v>
      </c>
      <c r="P56" s="69">
        <v>2017</v>
      </c>
      <c r="Q56" s="414">
        <f t="shared" ca="1" si="3"/>
        <v>-28473475.208798978</v>
      </c>
      <c r="R56" s="335" t="str">
        <f t="shared" ca="1" si="1"/>
        <v>N/A</v>
      </c>
      <c r="S56" s="335" t="str">
        <f t="shared" ca="1" si="2"/>
        <v>N/A</v>
      </c>
      <c r="T56" s="429" t="s">
        <v>899</v>
      </c>
      <c r="U56" s="22" t="s">
        <v>49</v>
      </c>
      <c r="V56" s="24"/>
      <c r="W56" s="21"/>
      <c r="Y56" s="490"/>
    </row>
    <row r="57" spans="1:25" ht="45">
      <c r="A57" s="31">
        <v>54</v>
      </c>
      <c r="B57" s="22" t="s">
        <v>39</v>
      </c>
      <c r="C57" s="22" t="s">
        <v>50</v>
      </c>
      <c r="D57" s="22" t="s">
        <v>100</v>
      </c>
      <c r="E57" s="23" t="s">
        <v>51</v>
      </c>
      <c r="F57" s="22" t="s">
        <v>66</v>
      </c>
      <c r="G57" s="22" t="s">
        <v>53</v>
      </c>
      <c r="H57" s="22" t="s">
        <v>30</v>
      </c>
      <c r="I57" s="22" t="s">
        <v>101</v>
      </c>
      <c r="J57" s="22" t="s">
        <v>66</v>
      </c>
      <c r="K57" s="519" t="s">
        <v>896</v>
      </c>
      <c r="L57" s="521" t="s">
        <v>920</v>
      </c>
      <c r="M57" s="521" t="s">
        <v>921</v>
      </c>
      <c r="N57" s="521" t="s">
        <v>815</v>
      </c>
      <c r="O57" s="22" t="s">
        <v>102</v>
      </c>
      <c r="P57" s="69">
        <v>2017</v>
      </c>
      <c r="Q57" s="414">
        <f t="shared" ca="1" si="3"/>
        <v>-26334895.867990877</v>
      </c>
      <c r="R57" s="335" t="str">
        <f t="shared" ca="1" si="1"/>
        <v>N/A</v>
      </c>
      <c r="S57" s="335" t="str">
        <f t="shared" ca="1" si="2"/>
        <v>N/A</v>
      </c>
      <c r="T57" s="429" t="s">
        <v>899</v>
      </c>
      <c r="U57" s="22" t="s">
        <v>49</v>
      </c>
      <c r="V57" s="24"/>
      <c r="W57" s="21"/>
      <c r="Y57" s="490"/>
    </row>
    <row r="58" spans="1:25" ht="45">
      <c r="A58" s="31">
        <v>55</v>
      </c>
      <c r="B58" s="22" t="s">
        <v>39</v>
      </c>
      <c r="C58" s="22" t="s">
        <v>40</v>
      </c>
      <c r="D58" s="22" t="s">
        <v>103</v>
      </c>
      <c r="E58" s="23" t="s">
        <v>42</v>
      </c>
      <c r="F58" s="22" t="s">
        <v>43</v>
      </c>
      <c r="G58" s="22" t="s">
        <v>44</v>
      </c>
      <c r="H58" s="22" t="s">
        <v>30</v>
      </c>
      <c r="I58" s="22" t="s">
        <v>104</v>
      </c>
      <c r="J58" s="19" t="s">
        <v>46</v>
      </c>
      <c r="K58" s="519" t="s">
        <v>896</v>
      </c>
      <c r="L58" s="521" t="s">
        <v>922</v>
      </c>
      <c r="M58" s="521" t="s">
        <v>923</v>
      </c>
      <c r="N58" s="521" t="s">
        <v>815</v>
      </c>
      <c r="O58" s="22" t="s">
        <v>102</v>
      </c>
      <c r="P58" s="69">
        <v>2017</v>
      </c>
      <c r="Q58" s="414">
        <f t="shared" ca="1" si="3"/>
        <v>107458.39836377802</v>
      </c>
      <c r="R58" s="335" t="str">
        <f t="shared" ca="1" si="1"/>
        <v>N/A</v>
      </c>
      <c r="S58" s="335" t="str">
        <f t="shared" ca="1" si="2"/>
        <v>N/A</v>
      </c>
      <c r="T58" s="429" t="s">
        <v>48</v>
      </c>
      <c r="U58" s="22" t="s">
        <v>105</v>
      </c>
      <c r="V58" s="24"/>
      <c r="W58" s="21"/>
      <c r="Y58" s="490"/>
    </row>
    <row r="59" spans="1:25" ht="60">
      <c r="A59" s="31">
        <v>56</v>
      </c>
      <c r="B59" s="22" t="s">
        <v>39</v>
      </c>
      <c r="C59" s="22" t="s">
        <v>40</v>
      </c>
      <c r="D59" s="22" t="s">
        <v>106</v>
      </c>
      <c r="E59" s="23" t="s">
        <v>107</v>
      </c>
      <c r="F59" s="22" t="s">
        <v>108</v>
      </c>
      <c r="G59" s="22" t="s">
        <v>109</v>
      </c>
      <c r="H59" s="22" t="s">
        <v>30</v>
      </c>
      <c r="I59" s="22" t="s">
        <v>110</v>
      </c>
      <c r="J59" s="101" t="s">
        <v>111</v>
      </c>
      <c r="K59" s="519" t="s">
        <v>896</v>
      </c>
      <c r="L59" s="521" t="s">
        <v>924</v>
      </c>
      <c r="M59" s="521" t="s">
        <v>925</v>
      </c>
      <c r="N59" s="521" t="s">
        <v>885</v>
      </c>
      <c r="O59" s="22" t="s">
        <v>102</v>
      </c>
      <c r="P59" s="69">
        <v>2017</v>
      </c>
      <c r="Q59" s="414">
        <f t="shared" ca="1" si="3"/>
        <v>7.3340558175075525</v>
      </c>
      <c r="R59" s="335">
        <f t="shared" ca="1" si="1"/>
        <v>0</v>
      </c>
      <c r="S59" s="335">
        <f t="shared" ca="1" si="2"/>
        <v>0</v>
      </c>
      <c r="T59" s="429"/>
      <c r="U59" s="22"/>
      <c r="V59" s="24"/>
      <c r="W59" s="21"/>
      <c r="Y59" s="490"/>
    </row>
    <row r="60" spans="1:25" ht="60">
      <c r="A60" s="31">
        <v>57</v>
      </c>
      <c r="B60" s="22" t="s">
        <v>39</v>
      </c>
      <c r="C60" s="22" t="s">
        <v>40</v>
      </c>
      <c r="D60" s="22" t="s">
        <v>106</v>
      </c>
      <c r="E60" s="23" t="s">
        <v>107</v>
      </c>
      <c r="F60" s="22" t="s">
        <v>112</v>
      </c>
      <c r="G60" s="22" t="s">
        <v>109</v>
      </c>
      <c r="H60" s="22" t="s">
        <v>30</v>
      </c>
      <c r="I60" s="22" t="s">
        <v>110</v>
      </c>
      <c r="J60" s="101" t="s">
        <v>113</v>
      </c>
      <c r="K60" s="519" t="s">
        <v>896</v>
      </c>
      <c r="L60" s="521" t="s">
        <v>926</v>
      </c>
      <c r="M60" s="521" t="s">
        <v>927</v>
      </c>
      <c r="N60" s="521" t="s">
        <v>885</v>
      </c>
      <c r="O60" s="22" t="s">
        <v>102</v>
      </c>
      <c r="P60" s="69">
        <v>2017</v>
      </c>
      <c r="Q60" s="414">
        <f t="shared" ca="1" si="3"/>
        <v>61441.877780799441</v>
      </c>
      <c r="R60" s="335">
        <f t="shared" ca="1" si="1"/>
        <v>0</v>
      </c>
      <c r="S60" s="335">
        <f t="shared" ca="1" si="2"/>
        <v>0</v>
      </c>
      <c r="T60" s="429"/>
      <c r="U60" s="22"/>
      <c r="V60" s="24"/>
      <c r="W60" s="21"/>
      <c r="Y60" s="490"/>
    </row>
    <row r="61" spans="1:25" ht="60">
      <c r="A61" s="31">
        <v>58</v>
      </c>
      <c r="B61" s="22" t="s">
        <v>39</v>
      </c>
      <c r="C61" s="22" t="s">
        <v>40</v>
      </c>
      <c r="D61" s="22" t="s">
        <v>106</v>
      </c>
      <c r="E61" s="23" t="s">
        <v>107</v>
      </c>
      <c r="F61" s="22" t="s">
        <v>114</v>
      </c>
      <c r="G61" s="22" t="s">
        <v>109</v>
      </c>
      <c r="H61" s="22" t="s">
        <v>30</v>
      </c>
      <c r="I61" s="22" t="s">
        <v>110</v>
      </c>
      <c r="J61" s="101" t="s">
        <v>115</v>
      </c>
      <c r="K61" s="519" t="s">
        <v>896</v>
      </c>
      <c r="L61" s="521" t="s">
        <v>928</v>
      </c>
      <c r="M61" s="521" t="s">
        <v>929</v>
      </c>
      <c r="N61" s="521" t="s">
        <v>885</v>
      </c>
      <c r="O61" s="22" t="s">
        <v>102</v>
      </c>
      <c r="P61" s="69">
        <v>2017</v>
      </c>
      <c r="Q61" s="414">
        <f t="shared" ca="1" si="3"/>
        <v>-854.08657015297149</v>
      </c>
      <c r="R61" s="335">
        <f t="shared" ca="1" si="1"/>
        <v>0</v>
      </c>
      <c r="S61" s="335">
        <f t="shared" ca="1" si="2"/>
        <v>0</v>
      </c>
      <c r="T61" s="429" t="s">
        <v>116</v>
      </c>
      <c r="U61" s="22" t="s">
        <v>117</v>
      </c>
      <c r="V61" s="24"/>
      <c r="W61" s="21"/>
      <c r="Y61" s="490"/>
    </row>
    <row r="62" spans="1:25" ht="60">
      <c r="A62" s="31">
        <v>59</v>
      </c>
      <c r="B62" s="22" t="s">
        <v>39</v>
      </c>
      <c r="C62" s="22" t="s">
        <v>40</v>
      </c>
      <c r="D62" s="22" t="s">
        <v>106</v>
      </c>
      <c r="E62" s="23" t="s">
        <v>118</v>
      </c>
      <c r="F62" s="22" t="s">
        <v>108</v>
      </c>
      <c r="G62" s="22" t="s">
        <v>119</v>
      </c>
      <c r="H62" s="22" t="s">
        <v>30</v>
      </c>
      <c r="I62" s="22" t="s">
        <v>120</v>
      </c>
      <c r="J62" s="101" t="s">
        <v>121</v>
      </c>
      <c r="K62" s="519" t="s">
        <v>896</v>
      </c>
      <c r="L62" s="521" t="s">
        <v>930</v>
      </c>
      <c r="M62" s="521" t="s">
        <v>931</v>
      </c>
      <c r="N62" s="521" t="s">
        <v>885</v>
      </c>
      <c r="O62" s="22" t="s">
        <v>102</v>
      </c>
      <c r="P62" s="69">
        <v>2017</v>
      </c>
      <c r="Q62" s="414">
        <f t="shared" ca="1" si="3"/>
        <v>7.5565565730015862</v>
      </c>
      <c r="R62" s="335">
        <f t="shared" ca="1" si="1"/>
        <v>0</v>
      </c>
      <c r="S62" s="335">
        <f t="shared" ca="1" si="2"/>
        <v>0</v>
      </c>
      <c r="T62" s="429"/>
      <c r="U62" s="22"/>
      <c r="V62" s="24"/>
      <c r="W62" s="21"/>
      <c r="Y62" s="490"/>
    </row>
    <row r="63" spans="1:25" ht="60">
      <c r="A63" s="31">
        <v>60</v>
      </c>
      <c r="B63" s="22" t="s">
        <v>39</v>
      </c>
      <c r="C63" s="22" t="s">
        <v>40</v>
      </c>
      <c r="D63" s="22" t="s">
        <v>106</v>
      </c>
      <c r="E63" s="23" t="s">
        <v>118</v>
      </c>
      <c r="F63" s="22" t="s">
        <v>112</v>
      </c>
      <c r="G63" s="22" t="s">
        <v>119</v>
      </c>
      <c r="H63" s="22" t="s">
        <v>30</v>
      </c>
      <c r="I63" s="22" t="s">
        <v>120</v>
      </c>
      <c r="J63" s="101" t="s">
        <v>122</v>
      </c>
      <c r="K63" s="519" t="s">
        <v>896</v>
      </c>
      <c r="L63" s="521" t="s">
        <v>932</v>
      </c>
      <c r="M63" s="521" t="s">
        <v>933</v>
      </c>
      <c r="N63" s="521" t="s">
        <v>885</v>
      </c>
      <c r="O63" s="22" t="s">
        <v>102</v>
      </c>
      <c r="P63" s="69">
        <v>2017</v>
      </c>
      <c r="Q63" s="414">
        <f t="shared" ca="1" si="3"/>
        <v>65949.398012764752</v>
      </c>
      <c r="R63" s="335">
        <f t="shared" ca="1" si="1"/>
        <v>0</v>
      </c>
      <c r="S63" s="335">
        <f t="shared" ca="1" si="2"/>
        <v>0</v>
      </c>
      <c r="T63" s="429"/>
      <c r="U63" s="22"/>
      <c r="V63" s="24"/>
      <c r="W63" s="21"/>
      <c r="Y63" s="490"/>
    </row>
    <row r="64" spans="1:25" ht="60">
      <c r="A64" s="31">
        <v>61</v>
      </c>
      <c r="B64" s="22" t="s">
        <v>39</v>
      </c>
      <c r="C64" s="22" t="s">
        <v>40</v>
      </c>
      <c r="D64" s="22" t="s">
        <v>106</v>
      </c>
      <c r="E64" s="23" t="s">
        <v>118</v>
      </c>
      <c r="F64" s="22" t="s">
        <v>114</v>
      </c>
      <c r="G64" s="22" t="s">
        <v>119</v>
      </c>
      <c r="H64" s="22" t="s">
        <v>30</v>
      </c>
      <c r="I64" s="22" t="s">
        <v>120</v>
      </c>
      <c r="J64" s="101" t="s">
        <v>123</v>
      </c>
      <c r="K64" s="519" t="s">
        <v>896</v>
      </c>
      <c r="L64" s="521" t="s">
        <v>934</v>
      </c>
      <c r="M64" s="521" t="s">
        <v>935</v>
      </c>
      <c r="N64" s="521" t="s">
        <v>885</v>
      </c>
      <c r="O64" s="22" t="s">
        <v>102</v>
      </c>
      <c r="P64" s="69">
        <v>2017</v>
      </c>
      <c r="Q64" s="414">
        <f t="shared" ca="1" si="3"/>
        <v>-968.65441579763183</v>
      </c>
      <c r="R64" s="335">
        <f t="shared" ca="1" si="1"/>
        <v>0</v>
      </c>
      <c r="S64" s="335">
        <f t="shared" ca="1" si="2"/>
        <v>0</v>
      </c>
      <c r="T64" s="429" t="s">
        <v>124</v>
      </c>
      <c r="U64" s="22" t="s">
        <v>117</v>
      </c>
      <c r="V64" s="24"/>
      <c r="W64" s="21"/>
      <c r="Y64" s="490"/>
    </row>
    <row r="65" spans="1:25" ht="45">
      <c r="A65" s="31">
        <v>62</v>
      </c>
      <c r="B65" s="22" t="s">
        <v>39</v>
      </c>
      <c r="C65" s="22" t="s">
        <v>40</v>
      </c>
      <c r="D65" s="22" t="s">
        <v>106</v>
      </c>
      <c r="E65" s="23" t="s">
        <v>125</v>
      </c>
      <c r="F65" s="22" t="s">
        <v>108</v>
      </c>
      <c r="G65" s="22" t="s">
        <v>126</v>
      </c>
      <c r="H65" s="22" t="s">
        <v>30</v>
      </c>
      <c r="I65" s="22" t="s">
        <v>127</v>
      </c>
      <c r="J65" s="101" t="s">
        <v>128</v>
      </c>
      <c r="K65" s="519" t="s">
        <v>896</v>
      </c>
      <c r="L65" s="521" t="s">
        <v>936</v>
      </c>
      <c r="M65" s="521" t="s">
        <v>937</v>
      </c>
      <c r="N65" s="521" t="s">
        <v>815</v>
      </c>
      <c r="O65" s="22" t="s">
        <v>102</v>
      </c>
      <c r="P65" s="69">
        <v>2017</v>
      </c>
      <c r="Q65" s="414">
        <f t="shared" ca="1" si="3"/>
        <v>0</v>
      </c>
      <c r="R65" s="335" t="str">
        <f t="shared" ca="1" si="1"/>
        <v>N/A</v>
      </c>
      <c r="S65" s="335" t="str">
        <f t="shared" ca="1" si="2"/>
        <v>N/A</v>
      </c>
      <c r="T65" s="429"/>
      <c r="U65" s="22"/>
      <c r="V65" s="24"/>
      <c r="W65" s="21"/>
      <c r="Y65" s="490"/>
    </row>
    <row r="66" spans="1:25" ht="45">
      <c r="A66" s="31">
        <v>63</v>
      </c>
      <c r="B66" s="22" t="s">
        <v>39</v>
      </c>
      <c r="C66" s="22" t="s">
        <v>40</v>
      </c>
      <c r="D66" s="22" t="s">
        <v>106</v>
      </c>
      <c r="E66" s="23" t="s">
        <v>125</v>
      </c>
      <c r="F66" s="22" t="s">
        <v>112</v>
      </c>
      <c r="G66" s="22" t="s">
        <v>126</v>
      </c>
      <c r="H66" s="22" t="s">
        <v>30</v>
      </c>
      <c r="I66" s="22" t="s">
        <v>127</v>
      </c>
      <c r="J66" s="101" t="s">
        <v>129</v>
      </c>
      <c r="K66" s="519" t="s">
        <v>896</v>
      </c>
      <c r="L66" s="521" t="s">
        <v>938</v>
      </c>
      <c r="M66" s="521" t="s">
        <v>939</v>
      </c>
      <c r="N66" s="521" t="s">
        <v>815</v>
      </c>
      <c r="O66" s="22" t="s">
        <v>102</v>
      </c>
      <c r="P66" s="69">
        <v>2017</v>
      </c>
      <c r="Q66" s="414">
        <f t="shared" ca="1" si="3"/>
        <v>0</v>
      </c>
      <c r="R66" s="335" t="str">
        <f t="shared" ca="1" si="1"/>
        <v>N/A</v>
      </c>
      <c r="S66" s="335" t="str">
        <f t="shared" ca="1" si="2"/>
        <v>N/A</v>
      </c>
      <c r="T66" s="429"/>
      <c r="U66" s="22"/>
      <c r="V66" s="24"/>
      <c r="W66" s="21"/>
      <c r="Y66" s="490"/>
    </row>
    <row r="67" spans="1:25" ht="60">
      <c r="A67" s="31">
        <v>64</v>
      </c>
      <c r="B67" s="22" t="s">
        <v>39</v>
      </c>
      <c r="C67" s="22" t="s">
        <v>40</v>
      </c>
      <c r="D67" s="22" t="s">
        <v>106</v>
      </c>
      <c r="E67" s="23" t="s">
        <v>125</v>
      </c>
      <c r="F67" s="22" t="s">
        <v>114</v>
      </c>
      <c r="G67" s="22" t="s">
        <v>126</v>
      </c>
      <c r="H67" s="22" t="s">
        <v>30</v>
      </c>
      <c r="I67" s="22" t="s">
        <v>127</v>
      </c>
      <c r="J67" s="101" t="s">
        <v>130</v>
      </c>
      <c r="K67" s="519" t="s">
        <v>896</v>
      </c>
      <c r="L67" s="521" t="s">
        <v>940</v>
      </c>
      <c r="M67" s="521" t="s">
        <v>941</v>
      </c>
      <c r="N67" s="521" t="s">
        <v>815</v>
      </c>
      <c r="O67" s="22" t="s">
        <v>102</v>
      </c>
      <c r="P67" s="69">
        <v>2017</v>
      </c>
      <c r="Q67" s="414">
        <f t="shared" ref="Q67:Q98" ca="1" si="4">SUMIF(INDIRECT("'"&amp;K67&amp;"'!c:c"),A67,INDIRECT("'"&amp;K67&amp;"'!e:e"))</f>
        <v>0</v>
      </c>
      <c r="R67" s="335" t="str">
        <f t="shared" ref="R67:R130" ca="1" si="5">IF($N67 = "N","N/A",SUMIF(INDIRECT("'"&amp;K67&amp;"'!i:i"),L67,INDIRECT("'"&amp;K67&amp;"'!l:l")))</f>
        <v>N/A</v>
      </c>
      <c r="S67" s="335" t="str">
        <f t="shared" ref="S67:S130" ca="1" si="6">IF($N67 = "N","N/A",SUMIF(INDIRECT("'"&amp;K67&amp;"'!i:i"),M67,INDIRECT("'"&amp;K67&amp;"'!l:l")))</f>
        <v>N/A</v>
      </c>
      <c r="T67" s="429" t="s">
        <v>131</v>
      </c>
      <c r="U67" s="22" t="s">
        <v>132</v>
      </c>
      <c r="V67" s="24"/>
      <c r="W67" s="21"/>
      <c r="Y67" s="490"/>
    </row>
    <row r="68" spans="1:25" ht="45">
      <c r="A68" s="31">
        <v>65</v>
      </c>
      <c r="B68" s="22" t="s">
        <v>39</v>
      </c>
      <c r="C68" s="22" t="s">
        <v>40</v>
      </c>
      <c r="D68" s="22" t="s">
        <v>106</v>
      </c>
      <c r="E68" s="23" t="s">
        <v>133</v>
      </c>
      <c r="F68" s="22" t="s">
        <v>108</v>
      </c>
      <c r="G68" s="22" t="s">
        <v>134</v>
      </c>
      <c r="H68" s="22" t="s">
        <v>30</v>
      </c>
      <c r="I68" s="22" t="s">
        <v>135</v>
      </c>
      <c r="J68" s="101" t="s">
        <v>136</v>
      </c>
      <c r="K68" s="519" t="s">
        <v>896</v>
      </c>
      <c r="L68" s="521" t="s">
        <v>942</v>
      </c>
      <c r="M68" s="521" t="s">
        <v>943</v>
      </c>
      <c r="N68" s="521" t="s">
        <v>885</v>
      </c>
      <c r="O68" s="22" t="s">
        <v>102</v>
      </c>
      <c r="P68" s="69">
        <v>2017</v>
      </c>
      <c r="Q68" s="414">
        <f t="shared" ca="1" si="4"/>
        <v>7.5891127354438295</v>
      </c>
      <c r="R68" s="335">
        <f t="shared" ca="1" si="5"/>
        <v>0</v>
      </c>
      <c r="S68" s="335">
        <f t="shared" ca="1" si="6"/>
        <v>0</v>
      </c>
      <c r="T68" s="429"/>
      <c r="U68" s="22"/>
      <c r="V68" s="24"/>
      <c r="W68" s="21"/>
      <c r="Y68" s="490"/>
    </row>
    <row r="69" spans="1:25" ht="45">
      <c r="A69" s="31">
        <v>66</v>
      </c>
      <c r="B69" s="22" t="s">
        <v>39</v>
      </c>
      <c r="C69" s="22" t="s">
        <v>40</v>
      </c>
      <c r="D69" s="22" t="s">
        <v>106</v>
      </c>
      <c r="E69" s="23" t="s">
        <v>133</v>
      </c>
      <c r="F69" s="22" t="s">
        <v>112</v>
      </c>
      <c r="G69" s="22" t="s">
        <v>134</v>
      </c>
      <c r="H69" s="22" t="s">
        <v>30</v>
      </c>
      <c r="I69" s="22" t="s">
        <v>135</v>
      </c>
      <c r="J69" s="101" t="s">
        <v>137</v>
      </c>
      <c r="K69" s="519" t="s">
        <v>896</v>
      </c>
      <c r="L69" s="521" t="s">
        <v>944</v>
      </c>
      <c r="M69" s="521" t="s">
        <v>945</v>
      </c>
      <c r="N69" s="521" t="s">
        <v>885</v>
      </c>
      <c r="O69" s="22" t="s">
        <v>102</v>
      </c>
      <c r="P69" s="69">
        <v>2017</v>
      </c>
      <c r="Q69" s="414">
        <f t="shared" ca="1" si="4"/>
        <v>66208.753183408335</v>
      </c>
      <c r="R69" s="335">
        <f t="shared" ca="1" si="5"/>
        <v>0</v>
      </c>
      <c r="S69" s="335">
        <f t="shared" ca="1" si="6"/>
        <v>0</v>
      </c>
      <c r="T69" s="429"/>
      <c r="U69" s="22"/>
      <c r="V69" s="24"/>
      <c r="W69" s="21"/>
      <c r="Y69" s="490"/>
    </row>
    <row r="70" spans="1:25" ht="60">
      <c r="A70" s="31">
        <v>67</v>
      </c>
      <c r="B70" s="22" t="s">
        <v>39</v>
      </c>
      <c r="C70" s="22" t="s">
        <v>40</v>
      </c>
      <c r="D70" s="22" t="s">
        <v>106</v>
      </c>
      <c r="E70" s="23" t="s">
        <v>133</v>
      </c>
      <c r="F70" s="22" t="s">
        <v>114</v>
      </c>
      <c r="G70" s="22" t="s">
        <v>134</v>
      </c>
      <c r="H70" s="22" t="s">
        <v>30</v>
      </c>
      <c r="I70" s="22" t="s">
        <v>135</v>
      </c>
      <c r="J70" s="101" t="s">
        <v>138</v>
      </c>
      <c r="K70" s="519" t="s">
        <v>896</v>
      </c>
      <c r="L70" s="521" t="s">
        <v>946</v>
      </c>
      <c r="M70" s="521" t="s">
        <v>947</v>
      </c>
      <c r="N70" s="521" t="s">
        <v>885</v>
      </c>
      <c r="O70" s="22" t="s">
        <v>102</v>
      </c>
      <c r="P70" s="69">
        <v>2017</v>
      </c>
      <c r="Q70" s="414">
        <f t="shared" ca="1" si="4"/>
        <v>-964.44774937687782</v>
      </c>
      <c r="R70" s="335">
        <f t="shared" ca="1" si="5"/>
        <v>0</v>
      </c>
      <c r="S70" s="335">
        <f t="shared" ca="1" si="6"/>
        <v>0</v>
      </c>
      <c r="T70" s="429" t="s">
        <v>139</v>
      </c>
      <c r="U70" s="22" t="s">
        <v>117</v>
      </c>
      <c r="V70" s="24"/>
      <c r="W70" s="21"/>
      <c r="Y70" s="490"/>
    </row>
    <row r="71" spans="1:25" ht="120">
      <c r="A71" s="31">
        <v>68</v>
      </c>
      <c r="B71" s="22" t="s">
        <v>39</v>
      </c>
      <c r="C71" s="22" t="s">
        <v>40</v>
      </c>
      <c r="D71" s="22" t="s">
        <v>140</v>
      </c>
      <c r="E71" s="23" t="s">
        <v>141</v>
      </c>
      <c r="F71" s="22" t="s">
        <v>142</v>
      </c>
      <c r="G71" s="22" t="s">
        <v>143</v>
      </c>
      <c r="H71" s="22" t="s">
        <v>30</v>
      </c>
      <c r="I71" s="22" t="s">
        <v>144</v>
      </c>
      <c r="J71" s="22" t="s">
        <v>145</v>
      </c>
      <c r="K71" s="519" t="s">
        <v>896</v>
      </c>
      <c r="L71" s="521" t="s">
        <v>948</v>
      </c>
      <c r="M71" s="521" t="s">
        <v>949</v>
      </c>
      <c r="N71" s="521" t="s">
        <v>885</v>
      </c>
      <c r="O71" s="22" t="s">
        <v>102</v>
      </c>
      <c r="P71" s="69">
        <v>2017</v>
      </c>
      <c r="Q71" s="533">
        <f t="shared" ca="1" si="4"/>
        <v>3.7552926231167474E-2</v>
      </c>
      <c r="R71" s="335">
        <f t="shared" ca="1" si="5"/>
        <v>0</v>
      </c>
      <c r="S71" s="335">
        <f t="shared" ca="1" si="6"/>
        <v>0</v>
      </c>
      <c r="T71" s="429" t="s">
        <v>950</v>
      </c>
      <c r="U71" s="22" t="s">
        <v>147</v>
      </c>
      <c r="V71" s="24"/>
      <c r="W71" s="21"/>
      <c r="Y71" s="490"/>
    </row>
    <row r="72" spans="1:25" ht="60">
      <c r="A72" s="31">
        <v>69</v>
      </c>
      <c r="B72" s="22" t="s">
        <v>39</v>
      </c>
      <c r="C72" s="22" t="s">
        <v>40</v>
      </c>
      <c r="D72" s="22" t="s">
        <v>140</v>
      </c>
      <c r="E72" s="23" t="s">
        <v>148</v>
      </c>
      <c r="F72" s="22" t="s">
        <v>142</v>
      </c>
      <c r="G72" s="22" t="s">
        <v>149</v>
      </c>
      <c r="H72" s="22" t="s">
        <v>30</v>
      </c>
      <c r="I72" s="22" t="s">
        <v>150</v>
      </c>
      <c r="J72" s="22" t="s">
        <v>151</v>
      </c>
      <c r="K72" s="519" t="s">
        <v>896</v>
      </c>
      <c r="L72" s="521" t="s">
        <v>951</v>
      </c>
      <c r="M72" s="521" t="s">
        <v>952</v>
      </c>
      <c r="N72" s="521" t="s">
        <v>885</v>
      </c>
      <c r="O72" s="22" t="s">
        <v>102</v>
      </c>
      <c r="P72" s="69">
        <v>2017</v>
      </c>
      <c r="Q72" s="533">
        <f t="shared" ca="1" si="4"/>
        <v>1.8132975151108125E-2</v>
      </c>
      <c r="R72" s="335">
        <f t="shared" ca="1" si="5"/>
        <v>0</v>
      </c>
      <c r="S72" s="335">
        <f t="shared" ca="1" si="6"/>
        <v>0</v>
      </c>
      <c r="T72" s="429" t="s">
        <v>152</v>
      </c>
      <c r="U72" s="22" t="str">
        <f>Definitions!C7</f>
        <v>D.18-05-041: DAC = Bill accounts in census tracts corresponding to census tracts in the top quartile of CalEnviroScreen 3.0 scores.</v>
      </c>
      <c r="V72" s="24"/>
      <c r="W72" s="21"/>
      <c r="Y72" s="490"/>
    </row>
    <row r="73" spans="1:25" ht="105">
      <c r="A73" s="31">
        <v>70</v>
      </c>
      <c r="B73" s="22" t="s">
        <v>39</v>
      </c>
      <c r="C73" s="22" t="s">
        <v>40</v>
      </c>
      <c r="D73" s="22" t="s">
        <v>140</v>
      </c>
      <c r="E73" s="23" t="s">
        <v>153</v>
      </c>
      <c r="F73" s="22" t="s">
        <v>142</v>
      </c>
      <c r="G73" s="22" t="s">
        <v>154</v>
      </c>
      <c r="H73" s="22" t="s">
        <v>30</v>
      </c>
      <c r="I73" s="22" t="s">
        <v>155</v>
      </c>
      <c r="J73" s="22" t="s">
        <v>156</v>
      </c>
      <c r="K73" s="519" t="s">
        <v>896</v>
      </c>
      <c r="L73" s="521" t="s">
        <v>953</v>
      </c>
      <c r="M73" s="521" t="s">
        <v>954</v>
      </c>
      <c r="N73" s="521" t="s">
        <v>885</v>
      </c>
      <c r="O73" s="22" t="s">
        <v>102</v>
      </c>
      <c r="P73" s="69">
        <v>2017</v>
      </c>
      <c r="Q73" s="533">
        <f t="shared" ca="1" si="4"/>
        <v>2.6755852842809364E-2</v>
      </c>
      <c r="R73" s="335">
        <f t="shared" ca="1" si="5"/>
        <v>0</v>
      </c>
      <c r="S73" s="335">
        <f t="shared" ca="1" si="6"/>
        <v>0</v>
      </c>
      <c r="T73" s="429" t="s">
        <v>157</v>
      </c>
      <c r="U7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73" s="24"/>
      <c r="W73" s="21"/>
      <c r="Y73" s="490"/>
    </row>
    <row r="74" spans="1:25" ht="30">
      <c r="A74" s="31">
        <v>71</v>
      </c>
      <c r="B74" s="22" t="s">
        <v>39</v>
      </c>
      <c r="C74" s="22" t="s">
        <v>40</v>
      </c>
      <c r="D74" s="22" t="s">
        <v>158</v>
      </c>
      <c r="E74" s="23" t="s">
        <v>91</v>
      </c>
      <c r="F74" s="22" t="s">
        <v>92</v>
      </c>
      <c r="G74" s="22" t="s">
        <v>93</v>
      </c>
      <c r="H74" s="22" t="s">
        <v>30</v>
      </c>
      <c r="I74" s="22" t="s">
        <v>159</v>
      </c>
      <c r="J74" s="22" t="s">
        <v>92</v>
      </c>
      <c r="K74" s="519" t="s">
        <v>896</v>
      </c>
      <c r="L74" s="521" t="s">
        <v>955</v>
      </c>
      <c r="M74" s="521" t="s">
        <v>956</v>
      </c>
      <c r="N74" s="521" t="s">
        <v>885</v>
      </c>
      <c r="O74" s="22" t="s">
        <v>102</v>
      </c>
      <c r="P74" s="69">
        <v>2017</v>
      </c>
      <c r="Q74" s="414">
        <f t="shared" ca="1" si="4"/>
        <v>185.09887405791844</v>
      </c>
      <c r="R74" s="335">
        <f t="shared" ca="1" si="5"/>
        <v>0</v>
      </c>
      <c r="S74" s="335">
        <f t="shared" ca="1" si="6"/>
        <v>0</v>
      </c>
      <c r="T74" s="429"/>
      <c r="U74" s="22"/>
      <c r="V74" s="24"/>
      <c r="W74" s="21"/>
      <c r="Y74" s="490"/>
    </row>
    <row r="75" spans="1:25" ht="30">
      <c r="A75" s="31">
        <v>72</v>
      </c>
      <c r="B75" s="22" t="s">
        <v>39</v>
      </c>
      <c r="C75" s="22" t="s">
        <v>40</v>
      </c>
      <c r="D75" s="22" t="s">
        <v>158</v>
      </c>
      <c r="E75" s="23" t="s">
        <v>91</v>
      </c>
      <c r="F75" s="22" t="s">
        <v>95</v>
      </c>
      <c r="G75" s="22" t="s">
        <v>93</v>
      </c>
      <c r="H75" s="22" t="s">
        <v>30</v>
      </c>
      <c r="I75" s="22" t="s">
        <v>159</v>
      </c>
      <c r="J75" s="22" t="s">
        <v>95</v>
      </c>
      <c r="K75" s="519" t="s">
        <v>896</v>
      </c>
      <c r="L75" s="521" t="s">
        <v>957</v>
      </c>
      <c r="M75" s="521" t="s">
        <v>958</v>
      </c>
      <c r="N75" s="521" t="s">
        <v>885</v>
      </c>
      <c r="O75" s="22" t="s">
        <v>102</v>
      </c>
      <c r="P75" s="69">
        <v>2017</v>
      </c>
      <c r="Q75" s="414">
        <f t="shared" ca="1" si="4"/>
        <v>2.2660190848293814E-2</v>
      </c>
      <c r="R75" s="335">
        <f t="shared" ca="1" si="5"/>
        <v>0</v>
      </c>
      <c r="S75" s="335">
        <f t="shared" ca="1" si="6"/>
        <v>0</v>
      </c>
      <c r="T75" s="429"/>
      <c r="U75" s="22"/>
      <c r="V75" s="24"/>
      <c r="W75" s="21"/>
      <c r="Y75" s="490"/>
    </row>
    <row r="76" spans="1:25" ht="30">
      <c r="A76" s="31">
        <v>73</v>
      </c>
      <c r="B76" s="22" t="s">
        <v>39</v>
      </c>
      <c r="C76" s="22" t="s">
        <v>40</v>
      </c>
      <c r="D76" s="22" t="s">
        <v>158</v>
      </c>
      <c r="E76" s="23" t="s">
        <v>91</v>
      </c>
      <c r="F76" s="22" t="s">
        <v>96</v>
      </c>
      <c r="G76" s="22" t="s">
        <v>93</v>
      </c>
      <c r="H76" s="22" t="s">
        <v>30</v>
      </c>
      <c r="I76" s="22" t="s">
        <v>159</v>
      </c>
      <c r="J76" s="22" t="s">
        <v>96</v>
      </c>
      <c r="K76" s="519" t="s">
        <v>896</v>
      </c>
      <c r="L76" s="521" t="s">
        <v>959</v>
      </c>
      <c r="M76" s="521" t="s">
        <v>960</v>
      </c>
      <c r="N76" s="521" t="s">
        <v>885</v>
      </c>
      <c r="O76" s="22" t="s">
        <v>102</v>
      </c>
      <c r="P76" s="69">
        <v>2017</v>
      </c>
      <c r="Q76" s="414">
        <f t="shared" ca="1" si="4"/>
        <v>0.19256602471479006</v>
      </c>
      <c r="R76" s="335">
        <f t="shared" ca="1" si="5"/>
        <v>0</v>
      </c>
      <c r="S76" s="335">
        <f t="shared" ca="1" si="6"/>
        <v>0</v>
      </c>
      <c r="T76" s="429" t="s">
        <v>48</v>
      </c>
      <c r="U76" s="22" t="s">
        <v>49</v>
      </c>
      <c r="V76" s="24"/>
      <c r="W76" s="21"/>
      <c r="Y76" s="490"/>
    </row>
    <row r="77" spans="1:25" ht="30">
      <c r="A77" s="31">
        <v>74</v>
      </c>
      <c r="B77" s="22" t="s">
        <v>39</v>
      </c>
      <c r="C77" s="22" t="s">
        <v>40</v>
      </c>
      <c r="D77" s="22" t="s">
        <v>158</v>
      </c>
      <c r="E77" s="23" t="s">
        <v>91</v>
      </c>
      <c r="F77" s="22" t="s">
        <v>97</v>
      </c>
      <c r="G77" s="22" t="s">
        <v>93</v>
      </c>
      <c r="H77" s="22" t="s">
        <v>30</v>
      </c>
      <c r="I77" s="22" t="s">
        <v>159</v>
      </c>
      <c r="J77" s="22" t="s">
        <v>97</v>
      </c>
      <c r="K77" s="519" t="s">
        <v>896</v>
      </c>
      <c r="L77" s="521" t="s">
        <v>961</v>
      </c>
      <c r="M77" s="521" t="s">
        <v>962</v>
      </c>
      <c r="N77" s="521" t="s">
        <v>885</v>
      </c>
      <c r="O77" s="22" t="s">
        <v>102</v>
      </c>
      <c r="P77" s="69">
        <v>2017</v>
      </c>
      <c r="Q77" s="414">
        <f t="shared" ca="1" si="4"/>
        <v>413.22048092535744</v>
      </c>
      <c r="R77" s="335">
        <f t="shared" ca="1" si="5"/>
        <v>0</v>
      </c>
      <c r="S77" s="335">
        <f t="shared" ca="1" si="6"/>
        <v>0</v>
      </c>
      <c r="T77" s="429"/>
      <c r="U77" s="22"/>
      <c r="V77" s="24"/>
      <c r="W77" s="21"/>
      <c r="Y77" s="490"/>
    </row>
    <row r="78" spans="1:25" ht="30">
      <c r="A78" s="31">
        <v>75</v>
      </c>
      <c r="B78" s="22" t="s">
        <v>39</v>
      </c>
      <c r="C78" s="22" t="s">
        <v>40</v>
      </c>
      <c r="D78" s="22" t="s">
        <v>158</v>
      </c>
      <c r="E78" s="23" t="s">
        <v>91</v>
      </c>
      <c r="F78" s="22" t="s">
        <v>98</v>
      </c>
      <c r="G78" s="22" t="s">
        <v>93</v>
      </c>
      <c r="H78" s="22" t="s">
        <v>30</v>
      </c>
      <c r="I78" s="22" t="s">
        <v>159</v>
      </c>
      <c r="J78" s="22" t="s">
        <v>98</v>
      </c>
      <c r="K78" s="519" t="s">
        <v>896</v>
      </c>
      <c r="L78" s="521" t="s">
        <v>963</v>
      </c>
      <c r="M78" s="521" t="s">
        <v>964</v>
      </c>
      <c r="N78" s="521" t="s">
        <v>885</v>
      </c>
      <c r="O78" s="22" t="s">
        <v>102</v>
      </c>
      <c r="P78" s="69">
        <v>2017</v>
      </c>
      <c r="Q78" s="414">
        <f t="shared" ca="1" si="4"/>
        <v>5.0587314525005783E-2</v>
      </c>
      <c r="R78" s="335">
        <f t="shared" ca="1" si="5"/>
        <v>0</v>
      </c>
      <c r="S78" s="335">
        <f t="shared" ca="1" si="6"/>
        <v>0</v>
      </c>
      <c r="T78" s="429"/>
      <c r="U78" s="22"/>
      <c r="V78" s="24"/>
      <c r="W78" s="21"/>
      <c r="Y78" s="490"/>
    </row>
    <row r="79" spans="1:25" ht="30">
      <c r="A79" s="31">
        <v>76</v>
      </c>
      <c r="B79" s="22" t="s">
        <v>39</v>
      </c>
      <c r="C79" s="22" t="s">
        <v>40</v>
      </c>
      <c r="D79" s="22" t="s">
        <v>158</v>
      </c>
      <c r="E79" s="23" t="s">
        <v>91</v>
      </c>
      <c r="F79" s="22" t="s">
        <v>99</v>
      </c>
      <c r="G79" s="22" t="s">
        <v>93</v>
      </c>
      <c r="H79" s="22" t="s">
        <v>30</v>
      </c>
      <c r="I79" s="22" t="s">
        <v>159</v>
      </c>
      <c r="J79" s="22" t="s">
        <v>99</v>
      </c>
      <c r="K79" s="519" t="s">
        <v>896</v>
      </c>
      <c r="L79" s="521" t="s">
        <v>965</v>
      </c>
      <c r="M79" s="521" t="s">
        <v>966</v>
      </c>
      <c r="N79" s="521" t="s">
        <v>885</v>
      </c>
      <c r="O79" s="22" t="s">
        <v>102</v>
      </c>
      <c r="P79" s="69">
        <v>2017</v>
      </c>
      <c r="Q79" s="414">
        <f t="shared" ca="1" si="4"/>
        <v>0.42989038019556641</v>
      </c>
      <c r="R79" s="335">
        <f t="shared" ca="1" si="5"/>
        <v>0</v>
      </c>
      <c r="S79" s="335">
        <f t="shared" ca="1" si="6"/>
        <v>0</v>
      </c>
      <c r="T79" s="429" t="s">
        <v>48</v>
      </c>
      <c r="U79" s="22" t="s">
        <v>49</v>
      </c>
      <c r="V79" s="24"/>
      <c r="W79" s="21"/>
      <c r="Y79" s="490"/>
    </row>
    <row r="80" spans="1:25" ht="45">
      <c r="A80" s="31">
        <v>77</v>
      </c>
      <c r="B80" s="22" t="s">
        <v>39</v>
      </c>
      <c r="C80" s="22" t="s">
        <v>40</v>
      </c>
      <c r="D80" s="22" t="s">
        <v>160</v>
      </c>
      <c r="E80" s="23" t="s">
        <v>161</v>
      </c>
      <c r="F80" s="22" t="s">
        <v>162</v>
      </c>
      <c r="G80" s="22" t="s">
        <v>163</v>
      </c>
      <c r="H80" s="22" t="s">
        <v>164</v>
      </c>
      <c r="I80" s="22" t="s">
        <v>165</v>
      </c>
      <c r="J80" s="22" t="s">
        <v>166</v>
      </c>
      <c r="K80" s="519" t="s">
        <v>896</v>
      </c>
      <c r="L80" s="521" t="s">
        <v>967</v>
      </c>
      <c r="M80" s="521" t="s">
        <v>968</v>
      </c>
      <c r="N80" s="521" t="s">
        <v>815</v>
      </c>
      <c r="O80" s="22" t="s">
        <v>102</v>
      </c>
      <c r="P80" s="69" t="s">
        <v>167</v>
      </c>
      <c r="Q80" s="414">
        <f t="shared" ca="1" si="4"/>
        <v>19533.959284520995</v>
      </c>
      <c r="R80" s="335" t="str">
        <f t="shared" ca="1" si="5"/>
        <v>N/A</v>
      </c>
      <c r="S80" s="335" t="str">
        <f t="shared" ca="1" si="6"/>
        <v>N/A</v>
      </c>
      <c r="T80" s="429" t="s">
        <v>168</v>
      </c>
      <c r="U80" s="22" t="s">
        <v>169</v>
      </c>
      <c r="V80" s="24"/>
      <c r="W80" s="21"/>
      <c r="Y80" s="490"/>
    </row>
    <row r="81" spans="1:25" ht="60">
      <c r="A81" s="31">
        <v>78</v>
      </c>
      <c r="B81" s="22" t="s">
        <v>39</v>
      </c>
      <c r="C81" s="22" t="s">
        <v>40</v>
      </c>
      <c r="D81" s="22" t="s">
        <v>170</v>
      </c>
      <c r="E81" s="23" t="s">
        <v>171</v>
      </c>
      <c r="F81" s="22" t="s">
        <v>52</v>
      </c>
      <c r="G81" s="22" t="s">
        <v>53</v>
      </c>
      <c r="H81" s="22" t="s">
        <v>30</v>
      </c>
      <c r="I81" s="22" t="s">
        <v>172</v>
      </c>
      <c r="J81" s="22" t="s">
        <v>173</v>
      </c>
      <c r="K81" s="519" t="s">
        <v>969</v>
      </c>
      <c r="L81" s="521" t="s">
        <v>970</v>
      </c>
      <c r="M81" s="521" t="s">
        <v>971</v>
      </c>
      <c r="N81" s="521" t="s">
        <v>815</v>
      </c>
      <c r="O81" s="22" t="s">
        <v>174</v>
      </c>
      <c r="P81" s="69">
        <v>2017</v>
      </c>
      <c r="Q81" s="414">
        <f t="shared" ca="1" si="4"/>
        <v>491.41787051347353</v>
      </c>
      <c r="R81" s="335" t="str">
        <f t="shared" ca="1" si="5"/>
        <v>N/A</v>
      </c>
      <c r="S81" s="335" t="str">
        <f t="shared" ca="1" si="6"/>
        <v>N/A</v>
      </c>
      <c r="T81" s="429" t="s">
        <v>899</v>
      </c>
      <c r="U81" s="22"/>
      <c r="V81" s="24"/>
      <c r="W81" s="21"/>
      <c r="Y81" s="490"/>
    </row>
    <row r="82" spans="1:25" ht="60">
      <c r="A82" s="31">
        <v>79</v>
      </c>
      <c r="B82" s="22" t="s">
        <v>39</v>
      </c>
      <c r="C82" s="22" t="s">
        <v>40</v>
      </c>
      <c r="D82" s="22" t="s">
        <v>170</v>
      </c>
      <c r="E82" s="23" t="s">
        <v>171</v>
      </c>
      <c r="F82" s="22" t="s">
        <v>55</v>
      </c>
      <c r="G82" s="22" t="s">
        <v>53</v>
      </c>
      <c r="H82" s="22" t="s">
        <v>30</v>
      </c>
      <c r="I82" s="22" t="s">
        <v>172</v>
      </c>
      <c r="J82" s="22" t="s">
        <v>175</v>
      </c>
      <c r="K82" s="519" t="s">
        <v>969</v>
      </c>
      <c r="L82" s="521" t="s">
        <v>972</v>
      </c>
      <c r="M82" s="521" t="s">
        <v>973</v>
      </c>
      <c r="N82" s="521" t="s">
        <v>815</v>
      </c>
      <c r="O82" s="22" t="s">
        <v>174</v>
      </c>
      <c r="P82" s="69">
        <v>2017</v>
      </c>
      <c r="Q82" s="414">
        <f t="shared" ca="1" si="4"/>
        <v>318.91910754790689</v>
      </c>
      <c r="R82" s="335" t="str">
        <f t="shared" ca="1" si="5"/>
        <v>N/A</v>
      </c>
      <c r="S82" s="335" t="str">
        <f t="shared" ca="1" si="6"/>
        <v>N/A</v>
      </c>
      <c r="T82" s="429" t="s">
        <v>899</v>
      </c>
      <c r="U82" s="22"/>
      <c r="V82" s="24"/>
      <c r="W82" s="21"/>
      <c r="Y82" s="490"/>
    </row>
    <row r="83" spans="1:25" ht="60">
      <c r="A83" s="31">
        <v>80</v>
      </c>
      <c r="B83" s="22" t="s">
        <v>39</v>
      </c>
      <c r="C83" s="22" t="s">
        <v>40</v>
      </c>
      <c r="D83" s="22" t="s">
        <v>170</v>
      </c>
      <c r="E83" s="23" t="s">
        <v>171</v>
      </c>
      <c r="F83" s="22" t="s">
        <v>56</v>
      </c>
      <c r="G83" s="22" t="s">
        <v>53</v>
      </c>
      <c r="H83" s="22" t="s">
        <v>30</v>
      </c>
      <c r="I83" s="22" t="s">
        <v>172</v>
      </c>
      <c r="J83" s="22" t="s">
        <v>176</v>
      </c>
      <c r="K83" s="519" t="s">
        <v>969</v>
      </c>
      <c r="L83" s="521" t="s">
        <v>974</v>
      </c>
      <c r="M83" s="521" t="s">
        <v>975</v>
      </c>
      <c r="N83" s="521" t="s">
        <v>815</v>
      </c>
      <c r="O83" s="22" t="s">
        <v>174</v>
      </c>
      <c r="P83" s="69">
        <v>2017</v>
      </c>
      <c r="Q83" s="414">
        <f t="shared" ca="1" si="4"/>
        <v>1927660.3566466852</v>
      </c>
      <c r="R83" s="335" t="str">
        <f t="shared" ca="1" si="5"/>
        <v>N/A</v>
      </c>
      <c r="S83" s="335" t="str">
        <f t="shared" ca="1" si="6"/>
        <v>N/A</v>
      </c>
      <c r="T83" s="429" t="s">
        <v>899</v>
      </c>
      <c r="U83" s="22"/>
      <c r="V83" s="24"/>
      <c r="W83" s="21"/>
      <c r="Y83" s="490"/>
    </row>
    <row r="84" spans="1:25" ht="60">
      <c r="A84" s="31">
        <v>81</v>
      </c>
      <c r="B84" s="22" t="s">
        <v>39</v>
      </c>
      <c r="C84" s="22" t="s">
        <v>40</v>
      </c>
      <c r="D84" s="22" t="s">
        <v>170</v>
      </c>
      <c r="E84" s="23" t="s">
        <v>171</v>
      </c>
      <c r="F84" s="22" t="s">
        <v>57</v>
      </c>
      <c r="G84" s="22" t="s">
        <v>53</v>
      </c>
      <c r="H84" s="22" t="s">
        <v>30</v>
      </c>
      <c r="I84" s="22" t="s">
        <v>172</v>
      </c>
      <c r="J84" s="22" t="s">
        <v>177</v>
      </c>
      <c r="K84" s="519" t="s">
        <v>969</v>
      </c>
      <c r="L84" s="521" t="s">
        <v>976</v>
      </c>
      <c r="M84" s="521" t="s">
        <v>977</v>
      </c>
      <c r="N84" s="521" t="s">
        <v>815</v>
      </c>
      <c r="O84" s="22" t="s">
        <v>174</v>
      </c>
      <c r="P84" s="69">
        <v>2017</v>
      </c>
      <c r="Q84" s="414">
        <f t="shared" ca="1" si="4"/>
        <v>1313895.7263670263</v>
      </c>
      <c r="R84" s="335" t="str">
        <f t="shared" ca="1" si="5"/>
        <v>N/A</v>
      </c>
      <c r="S84" s="335" t="str">
        <f t="shared" ca="1" si="6"/>
        <v>N/A</v>
      </c>
      <c r="T84" s="429" t="s">
        <v>899</v>
      </c>
      <c r="U84" s="22"/>
      <c r="V84" s="24"/>
      <c r="W84" s="21"/>
      <c r="Y84" s="490"/>
    </row>
    <row r="85" spans="1:25" ht="60">
      <c r="A85" s="31">
        <v>82</v>
      </c>
      <c r="B85" s="22" t="s">
        <v>39</v>
      </c>
      <c r="C85" s="22" t="s">
        <v>40</v>
      </c>
      <c r="D85" s="22" t="s">
        <v>170</v>
      </c>
      <c r="E85" s="23" t="s">
        <v>171</v>
      </c>
      <c r="F85" s="22" t="s">
        <v>58</v>
      </c>
      <c r="G85" s="22" t="s">
        <v>53</v>
      </c>
      <c r="H85" s="22" t="s">
        <v>30</v>
      </c>
      <c r="I85" s="22" t="s">
        <v>172</v>
      </c>
      <c r="J85" s="22" t="s">
        <v>178</v>
      </c>
      <c r="K85" s="519" t="s">
        <v>969</v>
      </c>
      <c r="L85" s="521" t="s">
        <v>978</v>
      </c>
      <c r="M85" s="521" t="s">
        <v>979</v>
      </c>
      <c r="N85" s="521" t="s">
        <v>815</v>
      </c>
      <c r="O85" s="22" t="s">
        <v>174</v>
      </c>
      <c r="P85" s="69">
        <v>2017</v>
      </c>
      <c r="Q85" s="414">
        <f t="shared" ca="1" si="4"/>
        <v>36224.955523545803</v>
      </c>
      <c r="R85" s="335" t="str">
        <f t="shared" ca="1" si="5"/>
        <v>N/A</v>
      </c>
      <c r="S85" s="335" t="str">
        <f t="shared" ca="1" si="6"/>
        <v>N/A</v>
      </c>
      <c r="T85" s="429" t="s">
        <v>899</v>
      </c>
      <c r="U85" s="22" t="str">
        <f>Definitions!C$20</f>
        <v>A multi-family unit. Designated by a unique billing account under rate GR and location code (LC_CD) = B, C, D (&gt;= 2 units)</v>
      </c>
      <c r="V85" s="24"/>
      <c r="W85" s="21"/>
      <c r="Y85" s="490"/>
    </row>
    <row r="86" spans="1:25" ht="60">
      <c r="A86" s="31">
        <v>83</v>
      </c>
      <c r="B86" s="22" t="s">
        <v>39</v>
      </c>
      <c r="C86" s="22" t="s">
        <v>40</v>
      </c>
      <c r="D86" s="22" t="s">
        <v>170</v>
      </c>
      <c r="E86" s="23" t="s">
        <v>171</v>
      </c>
      <c r="F86" s="22" t="s">
        <v>60</v>
      </c>
      <c r="G86" s="22" t="s">
        <v>53</v>
      </c>
      <c r="H86" s="22" t="s">
        <v>30</v>
      </c>
      <c r="I86" s="22" t="s">
        <v>172</v>
      </c>
      <c r="J86" s="22" t="s">
        <v>180</v>
      </c>
      <c r="K86" s="519" t="s">
        <v>969</v>
      </c>
      <c r="L86" s="521" t="s">
        <v>980</v>
      </c>
      <c r="M86" s="521" t="s">
        <v>981</v>
      </c>
      <c r="N86" s="521" t="s">
        <v>815</v>
      </c>
      <c r="O86" s="22" t="s">
        <v>174</v>
      </c>
      <c r="P86" s="69">
        <v>2017</v>
      </c>
      <c r="Q86" s="414">
        <f t="shared" ca="1" si="4"/>
        <v>24024.130264612726</v>
      </c>
      <c r="R86" s="335" t="str">
        <f t="shared" ca="1" si="5"/>
        <v>N/A</v>
      </c>
      <c r="S86" s="335" t="str">
        <f t="shared" ca="1" si="6"/>
        <v>N/A</v>
      </c>
      <c r="T86" s="429" t="s">
        <v>899</v>
      </c>
      <c r="U86" s="22" t="str">
        <f>Definitions!C$20</f>
        <v>A multi-family unit. Designated by a unique billing account under rate GR and location code (LC_CD) = B, C, D (&gt;= 2 units)</v>
      </c>
      <c r="V86" s="24"/>
      <c r="W86" s="21"/>
      <c r="Y86" s="490"/>
    </row>
    <row r="87" spans="1:25" ht="60">
      <c r="A87" s="31">
        <v>84</v>
      </c>
      <c r="B87" s="22" t="s">
        <v>39</v>
      </c>
      <c r="C87" s="22" t="s">
        <v>40</v>
      </c>
      <c r="D87" s="22" t="s">
        <v>170</v>
      </c>
      <c r="E87" s="23" t="s">
        <v>171</v>
      </c>
      <c r="F87" s="22" t="s">
        <v>61</v>
      </c>
      <c r="G87" s="22" t="s">
        <v>53</v>
      </c>
      <c r="H87" s="22" t="s">
        <v>30</v>
      </c>
      <c r="I87" s="22" t="s">
        <v>172</v>
      </c>
      <c r="J87" s="22" t="s">
        <v>181</v>
      </c>
      <c r="K87" s="519" t="s">
        <v>969</v>
      </c>
      <c r="L87" s="521" t="s">
        <v>982</v>
      </c>
      <c r="M87" s="521" t="s">
        <v>983</v>
      </c>
      <c r="N87" s="521" t="s">
        <v>815</v>
      </c>
      <c r="O87" s="22" t="s">
        <v>174</v>
      </c>
      <c r="P87" s="69">
        <v>2017</v>
      </c>
      <c r="Q87" s="414">
        <f t="shared" ca="1" si="4"/>
        <v>6857.0031069133192</v>
      </c>
      <c r="R87" s="335" t="str">
        <f t="shared" ca="1" si="5"/>
        <v>N/A</v>
      </c>
      <c r="S87" s="335" t="str">
        <f t="shared" ca="1" si="6"/>
        <v>N/A</v>
      </c>
      <c r="T87" s="429" t="s">
        <v>899</v>
      </c>
      <c r="U87" s="22"/>
      <c r="V87" s="24"/>
      <c r="W87" s="21"/>
      <c r="Y87" s="490"/>
    </row>
    <row r="88" spans="1:25" ht="60">
      <c r="A88" s="31">
        <v>85</v>
      </c>
      <c r="B88" s="22" t="s">
        <v>39</v>
      </c>
      <c r="C88" s="22" t="s">
        <v>40</v>
      </c>
      <c r="D88" s="22" t="s">
        <v>170</v>
      </c>
      <c r="E88" s="23" t="s">
        <v>171</v>
      </c>
      <c r="F88" s="22" t="s">
        <v>62</v>
      </c>
      <c r="G88" s="22" t="s">
        <v>53</v>
      </c>
      <c r="H88" s="22" t="s">
        <v>30</v>
      </c>
      <c r="I88" s="22" t="s">
        <v>172</v>
      </c>
      <c r="J88" s="22" t="s">
        <v>182</v>
      </c>
      <c r="K88" s="519" t="s">
        <v>969</v>
      </c>
      <c r="L88" s="521" t="s">
        <v>984</v>
      </c>
      <c r="M88" s="521" t="s">
        <v>985</v>
      </c>
      <c r="N88" s="521" t="s">
        <v>815</v>
      </c>
      <c r="O88" s="22" t="s">
        <v>174</v>
      </c>
      <c r="P88" s="69">
        <v>2017</v>
      </c>
      <c r="Q88" s="414">
        <f t="shared" ca="1" si="4"/>
        <v>4339.8669662691809</v>
      </c>
      <c r="R88" s="335" t="str">
        <f t="shared" ca="1" si="5"/>
        <v>N/A</v>
      </c>
      <c r="S88" s="335" t="str">
        <f t="shared" ca="1" si="6"/>
        <v>N/A</v>
      </c>
      <c r="T88" s="429" t="s">
        <v>899</v>
      </c>
      <c r="U88" s="22"/>
      <c r="V88" s="24"/>
      <c r="W88" s="21"/>
      <c r="Y88" s="490"/>
    </row>
    <row r="89" spans="1:25" ht="60">
      <c r="A89" s="31">
        <v>86</v>
      </c>
      <c r="B89" s="22" t="s">
        <v>39</v>
      </c>
      <c r="C89" s="22" t="s">
        <v>40</v>
      </c>
      <c r="D89" s="22" t="s">
        <v>170</v>
      </c>
      <c r="E89" s="23" t="s">
        <v>171</v>
      </c>
      <c r="F89" s="22" t="s">
        <v>63</v>
      </c>
      <c r="G89" s="22" t="s">
        <v>53</v>
      </c>
      <c r="H89" s="22" t="s">
        <v>30</v>
      </c>
      <c r="I89" s="22" t="s">
        <v>172</v>
      </c>
      <c r="J89" s="22" t="s">
        <v>183</v>
      </c>
      <c r="K89" s="519" t="s">
        <v>969</v>
      </c>
      <c r="L89" s="521" t="s">
        <v>986</v>
      </c>
      <c r="M89" s="521" t="s">
        <v>987</v>
      </c>
      <c r="N89" s="521" t="s">
        <v>815</v>
      </c>
      <c r="O89" s="22" t="s">
        <v>174</v>
      </c>
      <c r="P89" s="69">
        <v>2017</v>
      </c>
      <c r="Q89" s="414">
        <f t="shared" ca="1" si="4"/>
        <v>25237042.285346583</v>
      </c>
      <c r="R89" s="335" t="str">
        <f t="shared" ca="1" si="5"/>
        <v>N/A</v>
      </c>
      <c r="S89" s="335" t="str">
        <f t="shared" ca="1" si="6"/>
        <v>N/A</v>
      </c>
      <c r="T89" s="429" t="s">
        <v>899</v>
      </c>
      <c r="U89" s="22"/>
      <c r="V89" s="24"/>
      <c r="W89" s="21"/>
      <c r="Y89" s="490"/>
    </row>
    <row r="90" spans="1:25" ht="60">
      <c r="A90" s="31">
        <v>87</v>
      </c>
      <c r="B90" s="22" t="s">
        <v>39</v>
      </c>
      <c r="C90" s="22" t="s">
        <v>40</v>
      </c>
      <c r="D90" s="22" t="s">
        <v>170</v>
      </c>
      <c r="E90" s="23" t="s">
        <v>171</v>
      </c>
      <c r="F90" s="22" t="s">
        <v>64</v>
      </c>
      <c r="G90" s="22" t="s">
        <v>53</v>
      </c>
      <c r="H90" s="22" t="s">
        <v>30</v>
      </c>
      <c r="I90" s="22" t="s">
        <v>172</v>
      </c>
      <c r="J90" s="22" t="s">
        <v>184</v>
      </c>
      <c r="K90" s="519" t="s">
        <v>969</v>
      </c>
      <c r="L90" s="521" t="s">
        <v>988</v>
      </c>
      <c r="M90" s="521" t="s">
        <v>989</v>
      </c>
      <c r="N90" s="521" t="s">
        <v>815</v>
      </c>
      <c r="O90" s="22" t="s">
        <v>174</v>
      </c>
      <c r="P90" s="69">
        <v>2017</v>
      </c>
      <c r="Q90" s="414">
        <f t="shared" ca="1" si="4"/>
        <v>16538879.534338683</v>
      </c>
      <c r="R90" s="335" t="str">
        <f t="shared" ca="1" si="5"/>
        <v>N/A</v>
      </c>
      <c r="S90" s="335" t="str">
        <f t="shared" ca="1" si="6"/>
        <v>N/A</v>
      </c>
      <c r="T90" s="429" t="s">
        <v>899</v>
      </c>
      <c r="U90" s="22"/>
      <c r="V90" s="24"/>
      <c r="W90" s="21"/>
      <c r="Y90" s="490"/>
    </row>
    <row r="91" spans="1:25" ht="60">
      <c r="A91" s="31">
        <v>88</v>
      </c>
      <c r="B91" s="22" t="s">
        <v>39</v>
      </c>
      <c r="C91" s="22" t="s">
        <v>40</v>
      </c>
      <c r="D91" s="22" t="s">
        <v>170</v>
      </c>
      <c r="E91" s="23" t="s">
        <v>171</v>
      </c>
      <c r="F91" s="22" t="s">
        <v>65</v>
      </c>
      <c r="G91" s="22" t="s">
        <v>53</v>
      </c>
      <c r="H91" s="22" t="s">
        <v>30</v>
      </c>
      <c r="I91" s="22" t="s">
        <v>172</v>
      </c>
      <c r="J91" s="22" t="s">
        <v>185</v>
      </c>
      <c r="K91" s="519" t="s">
        <v>969</v>
      </c>
      <c r="L91" s="521" t="s">
        <v>990</v>
      </c>
      <c r="M91" s="521" t="s">
        <v>991</v>
      </c>
      <c r="N91" s="521" t="s">
        <v>815</v>
      </c>
      <c r="O91" s="22" t="s">
        <v>174</v>
      </c>
      <c r="P91" s="69">
        <v>2017</v>
      </c>
      <c r="Q91" s="414">
        <f t="shared" ca="1" si="4"/>
        <v>525635.65437626862</v>
      </c>
      <c r="R91" s="335" t="str">
        <f t="shared" ca="1" si="5"/>
        <v>N/A</v>
      </c>
      <c r="S91" s="335" t="str">
        <f t="shared" ca="1" si="6"/>
        <v>N/A</v>
      </c>
      <c r="T91" s="429" t="s">
        <v>899</v>
      </c>
      <c r="U91" s="22" t="str">
        <f>Definitions!C$20</f>
        <v>A multi-family unit. Designated by a unique billing account under rate GR and location code (LC_CD) = B, C, D (&gt;= 2 units)</v>
      </c>
      <c r="V91" s="24"/>
      <c r="W91" s="21"/>
      <c r="Y91" s="490"/>
    </row>
    <row r="92" spans="1:25" ht="60">
      <c r="A92" s="31">
        <v>89</v>
      </c>
      <c r="B92" s="22" t="s">
        <v>39</v>
      </c>
      <c r="C92" s="22" t="s">
        <v>40</v>
      </c>
      <c r="D92" s="22" t="s">
        <v>170</v>
      </c>
      <c r="E92" s="23" t="s">
        <v>171</v>
      </c>
      <c r="F92" s="22" t="s">
        <v>66</v>
      </c>
      <c r="G92" s="22" t="s">
        <v>53</v>
      </c>
      <c r="H92" s="22" t="s">
        <v>30</v>
      </c>
      <c r="I92" s="22" t="s">
        <v>172</v>
      </c>
      <c r="J92" s="22" t="s">
        <v>186</v>
      </c>
      <c r="K92" s="519" t="s">
        <v>969</v>
      </c>
      <c r="L92" s="521" t="s">
        <v>992</v>
      </c>
      <c r="M92" s="521" t="s">
        <v>993</v>
      </c>
      <c r="N92" s="521" t="s">
        <v>815</v>
      </c>
      <c r="O92" s="22" t="s">
        <v>174</v>
      </c>
      <c r="P92" s="69">
        <v>2017</v>
      </c>
      <c r="Q92" s="414">
        <f t="shared" ca="1" si="4"/>
        <v>349439.29916558019</v>
      </c>
      <c r="R92" s="335" t="str">
        <f t="shared" ca="1" si="5"/>
        <v>N/A</v>
      </c>
      <c r="S92" s="335" t="str">
        <f t="shared" ca="1" si="6"/>
        <v>N/A</v>
      </c>
      <c r="T92" s="429" t="s">
        <v>899</v>
      </c>
      <c r="U92" s="22" t="str">
        <f>Definitions!C$20</f>
        <v>A multi-family unit. Designated by a unique billing account under rate GR and location code (LC_CD) = B, C, D (&gt;= 2 units)</v>
      </c>
      <c r="V92" s="24"/>
      <c r="W92" s="21"/>
      <c r="Y92" s="490"/>
    </row>
    <row r="93" spans="1:25" ht="60">
      <c r="A93" s="31">
        <v>90</v>
      </c>
      <c r="B93" s="22" t="s">
        <v>39</v>
      </c>
      <c r="C93" s="22" t="s">
        <v>40</v>
      </c>
      <c r="D93" s="22" t="s">
        <v>170</v>
      </c>
      <c r="E93" s="23" t="s">
        <v>187</v>
      </c>
      <c r="F93" s="22" t="s">
        <v>52</v>
      </c>
      <c r="G93" s="22" t="s">
        <v>53</v>
      </c>
      <c r="H93" s="22" t="s">
        <v>30</v>
      </c>
      <c r="I93" s="22" t="s">
        <v>172</v>
      </c>
      <c r="J93" s="22" t="s">
        <v>188</v>
      </c>
      <c r="K93" s="519" t="s">
        <v>969</v>
      </c>
      <c r="L93" s="521" t="s">
        <v>994</v>
      </c>
      <c r="M93" s="521" t="s">
        <v>995</v>
      </c>
      <c r="N93" s="521" t="s">
        <v>815</v>
      </c>
      <c r="O93" s="22" t="s">
        <v>174</v>
      </c>
      <c r="P93" s="69">
        <v>2017</v>
      </c>
      <c r="Q93" s="414">
        <f t="shared" ca="1" si="4"/>
        <v>3.2145977314806737</v>
      </c>
      <c r="R93" s="335" t="str">
        <f t="shared" ca="1" si="5"/>
        <v>N/A</v>
      </c>
      <c r="S93" s="335" t="str">
        <f t="shared" ca="1" si="6"/>
        <v>N/A</v>
      </c>
      <c r="T93" s="429" t="s">
        <v>899</v>
      </c>
      <c r="U93" s="22"/>
      <c r="V93" s="24"/>
      <c r="W93" s="21"/>
      <c r="Y93" s="490"/>
    </row>
    <row r="94" spans="1:25" ht="60">
      <c r="A94" s="31">
        <v>91</v>
      </c>
      <c r="B94" s="22" t="s">
        <v>39</v>
      </c>
      <c r="C94" s="22" t="s">
        <v>40</v>
      </c>
      <c r="D94" s="22" t="s">
        <v>170</v>
      </c>
      <c r="E94" s="23" t="s">
        <v>187</v>
      </c>
      <c r="F94" s="22" t="s">
        <v>55</v>
      </c>
      <c r="G94" s="22" t="s">
        <v>53</v>
      </c>
      <c r="H94" s="22" t="s">
        <v>30</v>
      </c>
      <c r="I94" s="22" t="s">
        <v>172</v>
      </c>
      <c r="J94" s="22" t="s">
        <v>189</v>
      </c>
      <c r="K94" s="519" t="s">
        <v>969</v>
      </c>
      <c r="L94" s="521" t="s">
        <v>996</v>
      </c>
      <c r="M94" s="521" t="s">
        <v>997</v>
      </c>
      <c r="N94" s="521" t="s">
        <v>815</v>
      </c>
      <c r="O94" s="22" t="s">
        <v>174</v>
      </c>
      <c r="P94" s="69">
        <v>2017</v>
      </c>
      <c r="Q94" s="414">
        <f t="shared" ca="1" si="4"/>
        <v>2.4964126509166493</v>
      </c>
      <c r="R94" s="335" t="str">
        <f t="shared" ca="1" si="5"/>
        <v>N/A</v>
      </c>
      <c r="S94" s="335" t="str">
        <f t="shared" ca="1" si="6"/>
        <v>N/A</v>
      </c>
      <c r="T94" s="429" t="s">
        <v>899</v>
      </c>
      <c r="U94" s="22"/>
      <c r="V94" s="24"/>
      <c r="W94" s="21"/>
      <c r="Y94" s="490"/>
    </row>
    <row r="95" spans="1:25" ht="60">
      <c r="A95" s="31">
        <v>92</v>
      </c>
      <c r="B95" s="22" t="s">
        <v>39</v>
      </c>
      <c r="C95" s="22" t="s">
        <v>40</v>
      </c>
      <c r="D95" s="22" t="s">
        <v>170</v>
      </c>
      <c r="E95" s="23" t="s">
        <v>187</v>
      </c>
      <c r="F95" s="22" t="s">
        <v>56</v>
      </c>
      <c r="G95" s="22" t="s">
        <v>53</v>
      </c>
      <c r="H95" s="22" t="s">
        <v>30</v>
      </c>
      <c r="I95" s="22" t="s">
        <v>172</v>
      </c>
      <c r="J95" s="22" t="s">
        <v>190</v>
      </c>
      <c r="K95" s="519" t="s">
        <v>969</v>
      </c>
      <c r="L95" s="521" t="s">
        <v>998</v>
      </c>
      <c r="M95" s="521" t="s">
        <v>999</v>
      </c>
      <c r="N95" s="521" t="s">
        <v>815</v>
      </c>
      <c r="O95" s="22" t="s">
        <v>174</v>
      </c>
      <c r="P95" s="69">
        <v>2017</v>
      </c>
      <c r="Q95" s="414">
        <f t="shared" ca="1" si="4"/>
        <v>75731.238205650938</v>
      </c>
      <c r="R95" s="335" t="str">
        <f t="shared" ca="1" si="5"/>
        <v>N/A</v>
      </c>
      <c r="S95" s="335" t="str">
        <f t="shared" ca="1" si="6"/>
        <v>N/A</v>
      </c>
      <c r="T95" s="429" t="s">
        <v>899</v>
      </c>
      <c r="U95" s="22"/>
      <c r="V95" s="24"/>
      <c r="W95" s="21"/>
      <c r="Y95" s="490"/>
    </row>
    <row r="96" spans="1:25" ht="60">
      <c r="A96" s="31">
        <v>93</v>
      </c>
      <c r="B96" s="22" t="s">
        <v>39</v>
      </c>
      <c r="C96" s="22" t="s">
        <v>40</v>
      </c>
      <c r="D96" s="22" t="s">
        <v>170</v>
      </c>
      <c r="E96" s="23" t="s">
        <v>187</v>
      </c>
      <c r="F96" s="22" t="s">
        <v>57</v>
      </c>
      <c r="G96" s="22" t="s">
        <v>53</v>
      </c>
      <c r="H96" s="22" t="s">
        <v>30</v>
      </c>
      <c r="I96" s="22" t="s">
        <v>172</v>
      </c>
      <c r="J96" s="22" t="s">
        <v>191</v>
      </c>
      <c r="K96" s="519" t="s">
        <v>969</v>
      </c>
      <c r="L96" s="521" t="s">
        <v>1000</v>
      </c>
      <c r="M96" s="521" t="s">
        <v>1001</v>
      </c>
      <c r="N96" s="521" t="s">
        <v>815</v>
      </c>
      <c r="O96" s="22" t="s">
        <v>174</v>
      </c>
      <c r="P96" s="69">
        <v>2017</v>
      </c>
      <c r="Q96" s="414">
        <f t="shared" ca="1" si="4"/>
        <v>51888.273623867812</v>
      </c>
      <c r="R96" s="335" t="str">
        <f t="shared" ca="1" si="5"/>
        <v>N/A</v>
      </c>
      <c r="S96" s="335" t="str">
        <f t="shared" ca="1" si="6"/>
        <v>N/A</v>
      </c>
      <c r="T96" s="429" t="s">
        <v>899</v>
      </c>
      <c r="U96" s="22"/>
      <c r="V96" s="24"/>
      <c r="W96" s="21"/>
      <c r="Y96" s="490"/>
    </row>
    <row r="97" spans="1:25" ht="60">
      <c r="A97" s="31">
        <v>94</v>
      </c>
      <c r="B97" s="22" t="s">
        <v>39</v>
      </c>
      <c r="C97" s="22" t="s">
        <v>40</v>
      </c>
      <c r="D97" s="22" t="s">
        <v>170</v>
      </c>
      <c r="E97" s="23" t="s">
        <v>187</v>
      </c>
      <c r="F97" s="22" t="s">
        <v>58</v>
      </c>
      <c r="G97" s="22" t="s">
        <v>53</v>
      </c>
      <c r="H97" s="22" t="s">
        <v>30</v>
      </c>
      <c r="I97" s="22" t="s">
        <v>172</v>
      </c>
      <c r="J97" s="22" t="s">
        <v>192</v>
      </c>
      <c r="K97" s="519" t="s">
        <v>969</v>
      </c>
      <c r="L97" s="521" t="s">
        <v>1002</v>
      </c>
      <c r="M97" s="521" t="s">
        <v>1003</v>
      </c>
      <c r="N97" s="521" t="s">
        <v>815</v>
      </c>
      <c r="O97" s="22" t="s">
        <v>174</v>
      </c>
      <c r="P97" s="69">
        <v>2017</v>
      </c>
      <c r="Q97" s="414">
        <f t="shared" ca="1" si="4"/>
        <v>340.85037339717735</v>
      </c>
      <c r="R97" s="335" t="str">
        <f t="shared" ca="1" si="5"/>
        <v>N/A</v>
      </c>
      <c r="S97" s="335" t="str">
        <f t="shared" ca="1" si="6"/>
        <v>N/A</v>
      </c>
      <c r="T97" s="429" t="s">
        <v>899</v>
      </c>
      <c r="U97" s="22" t="str">
        <f>Definitions!C$22</f>
        <v>AL 3826. Natural gas procurement for MF accomodations supply Baseline uses through one meter. Such as service will be billed under rates designated for GM-E, GM-BE or GM-BEC, as appropriate.</v>
      </c>
      <c r="V97" s="24"/>
      <c r="W97" s="21"/>
      <c r="Y97" s="490"/>
    </row>
    <row r="98" spans="1:25" ht="60">
      <c r="A98" s="31">
        <v>95</v>
      </c>
      <c r="B98" s="22" t="s">
        <v>39</v>
      </c>
      <c r="C98" s="22" t="s">
        <v>40</v>
      </c>
      <c r="D98" s="22" t="s">
        <v>170</v>
      </c>
      <c r="E98" s="23" t="s">
        <v>187</v>
      </c>
      <c r="F98" s="22" t="s">
        <v>60</v>
      </c>
      <c r="G98" s="22" t="s">
        <v>53</v>
      </c>
      <c r="H98" s="22" t="s">
        <v>30</v>
      </c>
      <c r="I98" s="22" t="s">
        <v>172</v>
      </c>
      <c r="J98" s="22" t="s">
        <v>193</v>
      </c>
      <c r="K98" s="519" t="s">
        <v>969</v>
      </c>
      <c r="L98" s="521" t="s">
        <v>1004</v>
      </c>
      <c r="M98" s="521" t="s">
        <v>1005</v>
      </c>
      <c r="N98" s="521" t="s">
        <v>815</v>
      </c>
      <c r="O98" s="22" t="s">
        <v>174</v>
      </c>
      <c r="P98" s="69">
        <v>2017</v>
      </c>
      <c r="Q98" s="414">
        <f t="shared" ca="1" si="4"/>
        <v>246.90576695026056</v>
      </c>
      <c r="R98" s="335" t="str">
        <f t="shared" ca="1" si="5"/>
        <v>N/A</v>
      </c>
      <c r="S98" s="335" t="str">
        <f t="shared" ca="1" si="6"/>
        <v>N/A</v>
      </c>
      <c r="T98" s="429" t="s">
        <v>899</v>
      </c>
      <c r="U98" s="22" t="str">
        <f>Definitions!C$22</f>
        <v>AL 3826. Natural gas procurement for MF accomodations supply Baseline uses through one meter. Such as service will be billed under rates designated for GM-E, GM-BE or GM-BEC, as appropriate.</v>
      </c>
      <c r="V98" s="24"/>
      <c r="W98" s="21"/>
      <c r="Y98" s="490"/>
    </row>
    <row r="99" spans="1:25" ht="60">
      <c r="A99" s="31">
        <v>96</v>
      </c>
      <c r="B99" s="22" t="s">
        <v>39</v>
      </c>
      <c r="C99" s="22" t="s">
        <v>40</v>
      </c>
      <c r="D99" s="22" t="s">
        <v>170</v>
      </c>
      <c r="E99" s="23" t="s">
        <v>187</v>
      </c>
      <c r="F99" s="22" t="s">
        <v>61</v>
      </c>
      <c r="G99" s="22" t="s">
        <v>53</v>
      </c>
      <c r="H99" s="22" t="s">
        <v>30</v>
      </c>
      <c r="I99" s="22" t="s">
        <v>172</v>
      </c>
      <c r="J99" s="22" t="s">
        <v>194</v>
      </c>
      <c r="K99" s="519" t="s">
        <v>969</v>
      </c>
      <c r="L99" s="521" t="s">
        <v>1006</v>
      </c>
      <c r="M99" s="521" t="s">
        <v>1007</v>
      </c>
      <c r="N99" s="521" t="s">
        <v>815</v>
      </c>
      <c r="O99" s="22" t="s">
        <v>174</v>
      </c>
      <c r="P99" s="69">
        <v>2017</v>
      </c>
      <c r="Q99" s="414">
        <f t="shared" ref="Q99:Q130" ca="1" si="7">SUMIF(INDIRECT("'"&amp;K99&amp;"'!c:c"),A99,INDIRECT("'"&amp;K99&amp;"'!e:e"))</f>
        <v>22.772752313722378</v>
      </c>
      <c r="R99" s="335" t="str">
        <f t="shared" ca="1" si="5"/>
        <v>N/A</v>
      </c>
      <c r="S99" s="335" t="str">
        <f t="shared" ca="1" si="6"/>
        <v>N/A</v>
      </c>
      <c r="T99" s="429" t="s">
        <v>899</v>
      </c>
      <c r="U99" s="22"/>
      <c r="V99" s="24"/>
      <c r="W99" s="21"/>
      <c r="Y99" s="490"/>
    </row>
    <row r="100" spans="1:25" ht="60">
      <c r="A100" s="31">
        <v>97</v>
      </c>
      <c r="B100" s="22" t="s">
        <v>39</v>
      </c>
      <c r="C100" s="22" t="s">
        <v>40</v>
      </c>
      <c r="D100" s="22" t="s">
        <v>170</v>
      </c>
      <c r="E100" s="23" t="s">
        <v>187</v>
      </c>
      <c r="F100" s="22" t="s">
        <v>62</v>
      </c>
      <c r="G100" s="22" t="s">
        <v>53</v>
      </c>
      <c r="H100" s="22" t="s">
        <v>30</v>
      </c>
      <c r="I100" s="22" t="s">
        <v>172</v>
      </c>
      <c r="J100" s="22" t="s">
        <v>195</v>
      </c>
      <c r="K100" s="519" t="s">
        <v>969</v>
      </c>
      <c r="L100" s="521" t="s">
        <v>1008</v>
      </c>
      <c r="M100" s="521" t="s">
        <v>1009</v>
      </c>
      <c r="N100" s="521" t="s">
        <v>815</v>
      </c>
      <c r="O100" s="22" t="s">
        <v>174</v>
      </c>
      <c r="P100" s="69">
        <v>2017</v>
      </c>
      <c r="Q100" s="414">
        <f t="shared" ca="1" si="7"/>
        <v>19.052256035260427</v>
      </c>
      <c r="R100" s="335" t="str">
        <f t="shared" ca="1" si="5"/>
        <v>N/A</v>
      </c>
      <c r="S100" s="335" t="str">
        <f t="shared" ca="1" si="6"/>
        <v>N/A</v>
      </c>
      <c r="T100" s="429" t="s">
        <v>899</v>
      </c>
      <c r="U100" s="22"/>
      <c r="V100" s="24"/>
      <c r="W100" s="21"/>
      <c r="Y100" s="490"/>
    </row>
    <row r="101" spans="1:25" ht="60">
      <c r="A101" s="31">
        <v>98</v>
      </c>
      <c r="B101" s="22" t="s">
        <v>39</v>
      </c>
      <c r="C101" s="22" t="s">
        <v>40</v>
      </c>
      <c r="D101" s="22" t="s">
        <v>170</v>
      </c>
      <c r="E101" s="23" t="s">
        <v>187</v>
      </c>
      <c r="F101" s="22" t="s">
        <v>63</v>
      </c>
      <c r="G101" s="22" t="s">
        <v>53</v>
      </c>
      <c r="H101" s="22" t="s">
        <v>30</v>
      </c>
      <c r="I101" s="22" t="s">
        <v>172</v>
      </c>
      <c r="J101" s="22" t="s">
        <v>196</v>
      </c>
      <c r="K101" s="519" t="s">
        <v>969</v>
      </c>
      <c r="L101" s="521" t="s">
        <v>1010</v>
      </c>
      <c r="M101" s="521" t="s">
        <v>1011</v>
      </c>
      <c r="N101" s="521" t="s">
        <v>815</v>
      </c>
      <c r="O101" s="22" t="s">
        <v>174</v>
      </c>
      <c r="P101" s="69">
        <v>2017</v>
      </c>
      <c r="Q101" s="414">
        <f t="shared" ca="1" si="7"/>
        <v>931764.26533041103</v>
      </c>
      <c r="R101" s="335" t="str">
        <f t="shared" ca="1" si="5"/>
        <v>N/A</v>
      </c>
      <c r="S101" s="335" t="str">
        <f t="shared" ca="1" si="6"/>
        <v>N/A</v>
      </c>
      <c r="T101" s="429" t="s">
        <v>899</v>
      </c>
      <c r="U101" s="22"/>
      <c r="V101" s="24"/>
      <c r="W101" s="21"/>
      <c r="Y101" s="490"/>
    </row>
    <row r="102" spans="1:25" ht="60">
      <c r="A102" s="31">
        <v>99</v>
      </c>
      <c r="B102" s="22" t="s">
        <v>39</v>
      </c>
      <c r="C102" s="22" t="s">
        <v>40</v>
      </c>
      <c r="D102" s="22" t="s">
        <v>170</v>
      </c>
      <c r="E102" s="23" t="s">
        <v>187</v>
      </c>
      <c r="F102" s="22" t="s">
        <v>64</v>
      </c>
      <c r="G102" s="22" t="s">
        <v>53</v>
      </c>
      <c r="H102" s="22" t="s">
        <v>30</v>
      </c>
      <c r="I102" s="22" t="s">
        <v>172</v>
      </c>
      <c r="J102" s="22" t="s">
        <v>197</v>
      </c>
      <c r="K102" s="519" t="s">
        <v>969</v>
      </c>
      <c r="L102" s="521" t="s">
        <v>1012</v>
      </c>
      <c r="M102" s="521" t="s">
        <v>1013</v>
      </c>
      <c r="N102" s="521" t="s">
        <v>815</v>
      </c>
      <c r="O102" s="22" t="s">
        <v>174</v>
      </c>
      <c r="P102" s="69">
        <v>2017</v>
      </c>
      <c r="Q102" s="414">
        <f t="shared" ca="1" si="7"/>
        <v>629953.80776272097</v>
      </c>
      <c r="R102" s="335" t="str">
        <f t="shared" ca="1" si="5"/>
        <v>N/A</v>
      </c>
      <c r="S102" s="335" t="str">
        <f t="shared" ca="1" si="6"/>
        <v>N/A</v>
      </c>
      <c r="T102" s="429" t="s">
        <v>899</v>
      </c>
      <c r="U102" s="22"/>
      <c r="V102" s="24"/>
      <c r="W102" s="21"/>
      <c r="Y102" s="490"/>
    </row>
    <row r="103" spans="1:25" ht="60">
      <c r="A103" s="31">
        <v>100</v>
      </c>
      <c r="B103" s="22" t="s">
        <v>39</v>
      </c>
      <c r="C103" s="22" t="s">
        <v>40</v>
      </c>
      <c r="D103" s="22" t="s">
        <v>170</v>
      </c>
      <c r="E103" s="23" t="s">
        <v>187</v>
      </c>
      <c r="F103" s="22" t="s">
        <v>65</v>
      </c>
      <c r="G103" s="22" t="s">
        <v>53</v>
      </c>
      <c r="H103" s="22" t="s">
        <v>30</v>
      </c>
      <c r="I103" s="22" t="s">
        <v>172</v>
      </c>
      <c r="J103" s="22" t="s">
        <v>198</v>
      </c>
      <c r="K103" s="519" t="s">
        <v>969</v>
      </c>
      <c r="L103" s="521" t="s">
        <v>1014</v>
      </c>
      <c r="M103" s="521" t="s">
        <v>1015</v>
      </c>
      <c r="N103" s="521" t="s">
        <v>815</v>
      </c>
      <c r="O103" s="22" t="s">
        <v>174</v>
      </c>
      <c r="P103" s="69">
        <v>2017</v>
      </c>
      <c r="Q103" s="414">
        <f t="shared" ca="1" si="7"/>
        <v>-288.13398167120465</v>
      </c>
      <c r="R103" s="335" t="str">
        <f t="shared" ca="1" si="5"/>
        <v>N/A</v>
      </c>
      <c r="S103" s="335" t="str">
        <f t="shared" ca="1" si="6"/>
        <v>N/A</v>
      </c>
      <c r="T103" s="429" t="s">
        <v>899</v>
      </c>
      <c r="U103" s="22" t="str">
        <f>Definitions!C$22</f>
        <v>AL 3826. Natural gas procurement for MF accomodations supply Baseline uses through one meter. Such as service will be billed under rates designated for GM-E, GM-BE or GM-BEC, as appropriate.</v>
      </c>
      <c r="V103" s="24"/>
      <c r="W103" s="21"/>
      <c r="Y103" s="490"/>
    </row>
    <row r="104" spans="1:25" ht="60">
      <c r="A104" s="31">
        <v>101</v>
      </c>
      <c r="B104" s="22" t="s">
        <v>39</v>
      </c>
      <c r="C104" s="22" t="s">
        <v>40</v>
      </c>
      <c r="D104" s="22" t="s">
        <v>170</v>
      </c>
      <c r="E104" s="23" t="s">
        <v>187</v>
      </c>
      <c r="F104" s="22" t="s">
        <v>66</v>
      </c>
      <c r="G104" s="22" t="s">
        <v>53</v>
      </c>
      <c r="H104" s="22" t="s">
        <v>30</v>
      </c>
      <c r="I104" s="22" t="s">
        <v>172</v>
      </c>
      <c r="J104" s="22" t="s">
        <v>199</v>
      </c>
      <c r="K104" s="519" t="s">
        <v>969</v>
      </c>
      <c r="L104" s="521" t="s">
        <v>1016</v>
      </c>
      <c r="M104" s="521" t="s">
        <v>1017</v>
      </c>
      <c r="N104" s="521" t="s">
        <v>815</v>
      </c>
      <c r="O104" s="22" t="s">
        <v>174</v>
      </c>
      <c r="P104" s="69">
        <v>2017</v>
      </c>
      <c r="Q104" s="414">
        <f t="shared" ca="1" si="7"/>
        <v>-432.3494416749736</v>
      </c>
      <c r="R104" s="335" t="str">
        <f t="shared" ca="1" si="5"/>
        <v>N/A</v>
      </c>
      <c r="S104" s="335" t="str">
        <f t="shared" ca="1" si="6"/>
        <v>N/A</v>
      </c>
      <c r="T104" s="429" t="s">
        <v>899</v>
      </c>
      <c r="U104" s="22" t="str">
        <f>Definitions!C$22</f>
        <v>AL 3826. Natural gas procurement for MF accomodations supply Baseline uses through one meter. Such as service will be billed under rates designated for GM-E, GM-BE or GM-BEC, as appropriate.</v>
      </c>
      <c r="V104" s="24"/>
      <c r="W104" s="21"/>
      <c r="Y104" s="490"/>
    </row>
    <row r="105" spans="1:25" ht="60">
      <c r="A105" s="31">
        <v>102</v>
      </c>
      <c r="B105" s="22" t="s">
        <v>39</v>
      </c>
      <c r="C105" s="22" t="s">
        <v>40</v>
      </c>
      <c r="D105" s="22" t="s">
        <v>170</v>
      </c>
      <c r="E105" s="23" t="s">
        <v>200</v>
      </c>
      <c r="F105" s="22" t="s">
        <v>52</v>
      </c>
      <c r="G105" s="22" t="s">
        <v>53</v>
      </c>
      <c r="H105" s="22" t="s">
        <v>30</v>
      </c>
      <c r="I105" s="22" t="s">
        <v>172</v>
      </c>
      <c r="J105" s="22" t="s">
        <v>201</v>
      </c>
      <c r="K105" s="519" t="s">
        <v>969</v>
      </c>
      <c r="L105" s="521" t="s">
        <v>1018</v>
      </c>
      <c r="M105" s="521" t="s">
        <v>1019</v>
      </c>
      <c r="N105" s="521" t="s">
        <v>815</v>
      </c>
      <c r="O105" s="22" t="s">
        <v>174</v>
      </c>
      <c r="P105" s="69">
        <v>2017</v>
      </c>
      <c r="Q105" s="414">
        <f t="shared" ca="1" si="7"/>
        <v>759.07662427382411</v>
      </c>
      <c r="R105" s="335" t="str">
        <f t="shared" ca="1" si="5"/>
        <v>N/A</v>
      </c>
      <c r="S105" s="335" t="str">
        <f t="shared" ca="1" si="6"/>
        <v>N/A</v>
      </c>
      <c r="T105" s="429" t="s">
        <v>899</v>
      </c>
      <c r="U105" s="22"/>
      <c r="V105" s="24"/>
      <c r="W105" s="21"/>
      <c r="Y105" s="490"/>
    </row>
    <row r="106" spans="1:25" ht="60">
      <c r="A106" s="31">
        <v>103</v>
      </c>
      <c r="B106" s="22" t="s">
        <v>39</v>
      </c>
      <c r="C106" s="22" t="s">
        <v>40</v>
      </c>
      <c r="D106" s="22" t="s">
        <v>170</v>
      </c>
      <c r="E106" s="23" t="s">
        <v>200</v>
      </c>
      <c r="F106" s="22" t="s">
        <v>55</v>
      </c>
      <c r="G106" s="22" t="s">
        <v>53</v>
      </c>
      <c r="H106" s="22" t="s">
        <v>30</v>
      </c>
      <c r="I106" s="22" t="s">
        <v>172</v>
      </c>
      <c r="J106" s="22" t="s">
        <v>202</v>
      </c>
      <c r="K106" s="519" t="s">
        <v>969</v>
      </c>
      <c r="L106" s="521" t="s">
        <v>1020</v>
      </c>
      <c r="M106" s="521" t="s">
        <v>1021</v>
      </c>
      <c r="N106" s="521" t="s">
        <v>815</v>
      </c>
      <c r="O106" s="22" t="s">
        <v>174</v>
      </c>
      <c r="P106" s="69">
        <v>2017</v>
      </c>
      <c r="Q106" s="414">
        <f t="shared" ca="1" si="7"/>
        <v>549.99555323302025</v>
      </c>
      <c r="R106" s="335" t="str">
        <f t="shared" ca="1" si="5"/>
        <v>N/A</v>
      </c>
      <c r="S106" s="335" t="str">
        <f t="shared" ca="1" si="6"/>
        <v>N/A</v>
      </c>
      <c r="T106" s="429" t="s">
        <v>899</v>
      </c>
      <c r="U106" s="22"/>
      <c r="V106" s="24"/>
      <c r="W106" s="21"/>
      <c r="Y106" s="490"/>
    </row>
    <row r="107" spans="1:25" ht="60">
      <c r="A107" s="31">
        <v>104</v>
      </c>
      <c r="B107" s="22" t="s">
        <v>39</v>
      </c>
      <c r="C107" s="22" t="s">
        <v>40</v>
      </c>
      <c r="D107" s="22" t="s">
        <v>170</v>
      </c>
      <c r="E107" s="23" t="s">
        <v>200</v>
      </c>
      <c r="F107" s="22" t="s">
        <v>56</v>
      </c>
      <c r="G107" s="22" t="s">
        <v>53</v>
      </c>
      <c r="H107" s="22" t="s">
        <v>30</v>
      </c>
      <c r="I107" s="22" t="s">
        <v>172</v>
      </c>
      <c r="J107" s="22" t="s">
        <v>203</v>
      </c>
      <c r="K107" s="519" t="s">
        <v>969</v>
      </c>
      <c r="L107" s="521" t="s">
        <v>1022</v>
      </c>
      <c r="M107" s="521" t="s">
        <v>1023</v>
      </c>
      <c r="N107" s="521" t="s">
        <v>815</v>
      </c>
      <c r="O107" s="22" t="s">
        <v>174</v>
      </c>
      <c r="P107" s="69">
        <v>2017</v>
      </c>
      <c r="Q107" s="414">
        <f t="shared" ca="1" si="7"/>
        <v>7483086.972370836</v>
      </c>
      <c r="R107" s="335" t="str">
        <f t="shared" ca="1" si="5"/>
        <v>N/A</v>
      </c>
      <c r="S107" s="335" t="str">
        <f t="shared" ca="1" si="6"/>
        <v>N/A</v>
      </c>
      <c r="T107" s="429" t="s">
        <v>899</v>
      </c>
      <c r="U107" s="22"/>
      <c r="V107" s="24"/>
      <c r="W107" s="21"/>
      <c r="Y107" s="490"/>
    </row>
    <row r="108" spans="1:25" ht="60">
      <c r="A108" s="31">
        <v>105</v>
      </c>
      <c r="B108" s="22" t="s">
        <v>39</v>
      </c>
      <c r="C108" s="22" t="s">
        <v>40</v>
      </c>
      <c r="D108" s="22" t="s">
        <v>170</v>
      </c>
      <c r="E108" s="23" t="s">
        <v>200</v>
      </c>
      <c r="F108" s="22" t="s">
        <v>57</v>
      </c>
      <c r="G108" s="22" t="s">
        <v>53</v>
      </c>
      <c r="H108" s="22" t="s">
        <v>30</v>
      </c>
      <c r="I108" s="22" t="s">
        <v>172</v>
      </c>
      <c r="J108" s="22" t="s">
        <v>204</v>
      </c>
      <c r="K108" s="519" t="s">
        <v>969</v>
      </c>
      <c r="L108" s="521" t="s">
        <v>1024</v>
      </c>
      <c r="M108" s="521" t="s">
        <v>1025</v>
      </c>
      <c r="N108" s="521" t="s">
        <v>815</v>
      </c>
      <c r="O108" s="22" t="s">
        <v>174</v>
      </c>
      <c r="P108" s="69">
        <v>2017</v>
      </c>
      <c r="Q108" s="414">
        <f t="shared" ca="1" si="7"/>
        <v>5348025.2220682688</v>
      </c>
      <c r="R108" s="335" t="str">
        <f t="shared" ca="1" si="5"/>
        <v>N/A</v>
      </c>
      <c r="S108" s="335" t="str">
        <f t="shared" ca="1" si="6"/>
        <v>N/A</v>
      </c>
      <c r="T108" s="429" t="s">
        <v>899</v>
      </c>
      <c r="U108" s="22"/>
      <c r="V108" s="24"/>
      <c r="W108" s="21"/>
      <c r="Y108" s="490"/>
    </row>
    <row r="109" spans="1:25" ht="60">
      <c r="A109" s="31">
        <v>106</v>
      </c>
      <c r="B109" s="22" t="s">
        <v>39</v>
      </c>
      <c r="C109" s="22" t="s">
        <v>40</v>
      </c>
      <c r="D109" s="22" t="s">
        <v>170</v>
      </c>
      <c r="E109" s="23" t="s">
        <v>200</v>
      </c>
      <c r="F109" s="22" t="s">
        <v>58</v>
      </c>
      <c r="G109" s="22" t="s">
        <v>53</v>
      </c>
      <c r="H109" s="22" t="s">
        <v>30</v>
      </c>
      <c r="I109" s="22" t="s">
        <v>172</v>
      </c>
      <c r="J109" s="22" t="s">
        <v>205</v>
      </c>
      <c r="K109" s="519" t="s">
        <v>969</v>
      </c>
      <c r="L109" s="521" t="s">
        <v>1026</v>
      </c>
      <c r="M109" s="521" t="s">
        <v>1027</v>
      </c>
      <c r="N109" s="521" t="s">
        <v>815</v>
      </c>
      <c r="O109" s="22" t="s">
        <v>174</v>
      </c>
      <c r="P109" s="69">
        <v>2017</v>
      </c>
      <c r="Q109" s="414">
        <f t="shared" ca="1" si="7"/>
        <v>62430.278941530822</v>
      </c>
      <c r="R109" s="335" t="str">
        <f t="shared" ca="1" si="5"/>
        <v>N/A</v>
      </c>
      <c r="S109" s="335" t="str">
        <f t="shared" ca="1" si="6"/>
        <v>N/A</v>
      </c>
      <c r="T109" s="429" t="s">
        <v>899</v>
      </c>
      <c r="U109" s="22" t="str">
        <f>Definitions!C$21</f>
        <v>AL 3826. Natural gas supplied through a single meter to common facilities only, will be billed under rates GM-C, GM-BC or GM-BCC, as appropriate.</v>
      </c>
      <c r="V109" s="24"/>
      <c r="W109" s="21"/>
      <c r="Y109" s="490"/>
    </row>
    <row r="110" spans="1:25" ht="60">
      <c r="A110" s="31">
        <v>107</v>
      </c>
      <c r="B110" s="22" t="s">
        <v>39</v>
      </c>
      <c r="C110" s="22" t="s">
        <v>40</v>
      </c>
      <c r="D110" s="22" t="s">
        <v>170</v>
      </c>
      <c r="E110" s="23" t="s">
        <v>200</v>
      </c>
      <c r="F110" s="22" t="s">
        <v>60</v>
      </c>
      <c r="G110" s="22" t="s">
        <v>53</v>
      </c>
      <c r="H110" s="22" t="s">
        <v>30</v>
      </c>
      <c r="I110" s="22" t="s">
        <v>172</v>
      </c>
      <c r="J110" s="22" t="s">
        <v>206</v>
      </c>
      <c r="K110" s="519" t="s">
        <v>969</v>
      </c>
      <c r="L110" s="521" t="s">
        <v>1028</v>
      </c>
      <c r="M110" s="521" t="s">
        <v>1029</v>
      </c>
      <c r="N110" s="521" t="s">
        <v>815</v>
      </c>
      <c r="O110" s="22" t="s">
        <v>174</v>
      </c>
      <c r="P110" s="69">
        <v>2017</v>
      </c>
      <c r="Q110" s="414">
        <f t="shared" ca="1" si="7"/>
        <v>41800.438527461592</v>
      </c>
      <c r="R110" s="335" t="str">
        <f t="shared" ca="1" si="5"/>
        <v>N/A</v>
      </c>
      <c r="S110" s="335" t="str">
        <f t="shared" ca="1" si="6"/>
        <v>N/A</v>
      </c>
      <c r="T110" s="429" t="s">
        <v>899</v>
      </c>
      <c r="U110" s="22" t="str">
        <f>Definitions!C$21</f>
        <v>AL 3826. Natural gas supplied through a single meter to common facilities only, will be billed under rates GM-C, GM-BC or GM-BCC, as appropriate.</v>
      </c>
      <c r="V110" s="24"/>
      <c r="W110" s="21"/>
      <c r="Y110" s="490"/>
    </row>
    <row r="111" spans="1:25" ht="60">
      <c r="A111" s="31">
        <v>108</v>
      </c>
      <c r="B111" s="22" t="s">
        <v>39</v>
      </c>
      <c r="C111" s="22" t="s">
        <v>40</v>
      </c>
      <c r="D111" s="22" t="s">
        <v>170</v>
      </c>
      <c r="E111" s="23" t="s">
        <v>200</v>
      </c>
      <c r="F111" s="22" t="s">
        <v>61</v>
      </c>
      <c r="G111" s="22" t="s">
        <v>53</v>
      </c>
      <c r="H111" s="22" t="s">
        <v>30</v>
      </c>
      <c r="I111" s="22" t="s">
        <v>172</v>
      </c>
      <c r="J111" s="22" t="s">
        <v>207</v>
      </c>
      <c r="K111" s="519" t="s">
        <v>969</v>
      </c>
      <c r="L111" s="521" t="s">
        <v>1030</v>
      </c>
      <c r="M111" s="521" t="s">
        <v>1031</v>
      </c>
      <c r="N111" s="521" t="s">
        <v>815</v>
      </c>
      <c r="O111" s="22" t="s">
        <v>174</v>
      </c>
      <c r="P111" s="69">
        <v>2017</v>
      </c>
      <c r="Q111" s="414">
        <f t="shared" ca="1" si="7"/>
        <v>5467.4462053439074</v>
      </c>
      <c r="R111" s="335" t="str">
        <f t="shared" ca="1" si="5"/>
        <v>N/A</v>
      </c>
      <c r="S111" s="335" t="str">
        <f t="shared" ca="1" si="6"/>
        <v>N/A</v>
      </c>
      <c r="T111" s="429" t="s">
        <v>899</v>
      </c>
      <c r="U111" s="22"/>
      <c r="V111" s="24"/>
      <c r="W111" s="21"/>
      <c r="Y111" s="490"/>
    </row>
    <row r="112" spans="1:25" ht="60">
      <c r="A112" s="31">
        <v>109</v>
      </c>
      <c r="B112" s="22" t="s">
        <v>39</v>
      </c>
      <c r="C112" s="22" t="s">
        <v>40</v>
      </c>
      <c r="D112" s="22" t="s">
        <v>170</v>
      </c>
      <c r="E112" s="23" t="s">
        <v>200</v>
      </c>
      <c r="F112" s="22" t="s">
        <v>62</v>
      </c>
      <c r="G112" s="22" t="s">
        <v>53</v>
      </c>
      <c r="H112" s="22" t="s">
        <v>30</v>
      </c>
      <c r="I112" s="22" t="s">
        <v>172</v>
      </c>
      <c r="J112" s="22" t="s">
        <v>208</v>
      </c>
      <c r="K112" s="519" t="s">
        <v>969</v>
      </c>
      <c r="L112" s="521" t="s">
        <v>1032</v>
      </c>
      <c r="M112" s="521" t="s">
        <v>1033</v>
      </c>
      <c r="N112" s="521" t="s">
        <v>815</v>
      </c>
      <c r="O112" s="22" t="s">
        <v>174</v>
      </c>
      <c r="P112" s="69">
        <v>2017</v>
      </c>
      <c r="Q112" s="414">
        <f t="shared" ca="1" si="7"/>
        <v>4077.0401928630044</v>
      </c>
      <c r="R112" s="335" t="str">
        <f t="shared" ca="1" si="5"/>
        <v>N/A</v>
      </c>
      <c r="S112" s="335" t="str">
        <f t="shared" ca="1" si="6"/>
        <v>N/A</v>
      </c>
      <c r="T112" s="429" t="s">
        <v>899</v>
      </c>
      <c r="U112" s="22"/>
      <c r="V112" s="24"/>
      <c r="W112" s="21"/>
      <c r="Y112" s="490"/>
    </row>
    <row r="113" spans="1:25" ht="60">
      <c r="A113" s="31">
        <v>110</v>
      </c>
      <c r="B113" s="22" t="s">
        <v>39</v>
      </c>
      <c r="C113" s="22" t="s">
        <v>40</v>
      </c>
      <c r="D113" s="22" t="s">
        <v>170</v>
      </c>
      <c r="E113" s="23" t="s">
        <v>200</v>
      </c>
      <c r="F113" s="22" t="s">
        <v>63</v>
      </c>
      <c r="G113" s="22" t="s">
        <v>53</v>
      </c>
      <c r="H113" s="22" t="s">
        <v>30</v>
      </c>
      <c r="I113" s="22" t="s">
        <v>172</v>
      </c>
      <c r="J113" s="22" t="s">
        <v>209</v>
      </c>
      <c r="K113" s="519" t="s">
        <v>969</v>
      </c>
      <c r="L113" s="521" t="s">
        <v>1034</v>
      </c>
      <c r="M113" s="521" t="s">
        <v>1035</v>
      </c>
      <c r="N113" s="521" t="s">
        <v>815</v>
      </c>
      <c r="O113" s="22" t="s">
        <v>174</v>
      </c>
      <c r="P113" s="69">
        <v>2017</v>
      </c>
      <c r="Q113" s="414">
        <f t="shared" ca="1" si="7"/>
        <v>90435276.594303176</v>
      </c>
      <c r="R113" s="335" t="str">
        <f t="shared" ca="1" si="5"/>
        <v>N/A</v>
      </c>
      <c r="S113" s="335" t="str">
        <f t="shared" ca="1" si="6"/>
        <v>N/A</v>
      </c>
      <c r="T113" s="429" t="s">
        <v>899</v>
      </c>
      <c r="U113" s="22"/>
      <c r="V113" s="24"/>
      <c r="W113" s="21"/>
      <c r="Y113" s="490"/>
    </row>
    <row r="114" spans="1:25" ht="60">
      <c r="A114" s="31">
        <v>111</v>
      </c>
      <c r="B114" s="22" t="s">
        <v>39</v>
      </c>
      <c r="C114" s="22" t="s">
        <v>40</v>
      </c>
      <c r="D114" s="22" t="s">
        <v>170</v>
      </c>
      <c r="E114" s="23" t="s">
        <v>200</v>
      </c>
      <c r="F114" s="22" t="s">
        <v>64</v>
      </c>
      <c r="G114" s="22" t="s">
        <v>53</v>
      </c>
      <c r="H114" s="22" t="s">
        <v>30</v>
      </c>
      <c r="I114" s="22" t="s">
        <v>172</v>
      </c>
      <c r="J114" s="22" t="s">
        <v>210</v>
      </c>
      <c r="K114" s="519" t="s">
        <v>969</v>
      </c>
      <c r="L114" s="521" t="s">
        <v>1036</v>
      </c>
      <c r="M114" s="521" t="s">
        <v>1037</v>
      </c>
      <c r="N114" s="521" t="s">
        <v>815</v>
      </c>
      <c r="O114" s="22" t="s">
        <v>174</v>
      </c>
      <c r="P114" s="69">
        <v>2017</v>
      </c>
      <c r="Q114" s="414">
        <f t="shared" ca="1" si="7"/>
        <v>63306957.689823508</v>
      </c>
      <c r="R114" s="335" t="str">
        <f t="shared" ca="1" si="5"/>
        <v>N/A</v>
      </c>
      <c r="S114" s="335" t="str">
        <f t="shared" ca="1" si="6"/>
        <v>N/A</v>
      </c>
      <c r="T114" s="429" t="s">
        <v>899</v>
      </c>
      <c r="U114" s="22"/>
      <c r="V114" s="24"/>
      <c r="W114" s="21"/>
      <c r="Y114" s="490"/>
    </row>
    <row r="115" spans="1:25" ht="60">
      <c r="A115" s="31">
        <v>112</v>
      </c>
      <c r="B115" s="22" t="s">
        <v>39</v>
      </c>
      <c r="C115" s="22" t="s">
        <v>40</v>
      </c>
      <c r="D115" s="22" t="s">
        <v>170</v>
      </c>
      <c r="E115" s="23" t="s">
        <v>200</v>
      </c>
      <c r="F115" s="22" t="s">
        <v>65</v>
      </c>
      <c r="G115" s="22" t="s">
        <v>53</v>
      </c>
      <c r="H115" s="22" t="s">
        <v>30</v>
      </c>
      <c r="I115" s="22" t="s">
        <v>172</v>
      </c>
      <c r="J115" s="22" t="s">
        <v>211</v>
      </c>
      <c r="K115" s="519" t="s">
        <v>969</v>
      </c>
      <c r="L115" s="521" t="s">
        <v>1038</v>
      </c>
      <c r="M115" s="521" t="s">
        <v>1039</v>
      </c>
      <c r="N115" s="521" t="s">
        <v>815</v>
      </c>
      <c r="O115" s="22" t="s">
        <v>174</v>
      </c>
      <c r="P115" s="69">
        <v>2017</v>
      </c>
      <c r="Q115" s="414">
        <f t="shared" ca="1" si="7"/>
        <v>893955.50610527652</v>
      </c>
      <c r="R115" s="335" t="str">
        <f t="shared" ca="1" si="5"/>
        <v>N/A</v>
      </c>
      <c r="S115" s="335" t="str">
        <f t="shared" ca="1" si="6"/>
        <v>N/A</v>
      </c>
      <c r="T115" s="429" t="s">
        <v>899</v>
      </c>
      <c r="U115" s="22" t="str">
        <f>Definitions!C$21</f>
        <v>AL 3826. Natural gas supplied through a single meter to common facilities only, will be billed under rates GM-C, GM-BC or GM-BCC, as appropriate.</v>
      </c>
      <c r="V115" s="24"/>
      <c r="W115" s="21"/>
      <c r="Y115" s="490"/>
    </row>
    <row r="116" spans="1:25" ht="60">
      <c r="A116" s="31">
        <v>113</v>
      </c>
      <c r="B116" s="22" t="s">
        <v>39</v>
      </c>
      <c r="C116" s="22" t="s">
        <v>40</v>
      </c>
      <c r="D116" s="22" t="s">
        <v>170</v>
      </c>
      <c r="E116" s="23" t="s">
        <v>200</v>
      </c>
      <c r="F116" s="22" t="s">
        <v>66</v>
      </c>
      <c r="G116" s="22" t="s">
        <v>53</v>
      </c>
      <c r="H116" s="22" t="s">
        <v>30</v>
      </c>
      <c r="I116" s="22" t="s">
        <v>172</v>
      </c>
      <c r="J116" s="22" t="s">
        <v>212</v>
      </c>
      <c r="K116" s="519" t="s">
        <v>969</v>
      </c>
      <c r="L116" s="521" t="s">
        <v>1040</v>
      </c>
      <c r="M116" s="521" t="s">
        <v>1041</v>
      </c>
      <c r="N116" s="521" t="s">
        <v>815</v>
      </c>
      <c r="O116" s="22" t="s">
        <v>174</v>
      </c>
      <c r="P116" s="69">
        <v>2017</v>
      </c>
      <c r="Q116" s="414">
        <f t="shared" ca="1" si="7"/>
        <v>584625.52379133052</v>
      </c>
      <c r="R116" s="335" t="str">
        <f t="shared" ca="1" si="5"/>
        <v>N/A</v>
      </c>
      <c r="S116" s="335" t="str">
        <f t="shared" ca="1" si="6"/>
        <v>N/A</v>
      </c>
      <c r="T116" s="429" t="s">
        <v>899</v>
      </c>
      <c r="U116" s="22" t="str">
        <f>Definitions!C$21</f>
        <v>AL 3826. Natural gas supplied through a single meter to common facilities only, will be billed under rates GM-C, GM-BC or GM-BCC, as appropriate.</v>
      </c>
      <c r="V116" s="24"/>
      <c r="W116" s="21"/>
      <c r="Y116" s="490"/>
    </row>
    <row r="117" spans="1:25" ht="30">
      <c r="A117" s="31">
        <v>114</v>
      </c>
      <c r="B117" s="22" t="s">
        <v>39</v>
      </c>
      <c r="C117" s="22" t="s">
        <v>40</v>
      </c>
      <c r="D117" s="22" t="s">
        <v>213</v>
      </c>
      <c r="E117" s="23" t="s">
        <v>42</v>
      </c>
      <c r="F117" s="22" t="s">
        <v>43</v>
      </c>
      <c r="G117" s="22" t="s">
        <v>44</v>
      </c>
      <c r="H117" s="22" t="s">
        <v>30</v>
      </c>
      <c r="I117" s="22" t="s">
        <v>214</v>
      </c>
      <c r="J117" s="19" t="s">
        <v>46</v>
      </c>
      <c r="K117" s="519" t="s">
        <v>969</v>
      </c>
      <c r="L117" s="521" t="s">
        <v>1042</v>
      </c>
      <c r="M117" s="521" t="s">
        <v>1043</v>
      </c>
      <c r="N117" s="521" t="s">
        <v>815</v>
      </c>
      <c r="O117" s="22" t="s">
        <v>174</v>
      </c>
      <c r="P117" s="69">
        <v>2017</v>
      </c>
      <c r="Q117" s="414">
        <f t="shared" ca="1" si="7"/>
        <v>5096.8419351586581</v>
      </c>
      <c r="R117" s="335" t="str">
        <f t="shared" ca="1" si="5"/>
        <v>N/A</v>
      </c>
      <c r="S117" s="335" t="str">
        <f t="shared" ca="1" si="6"/>
        <v>N/A</v>
      </c>
      <c r="T117" s="429" t="s">
        <v>48</v>
      </c>
      <c r="U117" s="22" t="s">
        <v>215</v>
      </c>
      <c r="V117" s="24"/>
      <c r="W117" s="21"/>
      <c r="Y117" s="490"/>
    </row>
    <row r="118" spans="1:25" ht="45">
      <c r="A118" s="31">
        <v>115</v>
      </c>
      <c r="B118" s="22" t="s">
        <v>39</v>
      </c>
      <c r="C118" s="22" t="s">
        <v>216</v>
      </c>
      <c r="D118" s="22" t="s">
        <v>217</v>
      </c>
      <c r="E118" s="23" t="s">
        <v>218</v>
      </c>
      <c r="F118" s="22" t="s">
        <v>108</v>
      </c>
      <c r="G118" s="22" t="s">
        <v>219</v>
      </c>
      <c r="H118" s="22" t="s">
        <v>30</v>
      </c>
      <c r="I118" s="22" t="s">
        <v>220</v>
      </c>
      <c r="J118" s="22" t="s">
        <v>221</v>
      </c>
      <c r="K118" s="519" t="s">
        <v>969</v>
      </c>
      <c r="L118" s="521" t="s">
        <v>1044</v>
      </c>
      <c r="M118" s="521" t="s">
        <v>1045</v>
      </c>
      <c r="N118" s="521" t="s">
        <v>885</v>
      </c>
      <c r="O118" s="22" t="s">
        <v>174</v>
      </c>
      <c r="P118" s="69">
        <v>2017</v>
      </c>
      <c r="Q118" s="414">
        <f t="shared" ca="1" si="7"/>
        <v>3.3838585700631554</v>
      </c>
      <c r="R118" s="335">
        <f t="shared" ca="1" si="5"/>
        <v>0</v>
      </c>
      <c r="S118" s="335">
        <f t="shared" ca="1" si="6"/>
        <v>0</v>
      </c>
      <c r="T118" s="429"/>
      <c r="U118" s="22"/>
      <c r="V118" s="24"/>
      <c r="W118" s="21"/>
      <c r="Y118" s="490"/>
    </row>
    <row r="119" spans="1:25" ht="45">
      <c r="A119" s="31">
        <v>116</v>
      </c>
      <c r="B119" s="22" t="s">
        <v>39</v>
      </c>
      <c r="C119" s="22" t="s">
        <v>216</v>
      </c>
      <c r="D119" s="22" t="s">
        <v>217</v>
      </c>
      <c r="E119" s="23" t="s">
        <v>218</v>
      </c>
      <c r="F119" s="22" t="s">
        <v>112</v>
      </c>
      <c r="G119" s="22" t="s">
        <v>219</v>
      </c>
      <c r="H119" s="22" t="s">
        <v>30</v>
      </c>
      <c r="I119" s="22" t="s">
        <v>220</v>
      </c>
      <c r="J119" s="22" t="s">
        <v>222</v>
      </c>
      <c r="K119" s="519" t="s">
        <v>969</v>
      </c>
      <c r="L119" s="521" t="s">
        <v>1046</v>
      </c>
      <c r="M119" s="521" t="s">
        <v>1047</v>
      </c>
      <c r="N119" s="521" t="s">
        <v>885</v>
      </c>
      <c r="O119" s="22" t="s">
        <v>174</v>
      </c>
      <c r="P119" s="69">
        <v>2017</v>
      </c>
      <c r="Q119" s="414">
        <f t="shared" ca="1" si="7"/>
        <v>32280.702379432401</v>
      </c>
      <c r="R119" s="335">
        <f t="shared" ca="1" si="5"/>
        <v>0</v>
      </c>
      <c r="S119" s="335">
        <f t="shared" ca="1" si="6"/>
        <v>0</v>
      </c>
      <c r="T119" s="429"/>
      <c r="U119" s="22"/>
      <c r="V119" s="24"/>
      <c r="W119" s="21"/>
      <c r="Y119" s="490"/>
    </row>
    <row r="120" spans="1:25" ht="105">
      <c r="A120" s="31">
        <v>117</v>
      </c>
      <c r="B120" s="22" t="s">
        <v>39</v>
      </c>
      <c r="C120" s="22" t="s">
        <v>216</v>
      </c>
      <c r="D120" s="22" t="s">
        <v>217</v>
      </c>
      <c r="E120" s="23" t="s">
        <v>218</v>
      </c>
      <c r="F120" s="22" t="s">
        <v>114</v>
      </c>
      <c r="G120" s="22" t="s">
        <v>219</v>
      </c>
      <c r="H120" s="22" t="s">
        <v>30</v>
      </c>
      <c r="I120" s="22" t="s">
        <v>220</v>
      </c>
      <c r="J120" s="22" t="s">
        <v>223</v>
      </c>
      <c r="K120" s="519" t="s">
        <v>969</v>
      </c>
      <c r="L120" s="521" t="s">
        <v>1048</v>
      </c>
      <c r="M120" s="521" t="s">
        <v>1049</v>
      </c>
      <c r="N120" s="521" t="s">
        <v>885</v>
      </c>
      <c r="O120" s="22" t="s">
        <v>174</v>
      </c>
      <c r="P120" s="69">
        <v>2017</v>
      </c>
      <c r="Q120" s="414">
        <f t="shared" ca="1" si="7"/>
        <v>374.50159386892693</v>
      </c>
      <c r="R120" s="335">
        <f t="shared" ca="1" si="5"/>
        <v>0</v>
      </c>
      <c r="S120" s="335">
        <f t="shared" ca="1" si="6"/>
        <v>0</v>
      </c>
      <c r="T120" s="429" t="s">
        <v>224</v>
      </c>
      <c r="U120" s="22" t="s">
        <v>225</v>
      </c>
      <c r="V120" s="24"/>
      <c r="W120" s="21"/>
      <c r="Y120" s="490"/>
    </row>
    <row r="121" spans="1:25" ht="45">
      <c r="A121" s="31">
        <v>118</v>
      </c>
      <c r="B121" s="22" t="s">
        <v>39</v>
      </c>
      <c r="C121" s="22" t="s">
        <v>216</v>
      </c>
      <c r="D121" s="22" t="s">
        <v>217</v>
      </c>
      <c r="E121" s="23" t="s">
        <v>226</v>
      </c>
      <c r="F121" s="22" t="s">
        <v>108</v>
      </c>
      <c r="G121" s="22" t="s">
        <v>227</v>
      </c>
      <c r="H121" s="22" t="s">
        <v>30</v>
      </c>
      <c r="I121" s="22" t="s">
        <v>228</v>
      </c>
      <c r="J121" s="101" t="s">
        <v>229</v>
      </c>
      <c r="K121" s="519" t="s">
        <v>969</v>
      </c>
      <c r="L121" s="521" t="s">
        <v>1050</v>
      </c>
      <c r="M121" s="521" t="s">
        <v>1051</v>
      </c>
      <c r="N121" s="521" t="s">
        <v>885</v>
      </c>
      <c r="O121" s="22" t="s">
        <v>174</v>
      </c>
      <c r="P121" s="69">
        <v>2017</v>
      </c>
      <c r="Q121" s="414">
        <f t="shared" ca="1" si="7"/>
        <v>17.906423626106665</v>
      </c>
      <c r="R121" s="335">
        <f t="shared" ca="1" si="5"/>
        <v>0</v>
      </c>
      <c r="S121" s="335">
        <f t="shared" ca="1" si="6"/>
        <v>0</v>
      </c>
      <c r="T121" s="429"/>
      <c r="U121" s="22"/>
      <c r="V121" s="24"/>
      <c r="W121" s="21"/>
      <c r="Y121" s="490"/>
    </row>
    <row r="122" spans="1:25" ht="45">
      <c r="A122" s="31">
        <v>119</v>
      </c>
      <c r="B122" s="22" t="s">
        <v>39</v>
      </c>
      <c r="C122" s="22" t="s">
        <v>216</v>
      </c>
      <c r="D122" s="22" t="s">
        <v>217</v>
      </c>
      <c r="E122" s="23" t="s">
        <v>226</v>
      </c>
      <c r="F122" s="22" t="s">
        <v>112</v>
      </c>
      <c r="G122" s="22" t="s">
        <v>227</v>
      </c>
      <c r="H122" s="22" t="s">
        <v>30</v>
      </c>
      <c r="I122" s="22" t="s">
        <v>228</v>
      </c>
      <c r="J122" s="101" t="s">
        <v>230</v>
      </c>
      <c r="K122" s="519" t="s">
        <v>969</v>
      </c>
      <c r="L122" s="521" t="s">
        <v>1052</v>
      </c>
      <c r="M122" s="521" t="s">
        <v>1053</v>
      </c>
      <c r="N122" s="521" t="s">
        <v>885</v>
      </c>
      <c r="O122" s="22" t="s">
        <v>174</v>
      </c>
      <c r="P122" s="69">
        <v>2017</v>
      </c>
      <c r="Q122" s="414">
        <f t="shared" ca="1" si="7"/>
        <v>264147.81464039435</v>
      </c>
      <c r="R122" s="335">
        <f t="shared" ca="1" si="5"/>
        <v>0</v>
      </c>
      <c r="S122" s="335">
        <f t="shared" ca="1" si="6"/>
        <v>0</v>
      </c>
      <c r="T122" s="429"/>
      <c r="U122" s="22"/>
      <c r="V122" s="24"/>
      <c r="W122" s="21"/>
      <c r="Y122" s="490"/>
    </row>
    <row r="123" spans="1:25" ht="45">
      <c r="A123" s="31">
        <v>120</v>
      </c>
      <c r="B123" s="22" t="s">
        <v>39</v>
      </c>
      <c r="C123" s="22" t="s">
        <v>216</v>
      </c>
      <c r="D123" s="22" t="s">
        <v>217</v>
      </c>
      <c r="E123" s="23" t="s">
        <v>226</v>
      </c>
      <c r="F123" s="22" t="s">
        <v>114</v>
      </c>
      <c r="G123" s="22" t="s">
        <v>227</v>
      </c>
      <c r="H123" s="22" t="s">
        <v>30</v>
      </c>
      <c r="I123" s="22" t="s">
        <v>228</v>
      </c>
      <c r="J123" s="101" t="s">
        <v>231</v>
      </c>
      <c r="K123" s="519" t="s">
        <v>969</v>
      </c>
      <c r="L123" s="521" t="s">
        <v>1054</v>
      </c>
      <c r="M123" s="521" t="s">
        <v>1055</v>
      </c>
      <c r="N123" s="521" t="s">
        <v>885</v>
      </c>
      <c r="O123" s="22" t="s">
        <v>174</v>
      </c>
      <c r="P123" s="69">
        <v>2017</v>
      </c>
      <c r="Q123" s="414">
        <f t="shared" ca="1" si="7"/>
        <v>2683.0776137754438</v>
      </c>
      <c r="R123" s="335">
        <f t="shared" ca="1" si="5"/>
        <v>0</v>
      </c>
      <c r="S123" s="335">
        <f t="shared" ca="1" si="6"/>
        <v>0</v>
      </c>
      <c r="T123" s="429" t="s">
        <v>232</v>
      </c>
      <c r="U123" s="22" t="s">
        <v>233</v>
      </c>
      <c r="V123" s="24"/>
      <c r="W123" s="21"/>
      <c r="Y123" s="490"/>
    </row>
    <row r="124" spans="1:25" ht="45">
      <c r="A124" s="31">
        <v>121</v>
      </c>
      <c r="B124" s="22" t="s">
        <v>39</v>
      </c>
      <c r="C124" s="22" t="s">
        <v>216</v>
      </c>
      <c r="D124" s="22" t="s">
        <v>217</v>
      </c>
      <c r="E124" s="23" t="s">
        <v>234</v>
      </c>
      <c r="F124" s="22" t="s">
        <v>108</v>
      </c>
      <c r="G124" s="22" t="s">
        <v>235</v>
      </c>
      <c r="H124" s="22" t="s">
        <v>30</v>
      </c>
      <c r="I124" s="22" t="s">
        <v>236</v>
      </c>
      <c r="J124" s="101" t="s">
        <v>237</v>
      </c>
      <c r="K124" s="519" t="s">
        <v>969</v>
      </c>
      <c r="L124" s="521" t="s">
        <v>1056</v>
      </c>
      <c r="M124" s="521" t="s">
        <v>1057</v>
      </c>
      <c r="N124" s="521" t="s">
        <v>885</v>
      </c>
      <c r="O124" s="22" t="s">
        <v>174</v>
      </c>
      <c r="P124" s="69">
        <v>2017</v>
      </c>
      <c r="Q124" s="414">
        <f t="shared" ca="1" si="7"/>
        <v>2.1652265569657395E-2</v>
      </c>
      <c r="R124" s="335">
        <f t="shared" ca="1" si="5"/>
        <v>0</v>
      </c>
      <c r="S124" s="335">
        <f t="shared" ca="1" si="6"/>
        <v>0</v>
      </c>
      <c r="T124" s="429"/>
      <c r="U124" s="22"/>
      <c r="V124" s="24"/>
      <c r="W124" s="21"/>
      <c r="Y124" s="490"/>
    </row>
    <row r="125" spans="1:25" ht="45">
      <c r="A125" s="31">
        <v>122</v>
      </c>
      <c r="B125" s="22" t="s">
        <v>39</v>
      </c>
      <c r="C125" s="22" t="s">
        <v>216</v>
      </c>
      <c r="D125" s="22" t="s">
        <v>217</v>
      </c>
      <c r="E125" s="23" t="s">
        <v>234</v>
      </c>
      <c r="F125" s="22" t="s">
        <v>112</v>
      </c>
      <c r="G125" s="22" t="s">
        <v>235</v>
      </c>
      <c r="H125" s="22" t="s">
        <v>30</v>
      </c>
      <c r="I125" s="22" t="s">
        <v>236</v>
      </c>
      <c r="J125" s="101" t="s">
        <v>238</v>
      </c>
      <c r="K125" s="519" t="s">
        <v>969</v>
      </c>
      <c r="L125" s="521" t="s">
        <v>1058</v>
      </c>
      <c r="M125" s="521" t="s">
        <v>1059</v>
      </c>
      <c r="N125" s="521" t="s">
        <v>885</v>
      </c>
      <c r="O125" s="22" t="s">
        <v>174</v>
      </c>
      <c r="P125" s="69">
        <v>2017</v>
      </c>
      <c r="Q125" s="414">
        <f t="shared" ca="1" si="7"/>
        <v>319.40485446238733</v>
      </c>
      <c r="R125" s="335">
        <f t="shared" ca="1" si="5"/>
        <v>0</v>
      </c>
      <c r="S125" s="335">
        <f t="shared" ca="1" si="6"/>
        <v>0</v>
      </c>
      <c r="T125" s="429"/>
      <c r="U125" s="22"/>
      <c r="V125" s="24"/>
      <c r="W125" s="21"/>
      <c r="Y125" s="490"/>
    </row>
    <row r="126" spans="1:25" ht="45">
      <c r="A126" s="31">
        <v>123</v>
      </c>
      <c r="B126" s="22" t="s">
        <v>39</v>
      </c>
      <c r="C126" s="22" t="s">
        <v>216</v>
      </c>
      <c r="D126" s="22" t="s">
        <v>217</v>
      </c>
      <c r="E126" s="23" t="s">
        <v>234</v>
      </c>
      <c r="F126" s="22" t="s">
        <v>114</v>
      </c>
      <c r="G126" s="22" t="s">
        <v>235</v>
      </c>
      <c r="H126" s="22" t="s">
        <v>30</v>
      </c>
      <c r="I126" s="22" t="s">
        <v>236</v>
      </c>
      <c r="J126" s="101" t="s">
        <v>239</v>
      </c>
      <c r="K126" s="519" t="s">
        <v>969</v>
      </c>
      <c r="L126" s="521" t="s">
        <v>1060</v>
      </c>
      <c r="M126" s="521" t="s">
        <v>1061</v>
      </c>
      <c r="N126" s="521" t="s">
        <v>885</v>
      </c>
      <c r="O126" s="22" t="s">
        <v>174</v>
      </c>
      <c r="P126" s="69">
        <v>2017</v>
      </c>
      <c r="Q126" s="414">
        <f t="shared" ca="1" si="7"/>
        <v>3.2443501980356029</v>
      </c>
      <c r="R126" s="335">
        <f t="shared" ca="1" si="5"/>
        <v>0</v>
      </c>
      <c r="S126" s="335">
        <f t="shared" ca="1" si="6"/>
        <v>0</v>
      </c>
      <c r="T126" s="429" t="s">
        <v>240</v>
      </c>
      <c r="U126" s="22" t="s">
        <v>117</v>
      </c>
      <c r="V126" s="24"/>
      <c r="W126" s="21"/>
      <c r="Y126" s="490"/>
    </row>
    <row r="127" spans="1:25" ht="90">
      <c r="A127" s="31">
        <v>124</v>
      </c>
      <c r="B127" s="22" t="s">
        <v>39</v>
      </c>
      <c r="C127" s="22" t="s">
        <v>216</v>
      </c>
      <c r="D127" s="22" t="s">
        <v>241</v>
      </c>
      <c r="E127" s="23" t="s">
        <v>242</v>
      </c>
      <c r="F127" s="22" t="s">
        <v>142</v>
      </c>
      <c r="G127" s="22" t="s">
        <v>143</v>
      </c>
      <c r="H127" s="22" t="s">
        <v>30</v>
      </c>
      <c r="I127" s="22" t="s">
        <v>243</v>
      </c>
      <c r="J127" s="22" t="s">
        <v>244</v>
      </c>
      <c r="K127" s="519" t="s">
        <v>969</v>
      </c>
      <c r="L127" s="521" t="s">
        <v>1062</v>
      </c>
      <c r="M127" s="521" t="s">
        <v>1063</v>
      </c>
      <c r="N127" s="521" t="s">
        <v>885</v>
      </c>
      <c r="O127" s="22" t="s">
        <v>174</v>
      </c>
      <c r="P127" s="69">
        <v>2017</v>
      </c>
      <c r="Q127" s="533">
        <f t="shared" ca="1" si="7"/>
        <v>5.7633289986996103E-4</v>
      </c>
      <c r="R127" s="335">
        <f t="shared" ca="1" si="5"/>
        <v>0</v>
      </c>
      <c r="S127" s="335">
        <f t="shared" ca="1" si="6"/>
        <v>0</v>
      </c>
      <c r="T127" s="429" t="s">
        <v>245</v>
      </c>
      <c r="U127" s="22" t="s">
        <v>246</v>
      </c>
      <c r="V127" s="24"/>
      <c r="W127" s="21"/>
      <c r="Y127" s="490"/>
    </row>
    <row r="128" spans="1:25" ht="90">
      <c r="A128" s="31">
        <v>125</v>
      </c>
      <c r="B128" s="22" t="s">
        <v>39</v>
      </c>
      <c r="C128" s="22" t="s">
        <v>216</v>
      </c>
      <c r="D128" s="22" t="s">
        <v>241</v>
      </c>
      <c r="E128" s="23" t="s">
        <v>247</v>
      </c>
      <c r="F128" s="22" t="s">
        <v>142</v>
      </c>
      <c r="G128" s="22" t="s">
        <v>143</v>
      </c>
      <c r="H128" s="22" t="s">
        <v>30</v>
      </c>
      <c r="I128" s="22" t="s">
        <v>248</v>
      </c>
      <c r="J128" s="22" t="s">
        <v>249</v>
      </c>
      <c r="K128" s="519" t="s">
        <v>969</v>
      </c>
      <c r="L128" s="521" t="s">
        <v>1064</v>
      </c>
      <c r="M128" s="521" t="s">
        <v>1065</v>
      </c>
      <c r="N128" s="521" t="s">
        <v>885</v>
      </c>
      <c r="O128" s="22" t="s">
        <v>174</v>
      </c>
      <c r="P128" s="69">
        <v>2017</v>
      </c>
      <c r="Q128" s="533">
        <f t="shared" ca="1" si="7"/>
        <v>1.6561512406387753E-4</v>
      </c>
      <c r="R128" s="335">
        <f t="shared" ca="1" si="5"/>
        <v>0</v>
      </c>
      <c r="S128" s="335">
        <f t="shared" ca="1" si="6"/>
        <v>0</v>
      </c>
      <c r="T128" s="429" t="s">
        <v>250</v>
      </c>
      <c r="U128" s="22" t="s">
        <v>251</v>
      </c>
      <c r="V128" s="24"/>
      <c r="W128" s="21"/>
      <c r="Y128" s="490"/>
    </row>
    <row r="129" spans="1:25" ht="75">
      <c r="A129" s="31">
        <v>126</v>
      </c>
      <c r="B129" s="22" t="s">
        <v>39</v>
      </c>
      <c r="C129" s="22" t="s">
        <v>216</v>
      </c>
      <c r="D129" s="22" t="s">
        <v>241</v>
      </c>
      <c r="E129" s="23" t="s">
        <v>252</v>
      </c>
      <c r="F129" s="22" t="s">
        <v>142</v>
      </c>
      <c r="G129" s="22" t="s">
        <v>253</v>
      </c>
      <c r="H129" s="22" t="s">
        <v>30</v>
      </c>
      <c r="I129" s="22" t="s">
        <v>254</v>
      </c>
      <c r="J129" s="22" t="s">
        <v>255</v>
      </c>
      <c r="K129" s="519" t="s">
        <v>969</v>
      </c>
      <c r="L129" s="521" t="s">
        <v>1066</v>
      </c>
      <c r="M129" s="521" t="s">
        <v>1067</v>
      </c>
      <c r="N129" s="521" t="s">
        <v>885</v>
      </c>
      <c r="O129" s="22" t="s">
        <v>174</v>
      </c>
      <c r="P129" s="69">
        <v>2017</v>
      </c>
      <c r="Q129" s="533">
        <f t="shared" ca="1" si="7"/>
        <v>1.6561512406387753E-4</v>
      </c>
      <c r="R129" s="335">
        <f t="shared" ca="1" si="5"/>
        <v>0</v>
      </c>
      <c r="S129" s="335">
        <f t="shared" ca="1" si="6"/>
        <v>0</v>
      </c>
      <c r="T129" s="429" t="s">
        <v>256</v>
      </c>
      <c r="U129" s="22"/>
      <c r="V129" s="24"/>
      <c r="W129" s="21"/>
      <c r="Y129" s="490"/>
    </row>
    <row r="130" spans="1:25" ht="75">
      <c r="A130" s="31">
        <v>127</v>
      </c>
      <c r="B130" s="22" t="s">
        <v>39</v>
      </c>
      <c r="C130" s="22" t="s">
        <v>216</v>
      </c>
      <c r="D130" s="22" t="s">
        <v>241</v>
      </c>
      <c r="E130" s="23" t="s">
        <v>257</v>
      </c>
      <c r="F130" s="22" t="s">
        <v>142</v>
      </c>
      <c r="G130" s="22" t="s">
        <v>149</v>
      </c>
      <c r="H130" s="22" t="s">
        <v>30</v>
      </c>
      <c r="I130" s="22" t="s">
        <v>258</v>
      </c>
      <c r="J130" s="22" t="s">
        <v>151</v>
      </c>
      <c r="K130" s="519" t="s">
        <v>969</v>
      </c>
      <c r="L130" s="521" t="s">
        <v>1068</v>
      </c>
      <c r="M130" s="521" t="s">
        <v>1069</v>
      </c>
      <c r="N130" s="521" t="s">
        <v>885</v>
      </c>
      <c r="O130" s="22" t="s">
        <v>174</v>
      </c>
      <c r="P130" s="69">
        <v>2017</v>
      </c>
      <c r="Q130" s="533">
        <f t="shared" ca="1" si="7"/>
        <v>3.2623234267445275E-4</v>
      </c>
      <c r="R130" s="335">
        <f t="shared" ca="1" si="5"/>
        <v>0</v>
      </c>
      <c r="S130" s="335">
        <f t="shared" ca="1" si="6"/>
        <v>0</v>
      </c>
      <c r="T130" s="429" t="s">
        <v>259</v>
      </c>
      <c r="U130" s="22" t="s">
        <v>260</v>
      </c>
      <c r="V130" s="24"/>
      <c r="W130" s="21"/>
      <c r="Y130" s="490"/>
    </row>
    <row r="131" spans="1:25" ht="105">
      <c r="A131" s="31">
        <v>128</v>
      </c>
      <c r="B131" s="22" t="s">
        <v>39</v>
      </c>
      <c r="C131" s="22" t="s">
        <v>216</v>
      </c>
      <c r="D131" s="22" t="s">
        <v>241</v>
      </c>
      <c r="E131" s="23" t="s">
        <v>261</v>
      </c>
      <c r="F131" s="22" t="s">
        <v>142</v>
      </c>
      <c r="G131" s="22" t="s">
        <v>154</v>
      </c>
      <c r="H131" s="22" t="s">
        <v>30</v>
      </c>
      <c r="I131" s="22" t="s">
        <v>262</v>
      </c>
      <c r="J131" s="22" t="s">
        <v>263</v>
      </c>
      <c r="K131" s="519" t="s">
        <v>969</v>
      </c>
      <c r="L131" s="521" t="s">
        <v>1070</v>
      </c>
      <c r="M131" s="521" t="s">
        <v>1071</v>
      </c>
      <c r="N131" s="521" t="s">
        <v>885</v>
      </c>
      <c r="O131" s="22" t="s">
        <v>174</v>
      </c>
      <c r="P131" s="69">
        <v>2017</v>
      </c>
      <c r="Q131" s="533">
        <f t="shared" ref="Q131:Q139" ca="1" si="8">SUMIF(INDIRECT("'"&amp;K131&amp;"'!c:c"),A131,INDIRECT("'"&amp;K131&amp;"'!e:e"))</f>
        <v>1.5955749388362939E-4</v>
      </c>
      <c r="R131" s="335">
        <f t="shared" ref="R131:R194" ca="1" si="9">IF($N131 = "N","N/A",SUMIF(INDIRECT("'"&amp;K131&amp;"'!i:i"),L131,INDIRECT("'"&amp;K131&amp;"'!l:l")))</f>
        <v>0</v>
      </c>
      <c r="S131" s="335">
        <f t="shared" ref="S131:S194" ca="1" si="10">IF($N131 = "N","N/A",SUMIF(INDIRECT("'"&amp;K131&amp;"'!i:i"),M131,INDIRECT("'"&amp;K131&amp;"'!l:l")))</f>
        <v>0</v>
      </c>
      <c r="T131" s="429" t="s">
        <v>157</v>
      </c>
      <c r="U131"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31" s="24"/>
      <c r="W131" s="21"/>
      <c r="Y131" s="490"/>
    </row>
    <row r="132" spans="1:25" ht="60">
      <c r="A132" s="31">
        <v>129</v>
      </c>
      <c r="B132" s="22" t="s">
        <v>39</v>
      </c>
      <c r="C132" s="22" t="s">
        <v>216</v>
      </c>
      <c r="D132" s="22" t="s">
        <v>264</v>
      </c>
      <c r="E132" s="23" t="s">
        <v>265</v>
      </c>
      <c r="F132" s="22" t="s">
        <v>142</v>
      </c>
      <c r="G132" s="22" t="s">
        <v>266</v>
      </c>
      <c r="H132" s="22" t="s">
        <v>30</v>
      </c>
      <c r="I132" s="22" t="s">
        <v>267</v>
      </c>
      <c r="J132" s="22" t="s">
        <v>268</v>
      </c>
      <c r="K132" s="519" t="s">
        <v>969</v>
      </c>
      <c r="L132" s="521" t="s">
        <v>1072</v>
      </c>
      <c r="M132" s="521" t="s">
        <v>1073</v>
      </c>
      <c r="N132" s="521" t="s">
        <v>885</v>
      </c>
      <c r="O132" s="22" t="s">
        <v>174</v>
      </c>
      <c r="P132" s="69">
        <v>2017</v>
      </c>
      <c r="Q132" s="533">
        <f t="shared" ca="1" si="8"/>
        <v>2.3909472531483848E-2</v>
      </c>
      <c r="R132" s="335">
        <f t="shared" ca="1" si="9"/>
        <v>0</v>
      </c>
      <c r="S132" s="335">
        <f t="shared" ca="1" si="10"/>
        <v>0</v>
      </c>
      <c r="T132" s="429" t="s">
        <v>269</v>
      </c>
      <c r="U132" s="22"/>
      <c r="V132" s="24"/>
      <c r="W132" s="21"/>
      <c r="Y132" s="490"/>
    </row>
    <row r="133" spans="1:25" ht="45">
      <c r="A133" s="31">
        <v>130</v>
      </c>
      <c r="B133" s="22" t="s">
        <v>39</v>
      </c>
      <c r="C133" s="22" t="s">
        <v>216</v>
      </c>
      <c r="D133" s="22" t="s">
        <v>264</v>
      </c>
      <c r="E133" s="23" t="s">
        <v>270</v>
      </c>
      <c r="F133" s="22" t="s">
        <v>142</v>
      </c>
      <c r="G133" s="22" t="s">
        <v>271</v>
      </c>
      <c r="H133" s="22" t="s">
        <v>30</v>
      </c>
      <c r="I133" s="22" t="s">
        <v>272</v>
      </c>
      <c r="J133" s="22" t="s">
        <v>273</v>
      </c>
      <c r="K133" s="519" t="s">
        <v>969</v>
      </c>
      <c r="L133" s="521" t="s">
        <v>1074</v>
      </c>
      <c r="M133" s="521" t="s">
        <v>1075</v>
      </c>
      <c r="N133" s="521" t="s">
        <v>885</v>
      </c>
      <c r="O133" s="22" t="s">
        <v>174</v>
      </c>
      <c r="P133" s="69">
        <v>2017</v>
      </c>
      <c r="Q133" s="533">
        <f t="shared" ca="1" si="8"/>
        <v>6.9961977186311794E-2</v>
      </c>
      <c r="R133" s="335">
        <f t="shared" ca="1" si="9"/>
        <v>0</v>
      </c>
      <c r="S133" s="335">
        <f t="shared" ca="1" si="10"/>
        <v>0</v>
      </c>
      <c r="T133" s="429" t="s">
        <v>274</v>
      </c>
      <c r="U133" s="22"/>
      <c r="V133" s="24"/>
      <c r="W133" s="21"/>
      <c r="Y133" s="490"/>
    </row>
    <row r="134" spans="1:25" ht="30">
      <c r="A134" s="31">
        <v>131</v>
      </c>
      <c r="B134" s="22" t="s">
        <v>39</v>
      </c>
      <c r="C134" s="22" t="s">
        <v>216</v>
      </c>
      <c r="D134" s="22" t="s">
        <v>275</v>
      </c>
      <c r="E134" s="23" t="s">
        <v>91</v>
      </c>
      <c r="F134" s="22" t="s">
        <v>92</v>
      </c>
      <c r="G134" s="22" t="s">
        <v>93</v>
      </c>
      <c r="H134" s="22" t="s">
        <v>30</v>
      </c>
      <c r="I134" s="22" t="s">
        <v>276</v>
      </c>
      <c r="J134" s="22" t="s">
        <v>92</v>
      </c>
      <c r="K134" s="519" t="s">
        <v>969</v>
      </c>
      <c r="L134" s="521" t="s">
        <v>1076</v>
      </c>
      <c r="M134" s="521" t="s">
        <v>1077</v>
      </c>
      <c r="N134" s="521" t="s">
        <v>885</v>
      </c>
      <c r="O134" s="22" t="s">
        <v>174</v>
      </c>
      <c r="P134" s="69">
        <v>2017</v>
      </c>
      <c r="Q134" s="414">
        <f t="shared" ca="1" si="8"/>
        <v>1143.591522911428</v>
      </c>
      <c r="R134" s="335">
        <f t="shared" ca="1" si="9"/>
        <v>0</v>
      </c>
      <c r="S134" s="335">
        <f t="shared" ca="1" si="10"/>
        <v>0</v>
      </c>
      <c r="T134" s="429"/>
      <c r="U134" s="22"/>
      <c r="V134" s="24"/>
      <c r="W134" s="21"/>
      <c r="Y134" s="490"/>
    </row>
    <row r="135" spans="1:25" ht="30">
      <c r="A135" s="31">
        <v>132</v>
      </c>
      <c r="B135" s="22" t="s">
        <v>39</v>
      </c>
      <c r="C135" s="22" t="s">
        <v>216</v>
      </c>
      <c r="D135" s="22" t="s">
        <v>275</v>
      </c>
      <c r="E135" s="23" t="s">
        <v>91</v>
      </c>
      <c r="F135" s="22" t="s">
        <v>95</v>
      </c>
      <c r="G135" s="22" t="s">
        <v>93</v>
      </c>
      <c r="H135" s="22" t="s">
        <v>30</v>
      </c>
      <c r="I135" s="22" t="s">
        <v>276</v>
      </c>
      <c r="J135" s="22" t="s">
        <v>95</v>
      </c>
      <c r="K135" s="519" t="s">
        <v>969</v>
      </c>
      <c r="L135" s="521" t="s">
        <v>1078</v>
      </c>
      <c r="M135" s="521" t="s">
        <v>1079</v>
      </c>
      <c r="N135" s="521" t="s">
        <v>885</v>
      </c>
      <c r="O135" s="22" t="s">
        <v>174</v>
      </c>
      <c r="P135" s="69">
        <v>2017</v>
      </c>
      <c r="Q135" s="414">
        <f t="shared" ca="1" si="8"/>
        <v>0.11987818387498918</v>
      </c>
      <c r="R135" s="335">
        <f t="shared" ca="1" si="9"/>
        <v>0</v>
      </c>
      <c r="S135" s="335">
        <f t="shared" ca="1" si="10"/>
        <v>0</v>
      </c>
      <c r="T135" s="429"/>
      <c r="U135" s="22"/>
      <c r="V135" s="24"/>
      <c r="W135" s="21"/>
      <c r="Y135" s="490"/>
    </row>
    <row r="136" spans="1:25" ht="30">
      <c r="A136" s="31">
        <v>133</v>
      </c>
      <c r="B136" s="22" t="s">
        <v>39</v>
      </c>
      <c r="C136" s="22" t="s">
        <v>216</v>
      </c>
      <c r="D136" s="22" t="s">
        <v>275</v>
      </c>
      <c r="E136" s="23" t="s">
        <v>91</v>
      </c>
      <c r="F136" s="22" t="s">
        <v>96</v>
      </c>
      <c r="G136" s="22" t="s">
        <v>93</v>
      </c>
      <c r="H136" s="22" t="s">
        <v>30</v>
      </c>
      <c r="I136" s="22" t="s">
        <v>276</v>
      </c>
      <c r="J136" s="22" t="s">
        <v>96</v>
      </c>
      <c r="K136" s="519" t="s">
        <v>969</v>
      </c>
      <c r="L136" s="521" t="s">
        <v>1080</v>
      </c>
      <c r="M136" s="521" t="s">
        <v>1081</v>
      </c>
      <c r="N136" s="521" t="s">
        <v>885</v>
      </c>
      <c r="O136" s="22" t="s">
        <v>174</v>
      </c>
      <c r="P136" s="69">
        <v>2017</v>
      </c>
      <c r="Q136" s="414">
        <f t="shared" ca="1" si="8"/>
        <v>0.96858686993274801</v>
      </c>
      <c r="R136" s="335">
        <f t="shared" ca="1" si="9"/>
        <v>0</v>
      </c>
      <c r="S136" s="335">
        <f t="shared" ca="1" si="10"/>
        <v>0</v>
      </c>
      <c r="T136" s="429" t="s">
        <v>48</v>
      </c>
      <c r="U136" s="22" t="s">
        <v>49</v>
      </c>
      <c r="V136" s="24"/>
      <c r="W136" s="21"/>
      <c r="Y136" s="490"/>
    </row>
    <row r="137" spans="1:25" ht="30">
      <c r="A137" s="31">
        <v>134</v>
      </c>
      <c r="B137" s="22" t="s">
        <v>39</v>
      </c>
      <c r="C137" s="22" t="s">
        <v>216</v>
      </c>
      <c r="D137" s="22" t="s">
        <v>275</v>
      </c>
      <c r="E137" s="23" t="s">
        <v>91</v>
      </c>
      <c r="F137" s="22" t="s">
        <v>97</v>
      </c>
      <c r="G137" s="22" t="s">
        <v>93</v>
      </c>
      <c r="H137" s="22" t="s">
        <v>30</v>
      </c>
      <c r="I137" s="22" t="s">
        <v>276</v>
      </c>
      <c r="J137" s="22" t="s">
        <v>97</v>
      </c>
      <c r="K137" s="519" t="s">
        <v>969</v>
      </c>
      <c r="L137" s="521" t="s">
        <v>1082</v>
      </c>
      <c r="M137" s="521" t="s">
        <v>1083</v>
      </c>
      <c r="N137" s="521" t="s">
        <v>885</v>
      </c>
      <c r="O137" s="22" t="s">
        <v>174</v>
      </c>
      <c r="P137" s="69">
        <v>2017</v>
      </c>
      <c r="Q137" s="414">
        <f t="shared" ca="1" si="8"/>
        <v>1404.4703619909544</v>
      </c>
      <c r="R137" s="335">
        <f t="shared" ca="1" si="9"/>
        <v>0</v>
      </c>
      <c r="S137" s="335">
        <f t="shared" ca="1" si="10"/>
        <v>0</v>
      </c>
      <c r="T137" s="429"/>
      <c r="U137" s="22"/>
      <c r="V137" s="24"/>
      <c r="W137" s="21"/>
      <c r="Y137" s="490"/>
    </row>
    <row r="138" spans="1:25" ht="30">
      <c r="A138" s="31">
        <v>135</v>
      </c>
      <c r="B138" s="22" t="s">
        <v>39</v>
      </c>
      <c r="C138" s="22" t="s">
        <v>216</v>
      </c>
      <c r="D138" s="22" t="s">
        <v>275</v>
      </c>
      <c r="E138" s="23" t="s">
        <v>91</v>
      </c>
      <c r="F138" s="22" t="s">
        <v>98</v>
      </c>
      <c r="G138" s="22" t="s">
        <v>93</v>
      </c>
      <c r="H138" s="22" t="s">
        <v>30</v>
      </c>
      <c r="I138" s="22" t="s">
        <v>276</v>
      </c>
      <c r="J138" s="22" t="s">
        <v>98</v>
      </c>
      <c r="K138" s="519" t="s">
        <v>969</v>
      </c>
      <c r="L138" s="521" t="s">
        <v>1084</v>
      </c>
      <c r="M138" s="521" t="s">
        <v>1085</v>
      </c>
      <c r="N138" s="521" t="s">
        <v>885</v>
      </c>
      <c r="O138" s="22" t="s">
        <v>174</v>
      </c>
      <c r="P138" s="69">
        <v>2017</v>
      </c>
      <c r="Q138" s="414">
        <f t="shared" ca="1" si="8"/>
        <v>0.14722508249544294</v>
      </c>
      <c r="R138" s="335">
        <f t="shared" ca="1" si="9"/>
        <v>0</v>
      </c>
      <c r="S138" s="335">
        <f t="shared" ca="1" si="10"/>
        <v>0</v>
      </c>
      <c r="T138" s="429"/>
      <c r="U138" s="22"/>
      <c r="V138" s="24"/>
      <c r="W138" s="21"/>
      <c r="Y138" s="490"/>
    </row>
    <row r="139" spans="1:25" ht="30">
      <c r="A139" s="31">
        <v>136</v>
      </c>
      <c r="B139" s="22" t="s">
        <v>39</v>
      </c>
      <c r="C139" s="22" t="s">
        <v>216</v>
      </c>
      <c r="D139" s="22" t="s">
        <v>275</v>
      </c>
      <c r="E139" s="23" t="s">
        <v>91</v>
      </c>
      <c r="F139" s="22" t="s">
        <v>99</v>
      </c>
      <c r="G139" s="22" t="s">
        <v>93</v>
      </c>
      <c r="H139" s="22" t="s">
        <v>30</v>
      </c>
      <c r="I139" s="22" t="s">
        <v>276</v>
      </c>
      <c r="J139" s="22" t="s">
        <v>99</v>
      </c>
      <c r="K139" s="519" t="s">
        <v>969</v>
      </c>
      <c r="L139" s="521" t="s">
        <v>1086</v>
      </c>
      <c r="M139" s="521" t="s">
        <v>1087</v>
      </c>
      <c r="N139" s="521" t="s">
        <v>885</v>
      </c>
      <c r="O139" s="22" t="s">
        <v>174</v>
      </c>
      <c r="P139" s="69">
        <v>2017</v>
      </c>
      <c r="Q139" s="414">
        <f t="shared" ca="1" si="8"/>
        <v>1.1895432281369684</v>
      </c>
      <c r="R139" s="335">
        <f t="shared" ca="1" si="9"/>
        <v>0</v>
      </c>
      <c r="S139" s="335">
        <f t="shared" ca="1" si="10"/>
        <v>0</v>
      </c>
      <c r="T139" s="429" t="s">
        <v>48</v>
      </c>
      <c r="U139" s="22" t="s">
        <v>49</v>
      </c>
      <c r="V139" s="24"/>
      <c r="W139" s="21"/>
      <c r="Y139" s="490"/>
    </row>
    <row r="140" spans="1:25" ht="45">
      <c r="A140" s="31">
        <v>137</v>
      </c>
      <c r="B140" s="22" t="s">
        <v>39</v>
      </c>
      <c r="C140" s="22" t="s">
        <v>216</v>
      </c>
      <c r="D140" s="22" t="s">
        <v>277</v>
      </c>
      <c r="E140" s="23" t="s">
        <v>278</v>
      </c>
      <c r="F140" s="22" t="s">
        <v>279</v>
      </c>
      <c r="G140" s="22" t="s">
        <v>280</v>
      </c>
      <c r="H140" s="22" t="s">
        <v>164</v>
      </c>
      <c r="I140" s="22" t="s">
        <v>281</v>
      </c>
      <c r="J140" s="22" t="s">
        <v>282</v>
      </c>
      <c r="K140" s="519" t="s">
        <v>969</v>
      </c>
      <c r="L140" s="521" t="s">
        <v>1088</v>
      </c>
      <c r="M140" s="521" t="s">
        <v>1089</v>
      </c>
      <c r="N140" s="521" t="s">
        <v>885</v>
      </c>
      <c r="O140" s="22" t="s">
        <v>174</v>
      </c>
      <c r="P140" s="69" t="s">
        <v>167</v>
      </c>
      <c r="Q140" s="414" t="s">
        <v>167</v>
      </c>
      <c r="R140" s="335">
        <f t="shared" ca="1" si="9"/>
        <v>0</v>
      </c>
      <c r="S140" s="335">
        <f t="shared" ca="1" si="10"/>
        <v>0</v>
      </c>
      <c r="T140" s="429" t="s">
        <v>283</v>
      </c>
      <c r="U140" s="22"/>
      <c r="V140" s="24"/>
      <c r="W140" s="21"/>
      <c r="Y140" s="490"/>
    </row>
    <row r="141" spans="1:25" ht="60">
      <c r="A141" s="31">
        <v>138</v>
      </c>
      <c r="B141" s="22" t="s">
        <v>39</v>
      </c>
      <c r="C141" s="22" t="s">
        <v>216</v>
      </c>
      <c r="D141" s="22" t="s">
        <v>277</v>
      </c>
      <c r="E141" s="23" t="s">
        <v>284</v>
      </c>
      <c r="F141" s="22" t="s">
        <v>285</v>
      </c>
      <c r="G141" s="22" t="s">
        <v>286</v>
      </c>
      <c r="H141" s="22" t="s">
        <v>164</v>
      </c>
      <c r="I141" s="22" t="s">
        <v>287</v>
      </c>
      <c r="J141" s="22" t="s">
        <v>288</v>
      </c>
      <c r="K141" s="519" t="s">
        <v>969</v>
      </c>
      <c r="L141" s="521" t="s">
        <v>1090</v>
      </c>
      <c r="M141" s="521" t="s">
        <v>1091</v>
      </c>
      <c r="N141" s="521" t="s">
        <v>885</v>
      </c>
      <c r="O141" s="22" t="s">
        <v>174</v>
      </c>
      <c r="P141" s="69" t="s">
        <v>167</v>
      </c>
      <c r="Q141" s="414" t="s">
        <v>167</v>
      </c>
      <c r="R141" s="335">
        <f t="shared" ca="1" si="9"/>
        <v>0</v>
      </c>
      <c r="S141" s="335">
        <f t="shared" ca="1" si="10"/>
        <v>0</v>
      </c>
      <c r="T141" s="429" t="s">
        <v>289</v>
      </c>
      <c r="U141" s="22"/>
      <c r="V141" s="24"/>
      <c r="W141" s="21"/>
      <c r="Y141" s="490"/>
    </row>
    <row r="142" spans="1:25" ht="45">
      <c r="A142" s="31">
        <v>139</v>
      </c>
      <c r="B142" s="22" t="s">
        <v>39</v>
      </c>
      <c r="C142" s="22" t="s">
        <v>290</v>
      </c>
      <c r="D142" s="22" t="s">
        <v>291</v>
      </c>
      <c r="E142" s="23" t="s">
        <v>51</v>
      </c>
      <c r="F142" s="22" t="s">
        <v>52</v>
      </c>
      <c r="G142" s="22" t="s">
        <v>53</v>
      </c>
      <c r="H142" s="22" t="s">
        <v>30</v>
      </c>
      <c r="I142" s="22" t="s">
        <v>292</v>
      </c>
      <c r="J142" s="22" t="s">
        <v>52</v>
      </c>
      <c r="K142" s="519" t="s">
        <v>1092</v>
      </c>
      <c r="L142" s="521" t="s">
        <v>1093</v>
      </c>
      <c r="M142" s="521" t="s">
        <v>1094</v>
      </c>
      <c r="N142" s="521" t="s">
        <v>815</v>
      </c>
      <c r="O142" s="22" t="s">
        <v>293</v>
      </c>
      <c r="P142" s="69">
        <v>2017</v>
      </c>
      <c r="Q142" s="414">
        <f t="shared" ref="Q142:Q185" ca="1" si="11">SUMIF(INDIRECT("'"&amp;K142&amp;"'!c:c"),A142,INDIRECT("'"&amp;K142&amp;"'!e:e"))</f>
        <v>18761.921947046667</v>
      </c>
      <c r="R142" s="335" t="str">
        <f t="shared" ca="1" si="9"/>
        <v>N/A</v>
      </c>
      <c r="S142" s="335" t="str">
        <f t="shared" ca="1" si="10"/>
        <v>N/A</v>
      </c>
      <c r="T142" s="429" t="s">
        <v>899</v>
      </c>
      <c r="U142" s="22"/>
      <c r="V142" s="24"/>
      <c r="W142" s="21"/>
      <c r="Y142" s="490"/>
    </row>
    <row r="143" spans="1:25" ht="45">
      <c r="A143" s="31">
        <v>140</v>
      </c>
      <c r="B143" s="22" t="s">
        <v>39</v>
      </c>
      <c r="C143" s="22" t="s">
        <v>290</v>
      </c>
      <c r="D143" s="22" t="s">
        <v>291</v>
      </c>
      <c r="E143" s="23" t="s">
        <v>51</v>
      </c>
      <c r="F143" s="22" t="s">
        <v>55</v>
      </c>
      <c r="G143" s="22" t="s">
        <v>53</v>
      </c>
      <c r="H143" s="22" t="s">
        <v>30</v>
      </c>
      <c r="I143" s="22" t="s">
        <v>292</v>
      </c>
      <c r="J143" s="22" t="s">
        <v>55</v>
      </c>
      <c r="K143" s="519" t="s">
        <v>1092</v>
      </c>
      <c r="L143" s="521" t="s">
        <v>1095</v>
      </c>
      <c r="M143" s="521" t="s">
        <v>1096</v>
      </c>
      <c r="N143" s="521" t="s">
        <v>815</v>
      </c>
      <c r="O143" s="22" t="s">
        <v>293</v>
      </c>
      <c r="P143" s="69">
        <v>2017</v>
      </c>
      <c r="Q143" s="414">
        <f t="shared" ca="1" si="11"/>
        <v>14976.994338750063</v>
      </c>
      <c r="R143" s="335" t="str">
        <f t="shared" ca="1" si="9"/>
        <v>N/A</v>
      </c>
      <c r="S143" s="335" t="str">
        <f t="shared" ca="1" si="10"/>
        <v>N/A</v>
      </c>
      <c r="T143" s="429" t="s">
        <v>899</v>
      </c>
      <c r="U143" s="22"/>
      <c r="V143" s="24"/>
      <c r="W143" s="21"/>
      <c r="Y143" s="490"/>
    </row>
    <row r="144" spans="1:25" ht="45">
      <c r="A144" s="31">
        <v>141</v>
      </c>
      <c r="B144" s="22" t="s">
        <v>39</v>
      </c>
      <c r="C144" s="22" t="s">
        <v>290</v>
      </c>
      <c r="D144" s="22" t="s">
        <v>291</v>
      </c>
      <c r="E144" s="23" t="s">
        <v>51</v>
      </c>
      <c r="F144" s="22" t="s">
        <v>56</v>
      </c>
      <c r="G144" s="22" t="s">
        <v>53</v>
      </c>
      <c r="H144" s="22" t="s">
        <v>30</v>
      </c>
      <c r="I144" s="22" t="s">
        <v>292</v>
      </c>
      <c r="J144" s="22" t="s">
        <v>56</v>
      </c>
      <c r="K144" s="519" t="s">
        <v>1092</v>
      </c>
      <c r="L144" s="521" t="s">
        <v>1097</v>
      </c>
      <c r="M144" s="521" t="s">
        <v>1098</v>
      </c>
      <c r="N144" s="521" t="s">
        <v>815</v>
      </c>
      <c r="O144" s="22" t="s">
        <v>293</v>
      </c>
      <c r="P144" s="69">
        <v>2017</v>
      </c>
      <c r="Q144" s="414">
        <f t="shared" ca="1" si="11"/>
        <v>88627172.775303721</v>
      </c>
      <c r="R144" s="335" t="str">
        <f t="shared" ca="1" si="9"/>
        <v>N/A</v>
      </c>
      <c r="S144" s="335" t="str">
        <f t="shared" ca="1" si="10"/>
        <v>N/A</v>
      </c>
      <c r="T144" s="429" t="s">
        <v>899</v>
      </c>
      <c r="U144" s="22"/>
      <c r="V144" s="24"/>
      <c r="W144" s="21"/>
      <c r="Y144" s="490"/>
    </row>
    <row r="145" spans="1:25" ht="45">
      <c r="A145" s="31">
        <v>142</v>
      </c>
      <c r="B145" s="22" t="s">
        <v>39</v>
      </c>
      <c r="C145" s="22" t="s">
        <v>290</v>
      </c>
      <c r="D145" s="22" t="s">
        <v>291</v>
      </c>
      <c r="E145" s="23" t="s">
        <v>51</v>
      </c>
      <c r="F145" s="22" t="s">
        <v>57</v>
      </c>
      <c r="G145" s="22" t="s">
        <v>53</v>
      </c>
      <c r="H145" s="22" t="s">
        <v>30</v>
      </c>
      <c r="I145" s="22" t="s">
        <v>292</v>
      </c>
      <c r="J145" s="22" t="s">
        <v>57</v>
      </c>
      <c r="K145" s="519" t="s">
        <v>1092</v>
      </c>
      <c r="L145" s="521" t="s">
        <v>1099</v>
      </c>
      <c r="M145" s="521" t="s">
        <v>1100</v>
      </c>
      <c r="N145" s="521" t="s">
        <v>815</v>
      </c>
      <c r="O145" s="22" t="s">
        <v>293</v>
      </c>
      <c r="P145" s="69">
        <v>2017</v>
      </c>
      <c r="Q145" s="414">
        <f t="shared" ca="1" si="11"/>
        <v>68056876.459394991</v>
      </c>
      <c r="R145" s="335" t="str">
        <f t="shared" ca="1" si="9"/>
        <v>N/A</v>
      </c>
      <c r="S145" s="335" t="str">
        <f t="shared" ca="1" si="10"/>
        <v>N/A</v>
      </c>
      <c r="T145" s="429" t="s">
        <v>899</v>
      </c>
      <c r="U145" s="22"/>
      <c r="V145" s="24"/>
      <c r="W145" s="21"/>
      <c r="Y145" s="490"/>
    </row>
    <row r="146" spans="1:25" ht="45">
      <c r="A146" s="31">
        <v>143</v>
      </c>
      <c r="B146" s="22" t="s">
        <v>39</v>
      </c>
      <c r="C146" s="22" t="s">
        <v>290</v>
      </c>
      <c r="D146" s="22" t="s">
        <v>291</v>
      </c>
      <c r="E146" s="23" t="s">
        <v>51</v>
      </c>
      <c r="F146" s="22" t="s">
        <v>58</v>
      </c>
      <c r="G146" s="22" t="s">
        <v>53</v>
      </c>
      <c r="H146" s="22" t="s">
        <v>30</v>
      </c>
      <c r="I146" s="22" t="s">
        <v>292</v>
      </c>
      <c r="J146" s="22" t="s">
        <v>58</v>
      </c>
      <c r="K146" s="519" t="s">
        <v>1092</v>
      </c>
      <c r="L146" s="521" t="s">
        <v>1101</v>
      </c>
      <c r="M146" s="521" t="s">
        <v>1102</v>
      </c>
      <c r="N146" s="521" t="s">
        <v>815</v>
      </c>
      <c r="O146" s="22" t="s">
        <v>293</v>
      </c>
      <c r="P146" s="69">
        <v>2017</v>
      </c>
      <c r="Q146" s="414">
        <f t="shared" ca="1" si="11"/>
        <v>430579.00311940245</v>
      </c>
      <c r="R146" s="335" t="str">
        <f t="shared" ca="1" si="9"/>
        <v>N/A</v>
      </c>
      <c r="S146" s="335" t="str">
        <f t="shared" ca="1" si="10"/>
        <v>N/A</v>
      </c>
      <c r="T146" s="429" t="s">
        <v>899</v>
      </c>
      <c r="U146" s="22" t="s">
        <v>295</v>
      </c>
      <c r="V146" s="24"/>
      <c r="W146" s="21"/>
      <c r="Y146" s="490"/>
    </row>
    <row r="147" spans="1:25" ht="45">
      <c r="A147" s="31">
        <v>144</v>
      </c>
      <c r="B147" s="22" t="s">
        <v>39</v>
      </c>
      <c r="C147" s="22" t="s">
        <v>290</v>
      </c>
      <c r="D147" s="22" t="s">
        <v>291</v>
      </c>
      <c r="E147" s="23" t="s">
        <v>51</v>
      </c>
      <c r="F147" s="22" t="s">
        <v>60</v>
      </c>
      <c r="G147" s="22" t="s">
        <v>53</v>
      </c>
      <c r="H147" s="22" t="s">
        <v>30</v>
      </c>
      <c r="I147" s="22" t="s">
        <v>292</v>
      </c>
      <c r="J147" s="22" t="s">
        <v>60</v>
      </c>
      <c r="K147" s="519" t="s">
        <v>1092</v>
      </c>
      <c r="L147" s="521" t="s">
        <v>1103</v>
      </c>
      <c r="M147" s="521" t="s">
        <v>1104</v>
      </c>
      <c r="N147" s="521" t="s">
        <v>815</v>
      </c>
      <c r="O147" s="22" t="s">
        <v>293</v>
      </c>
      <c r="P147" s="69">
        <v>2017</v>
      </c>
      <c r="Q147" s="414">
        <f t="shared" ca="1" si="11"/>
        <v>197874.57642467719</v>
      </c>
      <c r="R147" s="335" t="str">
        <f t="shared" ca="1" si="9"/>
        <v>N/A</v>
      </c>
      <c r="S147" s="335" t="str">
        <f t="shared" ca="1" si="10"/>
        <v>N/A</v>
      </c>
      <c r="T147" s="429" t="s">
        <v>899</v>
      </c>
      <c r="U147" s="22" t="s">
        <v>49</v>
      </c>
      <c r="V147" s="24"/>
      <c r="W147" s="21"/>
      <c r="Y147" s="490"/>
    </row>
    <row r="148" spans="1:25" ht="45">
      <c r="A148" s="31">
        <v>145</v>
      </c>
      <c r="B148" s="22" t="s">
        <v>39</v>
      </c>
      <c r="C148" s="22" t="s">
        <v>290</v>
      </c>
      <c r="D148" s="22" t="s">
        <v>291</v>
      </c>
      <c r="E148" s="23" t="s">
        <v>51</v>
      </c>
      <c r="F148" s="22" t="s">
        <v>61</v>
      </c>
      <c r="G148" s="22" t="s">
        <v>53</v>
      </c>
      <c r="H148" s="22" t="s">
        <v>30</v>
      </c>
      <c r="I148" s="22" t="s">
        <v>292</v>
      </c>
      <c r="J148" s="22" t="s">
        <v>61</v>
      </c>
      <c r="K148" s="519" t="s">
        <v>1092</v>
      </c>
      <c r="L148" s="521" t="s">
        <v>1105</v>
      </c>
      <c r="M148" s="521" t="s">
        <v>1106</v>
      </c>
      <c r="N148" s="521" t="s">
        <v>815</v>
      </c>
      <c r="O148" s="22" t="s">
        <v>293</v>
      </c>
      <c r="P148" s="69">
        <v>2017</v>
      </c>
      <c r="Q148" s="414">
        <f t="shared" ca="1" si="11"/>
        <v>149417.58976452262</v>
      </c>
      <c r="R148" s="335" t="str">
        <f t="shared" ca="1" si="9"/>
        <v>N/A</v>
      </c>
      <c r="S148" s="335" t="str">
        <f t="shared" ca="1" si="10"/>
        <v>N/A</v>
      </c>
      <c r="T148" s="429" t="s">
        <v>899</v>
      </c>
      <c r="U148" s="22"/>
      <c r="V148" s="24"/>
      <c r="W148" s="21"/>
      <c r="Y148" s="490"/>
    </row>
    <row r="149" spans="1:25" ht="45">
      <c r="A149" s="31">
        <v>146</v>
      </c>
      <c r="B149" s="22" t="s">
        <v>39</v>
      </c>
      <c r="C149" s="22" t="s">
        <v>290</v>
      </c>
      <c r="D149" s="22" t="s">
        <v>291</v>
      </c>
      <c r="E149" s="23" t="s">
        <v>51</v>
      </c>
      <c r="F149" s="22" t="s">
        <v>62</v>
      </c>
      <c r="G149" s="22" t="s">
        <v>53</v>
      </c>
      <c r="H149" s="22" t="s">
        <v>30</v>
      </c>
      <c r="I149" s="22" t="s">
        <v>292</v>
      </c>
      <c r="J149" s="22" t="s">
        <v>62</v>
      </c>
      <c r="K149" s="519" t="s">
        <v>1092</v>
      </c>
      <c r="L149" s="521" t="s">
        <v>1107</v>
      </c>
      <c r="M149" s="521" t="s">
        <v>1108</v>
      </c>
      <c r="N149" s="521" t="s">
        <v>815</v>
      </c>
      <c r="O149" s="22" t="s">
        <v>293</v>
      </c>
      <c r="P149" s="69">
        <v>2017</v>
      </c>
      <c r="Q149" s="414">
        <f t="shared" ca="1" si="11"/>
        <v>120354.98574719284</v>
      </c>
      <c r="R149" s="335" t="str">
        <f t="shared" ca="1" si="9"/>
        <v>N/A</v>
      </c>
      <c r="S149" s="335" t="str">
        <f t="shared" ca="1" si="10"/>
        <v>N/A</v>
      </c>
      <c r="T149" s="429" t="s">
        <v>899</v>
      </c>
      <c r="U149" s="22"/>
      <c r="V149" s="24"/>
      <c r="W149" s="21"/>
      <c r="Y149" s="490"/>
    </row>
    <row r="150" spans="1:25" ht="45">
      <c r="A150" s="31">
        <v>147</v>
      </c>
      <c r="B150" s="22" t="s">
        <v>39</v>
      </c>
      <c r="C150" s="22" t="s">
        <v>290</v>
      </c>
      <c r="D150" s="22" t="s">
        <v>291</v>
      </c>
      <c r="E150" s="23" t="s">
        <v>51</v>
      </c>
      <c r="F150" s="22" t="s">
        <v>63</v>
      </c>
      <c r="G150" s="22" t="s">
        <v>53</v>
      </c>
      <c r="H150" s="22" t="s">
        <v>30</v>
      </c>
      <c r="I150" s="22" t="s">
        <v>292</v>
      </c>
      <c r="J150" s="22" t="s">
        <v>63</v>
      </c>
      <c r="K150" s="519" t="s">
        <v>1092</v>
      </c>
      <c r="L150" s="521" t="s">
        <v>1109</v>
      </c>
      <c r="M150" s="521" t="s">
        <v>1110</v>
      </c>
      <c r="N150" s="521" t="s">
        <v>815</v>
      </c>
      <c r="O150" s="22" t="s">
        <v>293</v>
      </c>
      <c r="P150" s="69">
        <v>2017</v>
      </c>
      <c r="Q150" s="414">
        <f t="shared" ca="1" si="11"/>
        <v>714402971.23290229</v>
      </c>
      <c r="R150" s="335" t="str">
        <f t="shared" ca="1" si="9"/>
        <v>N/A</v>
      </c>
      <c r="S150" s="335" t="str">
        <f t="shared" ca="1" si="10"/>
        <v>N/A</v>
      </c>
      <c r="T150" s="429" t="s">
        <v>899</v>
      </c>
      <c r="U150" s="22"/>
      <c r="V150" s="24"/>
      <c r="W150" s="21"/>
      <c r="Y150" s="490"/>
    </row>
    <row r="151" spans="1:25" ht="45">
      <c r="A151" s="31">
        <v>148</v>
      </c>
      <c r="B151" s="22" t="s">
        <v>39</v>
      </c>
      <c r="C151" s="22" t="s">
        <v>290</v>
      </c>
      <c r="D151" s="22" t="s">
        <v>291</v>
      </c>
      <c r="E151" s="23" t="s">
        <v>51</v>
      </c>
      <c r="F151" s="22" t="s">
        <v>64</v>
      </c>
      <c r="G151" s="22" t="s">
        <v>53</v>
      </c>
      <c r="H151" s="22" t="s">
        <v>30</v>
      </c>
      <c r="I151" s="22" t="s">
        <v>292</v>
      </c>
      <c r="J151" s="22" t="s">
        <v>64</v>
      </c>
      <c r="K151" s="519" t="s">
        <v>1092</v>
      </c>
      <c r="L151" s="521" t="s">
        <v>1111</v>
      </c>
      <c r="M151" s="521" t="s">
        <v>1112</v>
      </c>
      <c r="N151" s="521" t="s">
        <v>815</v>
      </c>
      <c r="O151" s="22" t="s">
        <v>293</v>
      </c>
      <c r="P151" s="69">
        <v>2017</v>
      </c>
      <c r="Q151" s="414">
        <f t="shared" ca="1" si="11"/>
        <v>555559482.41726136</v>
      </c>
      <c r="R151" s="335" t="str">
        <f t="shared" ca="1" si="9"/>
        <v>N/A</v>
      </c>
      <c r="S151" s="335" t="str">
        <f t="shared" ca="1" si="10"/>
        <v>N/A</v>
      </c>
      <c r="T151" s="429" t="s">
        <v>899</v>
      </c>
      <c r="U151" s="22"/>
      <c r="V151" s="24"/>
      <c r="W151" s="21"/>
      <c r="Y151" s="490"/>
    </row>
    <row r="152" spans="1:25" ht="45">
      <c r="A152" s="31">
        <v>149</v>
      </c>
      <c r="B152" s="22" t="s">
        <v>39</v>
      </c>
      <c r="C152" s="22" t="s">
        <v>290</v>
      </c>
      <c r="D152" s="22" t="s">
        <v>291</v>
      </c>
      <c r="E152" s="23" t="s">
        <v>51</v>
      </c>
      <c r="F152" s="22" t="s">
        <v>65</v>
      </c>
      <c r="G152" s="22" t="s">
        <v>53</v>
      </c>
      <c r="H152" s="22" t="s">
        <v>30</v>
      </c>
      <c r="I152" s="22" t="s">
        <v>292</v>
      </c>
      <c r="J152" s="22" t="s">
        <v>65</v>
      </c>
      <c r="K152" s="519" t="s">
        <v>1092</v>
      </c>
      <c r="L152" s="521" t="s">
        <v>1113</v>
      </c>
      <c r="M152" s="521" t="s">
        <v>1114</v>
      </c>
      <c r="N152" s="521" t="s">
        <v>815</v>
      </c>
      <c r="O152" s="22" t="s">
        <v>293</v>
      </c>
      <c r="P152" s="69">
        <v>2017</v>
      </c>
      <c r="Q152" s="414">
        <f t="shared" ca="1" si="11"/>
        <v>6182563.9187383074</v>
      </c>
      <c r="R152" s="335" t="str">
        <f t="shared" ca="1" si="9"/>
        <v>N/A</v>
      </c>
      <c r="S152" s="335" t="str">
        <f t="shared" ca="1" si="10"/>
        <v>N/A</v>
      </c>
      <c r="T152" s="429" t="s">
        <v>899</v>
      </c>
      <c r="U152" s="22" t="s">
        <v>49</v>
      </c>
      <c r="V152" s="24"/>
      <c r="W152" s="21"/>
      <c r="Y152" s="490"/>
    </row>
    <row r="153" spans="1:25" ht="45">
      <c r="A153" s="31">
        <v>150</v>
      </c>
      <c r="B153" s="22" t="s">
        <v>39</v>
      </c>
      <c r="C153" s="22" t="s">
        <v>290</v>
      </c>
      <c r="D153" s="22" t="s">
        <v>291</v>
      </c>
      <c r="E153" s="23" t="s">
        <v>51</v>
      </c>
      <c r="F153" s="22" t="s">
        <v>66</v>
      </c>
      <c r="G153" s="22" t="s">
        <v>53</v>
      </c>
      <c r="H153" s="22" t="s">
        <v>30</v>
      </c>
      <c r="I153" s="22" t="s">
        <v>292</v>
      </c>
      <c r="J153" s="22" t="s">
        <v>66</v>
      </c>
      <c r="K153" s="519" t="s">
        <v>1092</v>
      </c>
      <c r="L153" s="521" t="s">
        <v>1115</v>
      </c>
      <c r="M153" s="521" t="s">
        <v>1116</v>
      </c>
      <c r="N153" s="521" t="s">
        <v>815</v>
      </c>
      <c r="O153" s="22" t="s">
        <v>293</v>
      </c>
      <c r="P153" s="69">
        <v>2017</v>
      </c>
      <c r="Q153" s="414">
        <f t="shared" ca="1" si="11"/>
        <v>3074276.4533362603</v>
      </c>
      <c r="R153" s="335" t="str">
        <f t="shared" ca="1" si="9"/>
        <v>N/A</v>
      </c>
      <c r="S153" s="335" t="str">
        <f t="shared" ca="1" si="10"/>
        <v>N/A</v>
      </c>
      <c r="T153" s="429" t="s">
        <v>899</v>
      </c>
      <c r="U153" s="22" t="s">
        <v>49</v>
      </c>
      <c r="V153" s="24"/>
      <c r="W153" s="21"/>
      <c r="Y153" s="490"/>
    </row>
    <row r="154" spans="1:25" ht="60">
      <c r="A154" s="31">
        <v>151</v>
      </c>
      <c r="B154" s="22" t="s">
        <v>39</v>
      </c>
      <c r="C154" s="22" t="s">
        <v>290</v>
      </c>
      <c r="D154" s="22" t="s">
        <v>291</v>
      </c>
      <c r="E154" s="23" t="s">
        <v>296</v>
      </c>
      <c r="F154" s="22" t="s">
        <v>297</v>
      </c>
      <c r="G154" s="22" t="s">
        <v>298</v>
      </c>
      <c r="H154" s="22" t="s">
        <v>30</v>
      </c>
      <c r="I154" s="22" t="s">
        <v>299</v>
      </c>
      <c r="J154" s="22" t="s">
        <v>297</v>
      </c>
      <c r="K154" s="519" t="s">
        <v>1092</v>
      </c>
      <c r="L154" s="521" t="s">
        <v>1117</v>
      </c>
      <c r="M154" s="521" t="s">
        <v>1118</v>
      </c>
      <c r="N154" s="521" t="s">
        <v>885</v>
      </c>
      <c r="O154" s="22" t="s">
        <v>293</v>
      </c>
      <c r="P154" s="69">
        <v>2017</v>
      </c>
      <c r="Q154" s="533">
        <f t="shared" ca="1" si="11"/>
        <v>1.2124181897873013E-2</v>
      </c>
      <c r="R154" s="335">
        <f t="shared" ca="1" si="9"/>
        <v>0</v>
      </c>
      <c r="S154" s="335">
        <f t="shared" ca="1" si="10"/>
        <v>0</v>
      </c>
      <c r="T154" s="429"/>
      <c r="U154" s="22"/>
      <c r="V154" s="24"/>
      <c r="W154" s="21"/>
      <c r="Y154" s="490"/>
    </row>
    <row r="155" spans="1:25" ht="60">
      <c r="A155" s="31">
        <v>152</v>
      </c>
      <c r="B155" s="22" t="s">
        <v>39</v>
      </c>
      <c r="C155" s="22" t="s">
        <v>290</v>
      </c>
      <c r="D155" s="22" t="s">
        <v>291</v>
      </c>
      <c r="E155" s="23" t="s">
        <v>296</v>
      </c>
      <c r="F155" s="22" t="s">
        <v>300</v>
      </c>
      <c r="G155" s="22" t="s">
        <v>298</v>
      </c>
      <c r="H155" s="22" t="s">
        <v>30</v>
      </c>
      <c r="I155" s="22" t="s">
        <v>299</v>
      </c>
      <c r="J155" s="22" t="s">
        <v>300</v>
      </c>
      <c r="K155" s="519" t="s">
        <v>1092</v>
      </c>
      <c r="L155" s="521" t="s">
        <v>1119</v>
      </c>
      <c r="M155" s="521" t="s">
        <v>1120</v>
      </c>
      <c r="N155" s="521" t="s">
        <v>885</v>
      </c>
      <c r="O155" s="22" t="s">
        <v>293</v>
      </c>
      <c r="P155" s="69">
        <v>2017</v>
      </c>
      <c r="Q155" s="533">
        <f t="shared" ca="1" si="11"/>
        <v>9.6783156948909172E-3</v>
      </c>
      <c r="R155" s="335">
        <f t="shared" ca="1" si="9"/>
        <v>0</v>
      </c>
      <c r="S155" s="335">
        <f t="shared" ca="1" si="10"/>
        <v>0</v>
      </c>
      <c r="T155" s="429"/>
      <c r="U155" s="22"/>
      <c r="V155" s="24"/>
      <c r="W155" s="21"/>
      <c r="Y155" s="490"/>
    </row>
    <row r="156" spans="1:25" ht="60">
      <c r="A156" s="31">
        <v>153</v>
      </c>
      <c r="B156" s="22" t="s">
        <v>39</v>
      </c>
      <c r="C156" s="22" t="s">
        <v>290</v>
      </c>
      <c r="D156" s="22" t="s">
        <v>291</v>
      </c>
      <c r="E156" s="23" t="s">
        <v>296</v>
      </c>
      <c r="F156" s="22" t="s">
        <v>301</v>
      </c>
      <c r="G156" s="22" t="s">
        <v>298</v>
      </c>
      <c r="H156" s="22" t="s">
        <v>30</v>
      </c>
      <c r="I156" s="22" t="s">
        <v>299</v>
      </c>
      <c r="J156" s="22" t="s">
        <v>301</v>
      </c>
      <c r="K156" s="519" t="s">
        <v>1092</v>
      </c>
      <c r="L156" s="521" t="s">
        <v>1121</v>
      </c>
      <c r="M156" s="521" t="s">
        <v>1122</v>
      </c>
      <c r="N156" s="521" t="s">
        <v>885</v>
      </c>
      <c r="O156" s="22" t="s">
        <v>293</v>
      </c>
      <c r="P156" s="69">
        <v>2017</v>
      </c>
      <c r="Q156" s="533">
        <f t="shared" ca="1" si="11"/>
        <v>1.3110647112169228E-2</v>
      </c>
      <c r="R156" s="335">
        <f t="shared" ca="1" si="9"/>
        <v>0</v>
      </c>
      <c r="S156" s="335">
        <f t="shared" ca="1" si="10"/>
        <v>0</v>
      </c>
      <c r="T156" s="429"/>
      <c r="U156" s="22"/>
      <c r="V156" s="24"/>
      <c r="W156" s="21"/>
      <c r="Y156" s="490"/>
    </row>
    <row r="157" spans="1:25" ht="60">
      <c r="A157" s="31">
        <v>154</v>
      </c>
      <c r="B157" s="22" t="s">
        <v>39</v>
      </c>
      <c r="C157" s="22" t="s">
        <v>290</v>
      </c>
      <c r="D157" s="22" t="s">
        <v>291</v>
      </c>
      <c r="E157" s="23" t="s">
        <v>296</v>
      </c>
      <c r="F157" s="22" t="s">
        <v>302</v>
      </c>
      <c r="G157" s="22" t="s">
        <v>298</v>
      </c>
      <c r="H157" s="22" t="s">
        <v>30</v>
      </c>
      <c r="I157" s="22" t="s">
        <v>299</v>
      </c>
      <c r="J157" s="22" t="s">
        <v>302</v>
      </c>
      <c r="K157" s="519" t="s">
        <v>1092</v>
      </c>
      <c r="L157" s="521" t="s">
        <v>1123</v>
      </c>
      <c r="M157" s="521" t="s">
        <v>1124</v>
      </c>
      <c r="N157" s="521" t="s">
        <v>885</v>
      </c>
      <c r="O157" s="22" t="s">
        <v>293</v>
      </c>
      <c r="P157" s="69">
        <v>2017</v>
      </c>
      <c r="Q157" s="533">
        <f t="shared" ca="1" si="11"/>
        <v>1.0067676344339612E-2</v>
      </c>
      <c r="R157" s="335">
        <f t="shared" ca="1" si="9"/>
        <v>0</v>
      </c>
      <c r="S157" s="335">
        <f t="shared" ca="1" si="10"/>
        <v>0</v>
      </c>
      <c r="T157" s="429"/>
      <c r="U157" s="22"/>
      <c r="V157" s="24"/>
      <c r="W157" s="21"/>
      <c r="Y157" s="490"/>
    </row>
    <row r="158" spans="1:25" ht="60">
      <c r="A158" s="31">
        <v>155</v>
      </c>
      <c r="B158" s="22" t="s">
        <v>39</v>
      </c>
      <c r="C158" s="22" t="s">
        <v>290</v>
      </c>
      <c r="D158" s="22" t="s">
        <v>291</v>
      </c>
      <c r="E158" s="23" t="s">
        <v>296</v>
      </c>
      <c r="F158" s="22" t="s">
        <v>303</v>
      </c>
      <c r="G158" s="22" t="s">
        <v>298</v>
      </c>
      <c r="H158" s="22" t="s">
        <v>30</v>
      </c>
      <c r="I158" s="22" t="s">
        <v>299</v>
      </c>
      <c r="J158" s="22" t="s">
        <v>303</v>
      </c>
      <c r="K158" s="519" t="s">
        <v>1092</v>
      </c>
      <c r="L158" s="521" t="s">
        <v>1125</v>
      </c>
      <c r="M158" s="521" t="s">
        <v>1126</v>
      </c>
      <c r="N158" s="521" t="s">
        <v>885</v>
      </c>
      <c r="O158" s="22" t="s">
        <v>293</v>
      </c>
      <c r="P158" s="69">
        <v>2017</v>
      </c>
      <c r="Q158" s="533">
        <f t="shared" ca="1" si="11"/>
        <v>2.1891780141682338E-3</v>
      </c>
      <c r="R158" s="335">
        <f t="shared" ca="1" si="9"/>
        <v>0</v>
      </c>
      <c r="S158" s="335">
        <f t="shared" ca="1" si="10"/>
        <v>0</v>
      </c>
      <c r="T158" s="429" t="s">
        <v>304</v>
      </c>
      <c r="U158" s="22" t="s">
        <v>49</v>
      </c>
      <c r="V158" s="24"/>
      <c r="W158" s="21"/>
      <c r="Y158" s="490"/>
    </row>
    <row r="159" spans="1:25" ht="60">
      <c r="A159" s="31">
        <v>156</v>
      </c>
      <c r="B159" s="22" t="s">
        <v>39</v>
      </c>
      <c r="C159" s="22" t="s">
        <v>290</v>
      </c>
      <c r="D159" s="22" t="s">
        <v>291</v>
      </c>
      <c r="E159" s="23" t="s">
        <v>296</v>
      </c>
      <c r="F159" s="22" t="s">
        <v>305</v>
      </c>
      <c r="G159" s="22" t="s">
        <v>298</v>
      </c>
      <c r="H159" s="22" t="s">
        <v>30</v>
      </c>
      <c r="I159" s="22" t="s">
        <v>299</v>
      </c>
      <c r="J159" s="22" t="s">
        <v>305</v>
      </c>
      <c r="K159" s="519" t="s">
        <v>1092</v>
      </c>
      <c r="L159" s="521" t="s">
        <v>1127</v>
      </c>
      <c r="M159" s="521" t="s">
        <v>1128</v>
      </c>
      <c r="N159" s="521" t="s">
        <v>885</v>
      </c>
      <c r="O159" s="22" t="s">
        <v>293</v>
      </c>
      <c r="P159" s="69">
        <v>2017</v>
      </c>
      <c r="Q159" s="533">
        <f t="shared" ca="1" si="11"/>
        <v>1.006046902272266E-3</v>
      </c>
      <c r="R159" s="335">
        <f t="shared" ca="1" si="9"/>
        <v>0</v>
      </c>
      <c r="S159" s="335">
        <f t="shared" ca="1" si="10"/>
        <v>0</v>
      </c>
      <c r="T159" s="429" t="s">
        <v>304</v>
      </c>
      <c r="U159" s="22" t="s">
        <v>49</v>
      </c>
      <c r="V159" s="24"/>
      <c r="W159" s="21"/>
      <c r="Y159" s="490"/>
    </row>
    <row r="160" spans="1:25" ht="60">
      <c r="A160" s="31">
        <v>157</v>
      </c>
      <c r="B160" s="22" t="s">
        <v>39</v>
      </c>
      <c r="C160" s="22" t="s">
        <v>290</v>
      </c>
      <c r="D160" s="22" t="s">
        <v>291</v>
      </c>
      <c r="E160" s="23" t="s">
        <v>296</v>
      </c>
      <c r="F160" s="22" t="s">
        <v>306</v>
      </c>
      <c r="G160" s="22" t="s">
        <v>298</v>
      </c>
      <c r="H160" s="22" t="s">
        <v>30</v>
      </c>
      <c r="I160" s="22" t="s">
        <v>299</v>
      </c>
      <c r="J160" s="22" t="s">
        <v>306</v>
      </c>
      <c r="K160" s="519" t="s">
        <v>1092</v>
      </c>
      <c r="L160" s="521" t="s">
        <v>1129</v>
      </c>
      <c r="M160" s="521" t="s">
        <v>1130</v>
      </c>
      <c r="N160" s="521" t="s">
        <v>885</v>
      </c>
      <c r="O160" s="22" t="s">
        <v>293</v>
      </c>
      <c r="P160" s="69">
        <v>2017</v>
      </c>
      <c r="Q160" s="533">
        <f t="shared" ca="1" si="11"/>
        <v>9.6555461757051056E-2</v>
      </c>
      <c r="R160" s="335">
        <f t="shared" ca="1" si="9"/>
        <v>0</v>
      </c>
      <c r="S160" s="335">
        <f t="shared" ca="1" si="10"/>
        <v>0</v>
      </c>
      <c r="T160" s="429"/>
      <c r="U160" s="22"/>
      <c r="V160" s="24"/>
      <c r="W160" s="21"/>
      <c r="Y160" s="490"/>
    </row>
    <row r="161" spans="1:25" ht="60">
      <c r="A161" s="31">
        <v>158</v>
      </c>
      <c r="B161" s="22" t="s">
        <v>39</v>
      </c>
      <c r="C161" s="22" t="s">
        <v>290</v>
      </c>
      <c r="D161" s="22" t="s">
        <v>291</v>
      </c>
      <c r="E161" s="23" t="s">
        <v>296</v>
      </c>
      <c r="F161" s="22" t="s">
        <v>307</v>
      </c>
      <c r="G161" s="22" t="s">
        <v>298</v>
      </c>
      <c r="H161" s="22" t="s">
        <v>30</v>
      </c>
      <c r="I161" s="22" t="s">
        <v>299</v>
      </c>
      <c r="J161" s="22" t="s">
        <v>307</v>
      </c>
      <c r="K161" s="519" t="s">
        <v>1092</v>
      </c>
      <c r="L161" s="521" t="s">
        <v>1131</v>
      </c>
      <c r="M161" s="521" t="s">
        <v>1132</v>
      </c>
      <c r="N161" s="521" t="s">
        <v>885</v>
      </c>
      <c r="O161" s="22" t="s">
        <v>293</v>
      </c>
      <c r="P161" s="69">
        <v>2017</v>
      </c>
      <c r="Q161" s="533">
        <f t="shared" ca="1" si="11"/>
        <v>7.7774853963965829E-2</v>
      </c>
      <c r="R161" s="335">
        <f t="shared" ca="1" si="9"/>
        <v>0</v>
      </c>
      <c r="S161" s="335">
        <f t="shared" ca="1" si="10"/>
        <v>0</v>
      </c>
      <c r="T161" s="429"/>
      <c r="U161" s="22"/>
      <c r="V161" s="24"/>
      <c r="W161" s="21"/>
      <c r="Y161" s="490"/>
    </row>
    <row r="162" spans="1:25" ht="60">
      <c r="A162" s="31">
        <v>159</v>
      </c>
      <c r="B162" s="22" t="s">
        <v>39</v>
      </c>
      <c r="C162" s="22" t="s">
        <v>290</v>
      </c>
      <c r="D162" s="22" t="s">
        <v>291</v>
      </c>
      <c r="E162" s="23" t="s">
        <v>296</v>
      </c>
      <c r="F162" s="22" t="s">
        <v>308</v>
      </c>
      <c r="G162" s="22" t="s">
        <v>298</v>
      </c>
      <c r="H162" s="22" t="s">
        <v>30</v>
      </c>
      <c r="I162" s="22" t="s">
        <v>299</v>
      </c>
      <c r="J162" s="22" t="s">
        <v>308</v>
      </c>
      <c r="K162" s="519" t="s">
        <v>1092</v>
      </c>
      <c r="L162" s="521" t="s">
        <v>1133</v>
      </c>
      <c r="M162" s="521" t="s">
        <v>1134</v>
      </c>
      <c r="N162" s="521" t="s">
        <v>885</v>
      </c>
      <c r="O162" s="22" t="s">
        <v>293</v>
      </c>
      <c r="P162" s="69">
        <v>2017</v>
      </c>
      <c r="Q162" s="533">
        <f t="shared" ca="1" si="11"/>
        <v>0.10568186887181981</v>
      </c>
      <c r="R162" s="335">
        <f t="shared" ca="1" si="9"/>
        <v>0</v>
      </c>
      <c r="S162" s="335">
        <f t="shared" ca="1" si="10"/>
        <v>0</v>
      </c>
      <c r="T162" s="429"/>
      <c r="U162" s="22"/>
      <c r="V162" s="24"/>
      <c r="W162" s="21"/>
      <c r="Y162" s="490"/>
    </row>
    <row r="163" spans="1:25" ht="60">
      <c r="A163" s="31">
        <v>160</v>
      </c>
      <c r="B163" s="22" t="s">
        <v>39</v>
      </c>
      <c r="C163" s="22" t="s">
        <v>290</v>
      </c>
      <c r="D163" s="22" t="s">
        <v>291</v>
      </c>
      <c r="E163" s="23" t="s">
        <v>296</v>
      </c>
      <c r="F163" s="22" t="s">
        <v>309</v>
      </c>
      <c r="G163" s="22" t="s">
        <v>298</v>
      </c>
      <c r="H163" s="22" t="s">
        <v>30</v>
      </c>
      <c r="I163" s="22" t="s">
        <v>299</v>
      </c>
      <c r="J163" s="22" t="s">
        <v>309</v>
      </c>
      <c r="K163" s="519" t="s">
        <v>1092</v>
      </c>
      <c r="L163" s="521" t="s">
        <v>1135</v>
      </c>
      <c r="M163" s="521" t="s">
        <v>1136</v>
      </c>
      <c r="N163" s="521" t="s">
        <v>885</v>
      </c>
      <c r="O163" s="22" t="s">
        <v>293</v>
      </c>
      <c r="P163" s="69">
        <v>2017</v>
      </c>
      <c r="Q163" s="533">
        <f t="shared" ca="1" si="11"/>
        <v>8.2184098800698061E-2</v>
      </c>
      <c r="R163" s="335">
        <f t="shared" ca="1" si="9"/>
        <v>0</v>
      </c>
      <c r="S163" s="335">
        <f t="shared" ca="1" si="10"/>
        <v>0</v>
      </c>
      <c r="T163" s="429"/>
      <c r="U163" s="22"/>
      <c r="V163" s="24"/>
      <c r="W163" s="21"/>
      <c r="Y163" s="490"/>
    </row>
    <row r="164" spans="1:25" ht="60">
      <c r="A164" s="31">
        <v>161</v>
      </c>
      <c r="B164" s="22" t="s">
        <v>39</v>
      </c>
      <c r="C164" s="22" t="s">
        <v>290</v>
      </c>
      <c r="D164" s="22" t="s">
        <v>291</v>
      </c>
      <c r="E164" s="23" t="s">
        <v>296</v>
      </c>
      <c r="F164" s="22" t="s">
        <v>310</v>
      </c>
      <c r="G164" s="22" t="s">
        <v>298</v>
      </c>
      <c r="H164" s="22" t="s">
        <v>30</v>
      </c>
      <c r="I164" s="22" t="s">
        <v>299</v>
      </c>
      <c r="J164" s="22" t="s">
        <v>310</v>
      </c>
      <c r="K164" s="519" t="s">
        <v>1092</v>
      </c>
      <c r="L164" s="521" t="s">
        <v>1137</v>
      </c>
      <c r="M164" s="521" t="s">
        <v>1138</v>
      </c>
      <c r="N164" s="521" t="s">
        <v>885</v>
      </c>
      <c r="O164" s="22" t="s">
        <v>293</v>
      </c>
      <c r="P164" s="69">
        <v>2017</v>
      </c>
      <c r="Q164" s="533">
        <f t="shared" ca="1" si="11"/>
        <v>3.143379705939453E-2</v>
      </c>
      <c r="R164" s="335">
        <f t="shared" ca="1" si="9"/>
        <v>0</v>
      </c>
      <c r="S164" s="335">
        <f t="shared" ca="1" si="10"/>
        <v>0</v>
      </c>
      <c r="T164" s="429" t="s">
        <v>304</v>
      </c>
      <c r="U164" s="22" t="s">
        <v>49</v>
      </c>
      <c r="V164" s="24"/>
      <c r="W164" s="21"/>
      <c r="Y164" s="490"/>
    </row>
    <row r="165" spans="1:25" ht="60">
      <c r="A165" s="31">
        <v>162</v>
      </c>
      <c r="B165" s="22" t="s">
        <v>39</v>
      </c>
      <c r="C165" s="22" t="s">
        <v>290</v>
      </c>
      <c r="D165" s="22" t="s">
        <v>291</v>
      </c>
      <c r="E165" s="23" t="s">
        <v>296</v>
      </c>
      <c r="F165" s="22" t="s">
        <v>311</v>
      </c>
      <c r="G165" s="22" t="s">
        <v>298</v>
      </c>
      <c r="H165" s="22" t="s">
        <v>30</v>
      </c>
      <c r="I165" s="22" t="s">
        <v>299</v>
      </c>
      <c r="J165" s="22" t="s">
        <v>311</v>
      </c>
      <c r="K165" s="519" t="s">
        <v>1092</v>
      </c>
      <c r="L165" s="521" t="s">
        <v>1139</v>
      </c>
      <c r="M165" s="521" t="s">
        <v>1140</v>
      </c>
      <c r="N165" s="521" t="s">
        <v>885</v>
      </c>
      <c r="O165" s="22" t="s">
        <v>293</v>
      </c>
      <c r="P165" s="69">
        <v>2017</v>
      </c>
      <c r="Q165" s="533">
        <f t="shared" ca="1" si="11"/>
        <v>1.5630438020342859E-2</v>
      </c>
      <c r="R165" s="335">
        <f t="shared" ca="1" si="9"/>
        <v>0</v>
      </c>
      <c r="S165" s="335">
        <f t="shared" ca="1" si="10"/>
        <v>0</v>
      </c>
      <c r="T165" s="429" t="s">
        <v>304</v>
      </c>
      <c r="U165" s="22" t="s">
        <v>49</v>
      </c>
      <c r="V165" s="24"/>
      <c r="W165" s="21"/>
      <c r="Y165" s="490"/>
    </row>
    <row r="166" spans="1:25" ht="30">
      <c r="A166" s="31">
        <v>163</v>
      </c>
      <c r="B166" s="22" t="s">
        <v>39</v>
      </c>
      <c r="C166" s="22" t="s">
        <v>290</v>
      </c>
      <c r="D166" s="22" t="s">
        <v>312</v>
      </c>
      <c r="E166" s="23" t="s">
        <v>42</v>
      </c>
      <c r="F166" s="22" t="s">
        <v>43</v>
      </c>
      <c r="G166" s="22" t="s">
        <v>44</v>
      </c>
      <c r="H166" s="22" t="s">
        <v>30</v>
      </c>
      <c r="I166" s="22" t="s">
        <v>313</v>
      </c>
      <c r="J166" s="22" t="s">
        <v>314</v>
      </c>
      <c r="K166" s="519" t="s">
        <v>1092</v>
      </c>
      <c r="L166" s="521" t="s">
        <v>1141</v>
      </c>
      <c r="M166" s="521" t="s">
        <v>1142</v>
      </c>
      <c r="N166" s="521" t="s">
        <v>815</v>
      </c>
      <c r="O166" s="22" t="s">
        <v>293</v>
      </c>
      <c r="P166" s="69">
        <v>2017</v>
      </c>
      <c r="Q166" s="414">
        <f t="shared" ca="1" si="11"/>
        <v>49164.946911843042</v>
      </c>
      <c r="R166" s="335" t="str">
        <f t="shared" ca="1" si="9"/>
        <v>N/A</v>
      </c>
      <c r="S166" s="335" t="str">
        <f t="shared" ca="1" si="10"/>
        <v>N/A</v>
      </c>
      <c r="T166" s="429" t="s">
        <v>48</v>
      </c>
      <c r="U166" s="22"/>
      <c r="V166" s="24"/>
      <c r="W166" s="21"/>
      <c r="Y166" s="490"/>
    </row>
    <row r="167" spans="1:25" ht="45">
      <c r="A167" s="31">
        <v>164</v>
      </c>
      <c r="B167" s="22" t="s">
        <v>39</v>
      </c>
      <c r="C167" s="22" t="s">
        <v>290</v>
      </c>
      <c r="D167" s="22" t="s">
        <v>315</v>
      </c>
      <c r="E167" s="23" t="s">
        <v>316</v>
      </c>
      <c r="F167" s="22" t="s">
        <v>317</v>
      </c>
      <c r="G167" s="22" t="s">
        <v>318</v>
      </c>
      <c r="H167" s="22" t="s">
        <v>30</v>
      </c>
      <c r="I167" s="22" t="s">
        <v>319</v>
      </c>
      <c r="J167" s="22" t="s">
        <v>317</v>
      </c>
      <c r="K167" s="519" t="s">
        <v>1092</v>
      </c>
      <c r="L167" s="521" t="s">
        <v>1143</v>
      </c>
      <c r="M167" s="521" t="s">
        <v>1144</v>
      </c>
      <c r="N167" s="521" t="s">
        <v>885</v>
      </c>
      <c r="O167" s="22" t="s">
        <v>293</v>
      </c>
      <c r="P167" s="69">
        <v>2017</v>
      </c>
      <c r="Q167" s="533">
        <f t="shared" ca="1" si="11"/>
        <v>0</v>
      </c>
      <c r="R167" s="335">
        <f t="shared" ca="1" si="9"/>
        <v>0</v>
      </c>
      <c r="S167" s="335">
        <f t="shared" ca="1" si="10"/>
        <v>0</v>
      </c>
      <c r="T167" s="429"/>
      <c r="U167" s="22"/>
      <c r="V167" s="24"/>
      <c r="W167" s="21"/>
      <c r="Y167" s="490"/>
    </row>
    <row r="168" spans="1:25" ht="45">
      <c r="A168" s="31">
        <v>165</v>
      </c>
      <c r="B168" s="22" t="s">
        <v>39</v>
      </c>
      <c r="C168" s="22" t="s">
        <v>290</v>
      </c>
      <c r="D168" s="22" t="s">
        <v>315</v>
      </c>
      <c r="E168" s="23" t="s">
        <v>316</v>
      </c>
      <c r="F168" s="22" t="s">
        <v>320</v>
      </c>
      <c r="G168" s="22" t="s">
        <v>318</v>
      </c>
      <c r="H168" s="22" t="s">
        <v>30</v>
      </c>
      <c r="I168" s="22" t="s">
        <v>319</v>
      </c>
      <c r="J168" s="22" t="s">
        <v>320</v>
      </c>
      <c r="K168" s="519" t="s">
        <v>1092</v>
      </c>
      <c r="L168" s="521" t="s">
        <v>1145</v>
      </c>
      <c r="M168" s="521" t="s">
        <v>1146</v>
      </c>
      <c r="N168" s="521" t="s">
        <v>885</v>
      </c>
      <c r="O168" s="22" t="s">
        <v>293</v>
      </c>
      <c r="P168" s="69">
        <v>2017</v>
      </c>
      <c r="Q168" s="533">
        <f t="shared" ca="1" si="11"/>
        <v>0.38668994372009047</v>
      </c>
      <c r="R168" s="335">
        <f t="shared" ca="1" si="9"/>
        <v>0</v>
      </c>
      <c r="S168" s="335">
        <f t="shared" ca="1" si="10"/>
        <v>0</v>
      </c>
      <c r="T168" s="429"/>
      <c r="U168" s="22"/>
      <c r="V168" s="24"/>
      <c r="W168" s="21"/>
      <c r="Y168" s="490"/>
    </row>
    <row r="169" spans="1:25" ht="105">
      <c r="A169" s="31">
        <v>166</v>
      </c>
      <c r="B169" s="22" t="s">
        <v>39</v>
      </c>
      <c r="C169" s="22" t="s">
        <v>290</v>
      </c>
      <c r="D169" s="22" t="s">
        <v>315</v>
      </c>
      <c r="E169" s="23" t="s">
        <v>316</v>
      </c>
      <c r="F169" s="22" t="s">
        <v>321</v>
      </c>
      <c r="G169" s="22" t="s">
        <v>318</v>
      </c>
      <c r="H169" s="22" t="s">
        <v>30</v>
      </c>
      <c r="I169" s="22" t="s">
        <v>319</v>
      </c>
      <c r="J169" s="22" t="s">
        <v>321</v>
      </c>
      <c r="K169" s="519" t="s">
        <v>1092</v>
      </c>
      <c r="L169" s="521" t="s">
        <v>1147</v>
      </c>
      <c r="M169" s="521" t="s">
        <v>1148</v>
      </c>
      <c r="N169" s="521" t="s">
        <v>885</v>
      </c>
      <c r="O169" s="22" t="s">
        <v>293</v>
      </c>
      <c r="P169" s="69">
        <v>2017</v>
      </c>
      <c r="Q169" s="533">
        <f t="shared" ca="1" si="11"/>
        <v>5.3045523695406084E-2</v>
      </c>
      <c r="R169" s="335">
        <f t="shared" ca="1" si="9"/>
        <v>0</v>
      </c>
      <c r="S169" s="335">
        <f t="shared" ca="1" si="10"/>
        <v>0</v>
      </c>
      <c r="T169" s="429" t="s">
        <v>322</v>
      </c>
      <c r="U169" s="22"/>
      <c r="V169" s="24" t="s">
        <v>323</v>
      </c>
      <c r="W169" s="21"/>
      <c r="Y169" s="490"/>
    </row>
    <row r="170" spans="1:25" ht="90">
      <c r="A170" s="31">
        <v>167</v>
      </c>
      <c r="B170" s="22" t="s">
        <v>39</v>
      </c>
      <c r="C170" s="22" t="s">
        <v>290</v>
      </c>
      <c r="D170" s="22" t="s">
        <v>324</v>
      </c>
      <c r="E170" s="23" t="s">
        <v>325</v>
      </c>
      <c r="F170" s="22" t="s">
        <v>142</v>
      </c>
      <c r="G170" s="22" t="s">
        <v>143</v>
      </c>
      <c r="H170" s="22" t="s">
        <v>30</v>
      </c>
      <c r="I170" s="22" t="s">
        <v>326</v>
      </c>
      <c r="J170" s="22" t="s">
        <v>327</v>
      </c>
      <c r="K170" s="519" t="s">
        <v>1092</v>
      </c>
      <c r="L170" s="521" t="s">
        <v>1149</v>
      </c>
      <c r="M170" s="521" t="s">
        <v>1150</v>
      </c>
      <c r="N170" s="521" t="s">
        <v>885</v>
      </c>
      <c r="O170" s="22" t="s">
        <v>293</v>
      </c>
      <c r="P170" s="69">
        <v>2017</v>
      </c>
      <c r="Q170" s="533">
        <f t="shared" ca="1" si="11"/>
        <v>0.12080536912751678</v>
      </c>
      <c r="R170" s="335">
        <f t="shared" ca="1" si="9"/>
        <v>0</v>
      </c>
      <c r="S170" s="335">
        <f t="shared" ca="1" si="10"/>
        <v>0</v>
      </c>
      <c r="T170" s="429" t="s">
        <v>328</v>
      </c>
      <c r="U170" s="22" t="s">
        <v>246</v>
      </c>
      <c r="V170" s="24"/>
      <c r="W170" s="21"/>
      <c r="Y170" s="490"/>
    </row>
    <row r="171" spans="1:25" ht="90">
      <c r="A171" s="31">
        <v>168</v>
      </c>
      <c r="B171" s="22" t="s">
        <v>39</v>
      </c>
      <c r="C171" s="22" t="s">
        <v>290</v>
      </c>
      <c r="D171" s="22" t="s">
        <v>324</v>
      </c>
      <c r="E171" s="23" t="s">
        <v>329</v>
      </c>
      <c r="F171" s="22" t="s">
        <v>142</v>
      </c>
      <c r="G171" s="22" t="s">
        <v>143</v>
      </c>
      <c r="H171" s="22" t="s">
        <v>30</v>
      </c>
      <c r="I171" s="22" t="s">
        <v>326</v>
      </c>
      <c r="J171" s="22" t="s">
        <v>330</v>
      </c>
      <c r="K171" s="519" t="s">
        <v>1092</v>
      </c>
      <c r="L171" s="521" t="s">
        <v>1151</v>
      </c>
      <c r="M171" s="521" t="s">
        <v>1152</v>
      </c>
      <c r="N171" s="521" t="s">
        <v>885</v>
      </c>
      <c r="O171" s="22" t="s">
        <v>293</v>
      </c>
      <c r="P171" s="69">
        <v>2017</v>
      </c>
      <c r="Q171" s="533">
        <f t="shared" ca="1" si="11"/>
        <v>4.7491950516861552E-2</v>
      </c>
      <c r="R171" s="335">
        <f t="shared" ca="1" si="9"/>
        <v>0</v>
      </c>
      <c r="S171" s="335">
        <f t="shared" ca="1" si="10"/>
        <v>0</v>
      </c>
      <c r="T171" s="429" t="s">
        <v>328</v>
      </c>
      <c r="U171" s="22" t="s">
        <v>246</v>
      </c>
      <c r="V171" s="24"/>
      <c r="W171" s="21"/>
      <c r="Y171" s="490"/>
    </row>
    <row r="172" spans="1:25" ht="90">
      <c r="A172" s="31">
        <v>169</v>
      </c>
      <c r="B172" s="22" t="s">
        <v>39</v>
      </c>
      <c r="C172" s="22" t="s">
        <v>290</v>
      </c>
      <c r="D172" s="22" t="s">
        <v>324</v>
      </c>
      <c r="E172" s="23" t="s">
        <v>331</v>
      </c>
      <c r="F172" s="22" t="s">
        <v>142</v>
      </c>
      <c r="G172" s="22" t="s">
        <v>143</v>
      </c>
      <c r="H172" s="22" t="s">
        <v>30</v>
      </c>
      <c r="I172" s="22" t="s">
        <v>332</v>
      </c>
      <c r="J172" s="22" t="s">
        <v>333</v>
      </c>
      <c r="K172" s="519" t="s">
        <v>1092</v>
      </c>
      <c r="L172" s="521" t="s">
        <v>1153</v>
      </c>
      <c r="M172" s="521" t="s">
        <v>1154</v>
      </c>
      <c r="N172" s="521" t="s">
        <v>885</v>
      </c>
      <c r="O172" s="22" t="s">
        <v>293</v>
      </c>
      <c r="P172" s="69">
        <v>2017</v>
      </c>
      <c r="Q172" s="533">
        <f t="shared" ca="1" si="11"/>
        <v>1.6716551262005809E-2</v>
      </c>
      <c r="R172" s="335">
        <f t="shared" ca="1" si="9"/>
        <v>0</v>
      </c>
      <c r="S172" s="335">
        <f t="shared" ca="1" si="10"/>
        <v>0</v>
      </c>
      <c r="T172" s="429" t="s">
        <v>328</v>
      </c>
      <c r="U172" s="22" t="s">
        <v>246</v>
      </c>
      <c r="V172" s="24"/>
      <c r="W172" s="21"/>
      <c r="Y172" s="490"/>
    </row>
    <row r="173" spans="1:25" ht="135">
      <c r="A173" s="31">
        <v>170</v>
      </c>
      <c r="B173" s="22" t="s">
        <v>39</v>
      </c>
      <c r="C173" s="22" t="s">
        <v>290</v>
      </c>
      <c r="D173" s="22" t="s">
        <v>324</v>
      </c>
      <c r="E173" s="23" t="s">
        <v>252</v>
      </c>
      <c r="F173" s="22" t="s">
        <v>142</v>
      </c>
      <c r="G173" s="22" t="s">
        <v>253</v>
      </c>
      <c r="H173" s="22" t="s">
        <v>30</v>
      </c>
      <c r="I173" s="22" t="s">
        <v>334</v>
      </c>
      <c r="J173" s="22" t="s">
        <v>335</v>
      </c>
      <c r="K173" s="519" t="s">
        <v>1092</v>
      </c>
      <c r="L173" s="521" t="s">
        <v>1155</v>
      </c>
      <c r="M173" s="521" t="s">
        <v>1156</v>
      </c>
      <c r="N173" s="521" t="s">
        <v>885</v>
      </c>
      <c r="O173" s="22" t="s">
        <v>293</v>
      </c>
      <c r="P173" s="69">
        <v>2017</v>
      </c>
      <c r="Q173" s="533">
        <f t="shared" ca="1" si="11"/>
        <v>1.9057728108446619E-2</v>
      </c>
      <c r="R173" s="335">
        <f t="shared" ca="1" si="9"/>
        <v>0</v>
      </c>
      <c r="S173" s="335">
        <f t="shared" ca="1" si="10"/>
        <v>0</v>
      </c>
      <c r="T173" s="429" t="s">
        <v>336</v>
      </c>
      <c r="U173" s="96" t="s">
        <v>337</v>
      </c>
      <c r="V173" s="24" t="s">
        <v>338</v>
      </c>
      <c r="W173" s="21"/>
      <c r="Y173" s="490"/>
    </row>
    <row r="174" spans="1:25" ht="105">
      <c r="A174" s="31">
        <v>171</v>
      </c>
      <c r="B174" s="22" t="s">
        <v>39</v>
      </c>
      <c r="C174" s="22" t="s">
        <v>290</v>
      </c>
      <c r="D174" s="22" t="s">
        <v>324</v>
      </c>
      <c r="E174" s="23" t="s">
        <v>153</v>
      </c>
      <c r="F174" s="22" t="s">
        <v>142</v>
      </c>
      <c r="G174" s="22" t="s">
        <v>154</v>
      </c>
      <c r="H174" s="22" t="s">
        <v>30</v>
      </c>
      <c r="I174" s="22" t="s">
        <v>339</v>
      </c>
      <c r="J174" s="22" t="s">
        <v>156</v>
      </c>
      <c r="K174" s="519" t="s">
        <v>1092</v>
      </c>
      <c r="L174" s="521" t="s">
        <v>1157</v>
      </c>
      <c r="M174" s="521" t="s">
        <v>1158</v>
      </c>
      <c r="N174" s="521" t="s">
        <v>885</v>
      </c>
      <c r="O174" s="22" t="s">
        <v>293</v>
      </c>
      <c r="P174" s="69">
        <v>2017</v>
      </c>
      <c r="Q174" s="533">
        <f t="shared" ca="1" si="11"/>
        <v>3.7783043707214324E-2</v>
      </c>
      <c r="R174" s="335">
        <f t="shared" ca="1" si="9"/>
        <v>0</v>
      </c>
      <c r="S174" s="335">
        <f t="shared" ca="1" si="10"/>
        <v>0</v>
      </c>
      <c r="T174" s="429" t="s">
        <v>340</v>
      </c>
      <c r="U174"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74" s="24"/>
      <c r="W174" s="21"/>
      <c r="Y174" s="490"/>
    </row>
    <row r="175" spans="1:25" ht="135">
      <c r="A175" s="31">
        <v>172</v>
      </c>
      <c r="B175" s="22" t="s">
        <v>39</v>
      </c>
      <c r="C175" s="22" t="s">
        <v>290</v>
      </c>
      <c r="D175" s="22" t="s">
        <v>341</v>
      </c>
      <c r="E175" s="23" t="s">
        <v>342</v>
      </c>
      <c r="F175" s="22" t="s">
        <v>142</v>
      </c>
      <c r="G175" s="22" t="s">
        <v>343</v>
      </c>
      <c r="H175" s="22" t="s">
        <v>30</v>
      </c>
      <c r="I175" s="22" t="s">
        <v>344</v>
      </c>
      <c r="J175" s="22" t="s">
        <v>345</v>
      </c>
      <c r="K175" s="519" t="s">
        <v>1092</v>
      </c>
      <c r="L175" s="521" t="s">
        <v>1159</v>
      </c>
      <c r="M175" s="521" t="s">
        <v>1160</v>
      </c>
      <c r="N175" s="521" t="s">
        <v>885</v>
      </c>
      <c r="O175" s="22" t="s">
        <v>293</v>
      </c>
      <c r="P175" s="69">
        <v>2017</v>
      </c>
      <c r="Q175" s="533">
        <f t="shared" ca="1" si="11"/>
        <v>5.0917393138470511E-2</v>
      </c>
      <c r="R175" s="335">
        <f t="shared" ca="1" si="9"/>
        <v>0</v>
      </c>
      <c r="S175" s="335">
        <f t="shared" ca="1" si="10"/>
        <v>0</v>
      </c>
      <c r="T175" s="429" t="s">
        <v>336</v>
      </c>
      <c r="U175" s="96" t="s">
        <v>337</v>
      </c>
      <c r="V175" s="24" t="s">
        <v>338</v>
      </c>
      <c r="W175" s="21"/>
      <c r="Y175" s="490"/>
    </row>
    <row r="176" spans="1:25" ht="75">
      <c r="A176" s="31">
        <v>173</v>
      </c>
      <c r="B176" s="22" t="s">
        <v>39</v>
      </c>
      <c r="C176" s="22" t="s">
        <v>290</v>
      </c>
      <c r="D176" s="22" t="s">
        <v>341</v>
      </c>
      <c r="E176" s="23" t="s">
        <v>346</v>
      </c>
      <c r="F176" s="22" t="s">
        <v>142</v>
      </c>
      <c r="G176" s="22" t="s">
        <v>347</v>
      </c>
      <c r="H176" s="22" t="s">
        <v>30</v>
      </c>
      <c r="I176" s="22" t="s">
        <v>348</v>
      </c>
      <c r="J176" s="22" t="s">
        <v>349</v>
      </c>
      <c r="K176" s="519" t="s">
        <v>1092</v>
      </c>
      <c r="L176" s="521" t="s">
        <v>1161</v>
      </c>
      <c r="M176" s="521" t="s">
        <v>1162</v>
      </c>
      <c r="N176" s="521" t="s">
        <v>885</v>
      </c>
      <c r="O176" s="22" t="s">
        <v>293</v>
      </c>
      <c r="P176" s="69">
        <v>2017</v>
      </c>
      <c r="Q176" s="533">
        <f t="shared" ca="1" si="11"/>
        <v>5.6375838926174496E-2</v>
      </c>
      <c r="R176" s="335">
        <f t="shared" ca="1" si="9"/>
        <v>0</v>
      </c>
      <c r="S176" s="335">
        <f t="shared" ca="1" si="10"/>
        <v>0</v>
      </c>
      <c r="T176" s="429" t="s">
        <v>350</v>
      </c>
      <c r="U176" s="96" t="s">
        <v>351</v>
      </c>
      <c r="V176" s="24"/>
      <c r="W176" s="21"/>
      <c r="Y176" s="490"/>
    </row>
    <row r="177" spans="1:25" ht="75">
      <c r="A177" s="31">
        <v>174</v>
      </c>
      <c r="B177" s="22" t="s">
        <v>39</v>
      </c>
      <c r="C177" s="22" t="s">
        <v>290</v>
      </c>
      <c r="D177" s="22" t="s">
        <v>341</v>
      </c>
      <c r="E177" s="23" t="s">
        <v>352</v>
      </c>
      <c r="F177" s="22" t="s">
        <v>142</v>
      </c>
      <c r="G177" s="22" t="s">
        <v>347</v>
      </c>
      <c r="H177" s="22" t="s">
        <v>30</v>
      </c>
      <c r="I177" s="22" t="s">
        <v>353</v>
      </c>
      <c r="J177" s="22" t="s">
        <v>354</v>
      </c>
      <c r="K177" s="519" t="s">
        <v>1092</v>
      </c>
      <c r="L177" s="521" t="s">
        <v>1163</v>
      </c>
      <c r="M177" s="521" t="s">
        <v>1164</v>
      </c>
      <c r="N177" s="521" t="s">
        <v>885</v>
      </c>
      <c r="O177" s="22" t="s">
        <v>293</v>
      </c>
      <c r="P177" s="69">
        <v>2017</v>
      </c>
      <c r="Q177" s="533">
        <f t="shared" ca="1" si="11"/>
        <v>3.6307405524487378E-2</v>
      </c>
      <c r="R177" s="335">
        <f t="shared" ca="1" si="9"/>
        <v>0</v>
      </c>
      <c r="S177" s="335">
        <f t="shared" ca="1" si="10"/>
        <v>0</v>
      </c>
      <c r="T177" s="429" t="s">
        <v>355</v>
      </c>
      <c r="U177" s="96" t="s">
        <v>351</v>
      </c>
      <c r="V177" s="24"/>
      <c r="W177" s="21"/>
      <c r="Y177" s="490"/>
    </row>
    <row r="178" spans="1:25" ht="75">
      <c r="A178" s="31">
        <v>175</v>
      </c>
      <c r="B178" s="22" t="s">
        <v>39</v>
      </c>
      <c r="C178" s="22" t="s">
        <v>290</v>
      </c>
      <c r="D178" s="22" t="s">
        <v>341</v>
      </c>
      <c r="E178" s="23" t="s">
        <v>356</v>
      </c>
      <c r="F178" s="22" t="s">
        <v>142</v>
      </c>
      <c r="G178" s="22" t="s">
        <v>347</v>
      </c>
      <c r="H178" s="22" t="s">
        <v>30</v>
      </c>
      <c r="I178" s="22" t="s">
        <v>357</v>
      </c>
      <c r="J178" s="22" t="s">
        <v>358</v>
      </c>
      <c r="K178" s="519" t="s">
        <v>1092</v>
      </c>
      <c r="L178" s="521" t="s">
        <v>1165</v>
      </c>
      <c r="M178" s="521" t="s">
        <v>1166</v>
      </c>
      <c r="N178" s="521" t="s">
        <v>885</v>
      </c>
      <c r="O178" s="22" t="s">
        <v>293</v>
      </c>
      <c r="P178" s="69">
        <v>2017</v>
      </c>
      <c r="Q178" s="533">
        <f t="shared" ca="1" si="11"/>
        <v>2.2309582309582309E-2</v>
      </c>
      <c r="R178" s="335">
        <f t="shared" ca="1" si="9"/>
        <v>0</v>
      </c>
      <c r="S178" s="335">
        <f t="shared" ca="1" si="10"/>
        <v>0</v>
      </c>
      <c r="T178" s="429" t="s">
        <v>359</v>
      </c>
      <c r="U178" s="96" t="s">
        <v>351</v>
      </c>
      <c r="V178" s="24"/>
      <c r="W178" s="21"/>
      <c r="Y178" s="490"/>
    </row>
    <row r="179" spans="1:25" ht="75">
      <c r="A179" s="31">
        <v>176</v>
      </c>
      <c r="B179" s="22" t="s">
        <v>39</v>
      </c>
      <c r="C179" s="22" t="s">
        <v>290</v>
      </c>
      <c r="D179" s="22" t="s">
        <v>341</v>
      </c>
      <c r="E179" s="23" t="s">
        <v>270</v>
      </c>
      <c r="F179" s="22" t="s">
        <v>142</v>
      </c>
      <c r="G179" s="22" t="s">
        <v>360</v>
      </c>
      <c r="H179" s="22" t="s">
        <v>30</v>
      </c>
      <c r="I179" s="22" t="s">
        <v>361</v>
      </c>
      <c r="J179" s="22" t="s">
        <v>362</v>
      </c>
      <c r="K179" s="519" t="s">
        <v>1092</v>
      </c>
      <c r="L179" s="521" t="s">
        <v>1167</v>
      </c>
      <c r="M179" s="521" t="s">
        <v>1168</v>
      </c>
      <c r="N179" s="521" t="s">
        <v>885</v>
      </c>
      <c r="O179" s="22" t="s">
        <v>293</v>
      </c>
      <c r="P179" s="69">
        <v>2017</v>
      </c>
      <c r="Q179" s="533">
        <f t="shared" ca="1" si="11"/>
        <v>1.7904160084254869E-2</v>
      </c>
      <c r="R179" s="335">
        <f t="shared" ca="1" si="9"/>
        <v>0</v>
      </c>
      <c r="S179" s="335">
        <f t="shared" ca="1" si="10"/>
        <v>0</v>
      </c>
      <c r="T179" s="429" t="s">
        <v>363</v>
      </c>
      <c r="U179" s="22"/>
      <c r="V179" s="24"/>
      <c r="W179" s="21"/>
      <c r="Y179" s="490"/>
    </row>
    <row r="180" spans="1:25" ht="30">
      <c r="A180" s="31">
        <v>177</v>
      </c>
      <c r="B180" s="22" t="s">
        <v>39</v>
      </c>
      <c r="C180" s="22" t="s">
        <v>290</v>
      </c>
      <c r="D180" s="22" t="s">
        <v>364</v>
      </c>
      <c r="E180" s="23" t="s">
        <v>91</v>
      </c>
      <c r="F180" s="22" t="s">
        <v>92</v>
      </c>
      <c r="G180" s="22" t="s">
        <v>93</v>
      </c>
      <c r="H180" s="22" t="s">
        <v>30</v>
      </c>
      <c r="I180" s="22" t="s">
        <v>365</v>
      </c>
      <c r="J180" s="22" t="s">
        <v>92</v>
      </c>
      <c r="K180" s="519" t="s">
        <v>1092</v>
      </c>
      <c r="L180" s="521" t="s">
        <v>1169</v>
      </c>
      <c r="M180" s="521" t="s">
        <v>1170</v>
      </c>
      <c r="N180" s="521" t="s">
        <v>885</v>
      </c>
      <c r="O180" s="22" t="s">
        <v>293</v>
      </c>
      <c r="P180" s="69">
        <v>2017</v>
      </c>
      <c r="Q180" s="414">
        <f t="shared" ca="1" si="11"/>
        <v>99.629885801856304</v>
      </c>
      <c r="R180" s="335">
        <f t="shared" ca="1" si="9"/>
        <v>0</v>
      </c>
      <c r="S180" s="335">
        <f t="shared" ca="1" si="10"/>
        <v>0</v>
      </c>
      <c r="T180" s="429"/>
      <c r="U180" s="22"/>
      <c r="V180" s="24"/>
      <c r="W180" s="21"/>
      <c r="Y180" s="490"/>
    </row>
    <row r="181" spans="1:25" ht="30">
      <c r="A181" s="31">
        <v>178</v>
      </c>
      <c r="B181" s="22" t="s">
        <v>39</v>
      </c>
      <c r="C181" s="22" t="s">
        <v>290</v>
      </c>
      <c r="D181" s="22" t="s">
        <v>364</v>
      </c>
      <c r="E181" s="23" t="s">
        <v>91</v>
      </c>
      <c r="F181" s="22" t="s">
        <v>95</v>
      </c>
      <c r="G181" s="22" t="s">
        <v>93</v>
      </c>
      <c r="H181" s="22" t="s">
        <v>30</v>
      </c>
      <c r="I181" s="22" t="s">
        <v>365</v>
      </c>
      <c r="J181" s="22" t="s">
        <v>95</v>
      </c>
      <c r="K181" s="519" t="s">
        <v>1092</v>
      </c>
      <c r="L181" s="521" t="s">
        <v>1171</v>
      </c>
      <c r="M181" s="521" t="s">
        <v>1172</v>
      </c>
      <c r="N181" s="521" t="s">
        <v>885</v>
      </c>
      <c r="O181" s="22" t="s">
        <v>293</v>
      </c>
      <c r="P181" s="69">
        <v>2017</v>
      </c>
      <c r="Q181" s="414">
        <f t="shared" ca="1" si="11"/>
        <v>2.1583563714012717E-2</v>
      </c>
      <c r="R181" s="335">
        <f t="shared" ca="1" si="9"/>
        <v>0</v>
      </c>
      <c r="S181" s="335">
        <f t="shared" ca="1" si="10"/>
        <v>0</v>
      </c>
      <c r="T181" s="429"/>
      <c r="U181" s="22"/>
      <c r="V181" s="24"/>
      <c r="W181" s="21"/>
      <c r="Y181" s="490"/>
    </row>
    <row r="182" spans="1:25" ht="30">
      <c r="A182" s="31">
        <v>179</v>
      </c>
      <c r="B182" s="22" t="s">
        <v>39</v>
      </c>
      <c r="C182" s="22" t="s">
        <v>290</v>
      </c>
      <c r="D182" s="22" t="s">
        <v>364</v>
      </c>
      <c r="E182" s="23" t="s">
        <v>91</v>
      </c>
      <c r="F182" s="22" t="s">
        <v>96</v>
      </c>
      <c r="G182" s="22" t="s">
        <v>93</v>
      </c>
      <c r="H182" s="22" t="s">
        <v>30</v>
      </c>
      <c r="I182" s="22" t="s">
        <v>365</v>
      </c>
      <c r="J182" s="22" t="s">
        <v>96</v>
      </c>
      <c r="K182" s="519" t="s">
        <v>1092</v>
      </c>
      <c r="L182" s="521" t="s">
        <v>1173</v>
      </c>
      <c r="M182" s="521" t="s">
        <v>1174</v>
      </c>
      <c r="N182" s="521" t="s">
        <v>885</v>
      </c>
      <c r="O182" s="22" t="s">
        <v>293</v>
      </c>
      <c r="P182" s="69">
        <v>2017</v>
      </c>
      <c r="Q182" s="414">
        <f t="shared" ca="1" si="11"/>
        <v>0.15564670308157966</v>
      </c>
      <c r="R182" s="335">
        <f t="shared" ca="1" si="9"/>
        <v>0</v>
      </c>
      <c r="S182" s="335">
        <f t="shared" ca="1" si="10"/>
        <v>0</v>
      </c>
      <c r="T182" s="429" t="s">
        <v>48</v>
      </c>
      <c r="U182" s="22" t="s">
        <v>49</v>
      </c>
      <c r="V182" s="24"/>
      <c r="W182" s="21"/>
      <c r="Y182" s="490"/>
    </row>
    <row r="183" spans="1:25" ht="30">
      <c r="A183" s="31">
        <v>180</v>
      </c>
      <c r="B183" s="22" t="s">
        <v>39</v>
      </c>
      <c r="C183" s="22" t="s">
        <v>290</v>
      </c>
      <c r="D183" s="22" t="s">
        <v>364</v>
      </c>
      <c r="E183" s="23" t="s">
        <v>91</v>
      </c>
      <c r="F183" s="22" t="s">
        <v>97</v>
      </c>
      <c r="G183" s="22" t="s">
        <v>93</v>
      </c>
      <c r="H183" s="22" t="s">
        <v>30</v>
      </c>
      <c r="I183" s="22" t="s">
        <v>365</v>
      </c>
      <c r="J183" s="22" t="s">
        <v>97</v>
      </c>
      <c r="K183" s="519" t="s">
        <v>1092</v>
      </c>
      <c r="L183" s="521" t="s">
        <v>1175</v>
      </c>
      <c r="M183" s="521" t="s">
        <v>1176</v>
      </c>
      <c r="N183" s="521" t="s">
        <v>885</v>
      </c>
      <c r="O183" s="22" t="s">
        <v>293</v>
      </c>
      <c r="P183" s="69">
        <v>2017</v>
      </c>
      <c r="Q183" s="414">
        <f t="shared" ca="1" si="11"/>
        <v>201.62032026562042</v>
      </c>
      <c r="R183" s="335">
        <f t="shared" ca="1" si="9"/>
        <v>0</v>
      </c>
      <c r="S183" s="335">
        <f t="shared" ca="1" si="10"/>
        <v>0</v>
      </c>
      <c r="T183" s="429"/>
      <c r="U183" s="22"/>
      <c r="V183" s="24"/>
      <c r="W183" s="21"/>
      <c r="Y183" s="490"/>
    </row>
    <row r="184" spans="1:25" ht="30">
      <c r="A184" s="31">
        <v>181</v>
      </c>
      <c r="B184" s="22" t="s">
        <v>39</v>
      </c>
      <c r="C184" s="22" t="s">
        <v>290</v>
      </c>
      <c r="D184" s="22" t="s">
        <v>364</v>
      </c>
      <c r="E184" s="23" t="s">
        <v>91</v>
      </c>
      <c r="F184" s="22" t="s">
        <v>98</v>
      </c>
      <c r="G184" s="22" t="s">
        <v>93</v>
      </c>
      <c r="H184" s="22" t="s">
        <v>30</v>
      </c>
      <c r="I184" s="22" t="s">
        <v>365</v>
      </c>
      <c r="J184" s="22" t="s">
        <v>98</v>
      </c>
      <c r="K184" s="519" t="s">
        <v>1092</v>
      </c>
      <c r="L184" s="521" t="s">
        <v>1177</v>
      </c>
      <c r="M184" s="521" t="s">
        <v>1178</v>
      </c>
      <c r="N184" s="521" t="s">
        <v>885</v>
      </c>
      <c r="O184" s="22" t="s">
        <v>293</v>
      </c>
      <c r="P184" s="69">
        <v>2017</v>
      </c>
      <c r="Q184" s="414">
        <f t="shared" ca="1" si="11"/>
        <v>4.3678510654396312E-2</v>
      </c>
      <c r="R184" s="335">
        <f t="shared" ca="1" si="9"/>
        <v>0</v>
      </c>
      <c r="S184" s="335">
        <f t="shared" ca="1" si="10"/>
        <v>0</v>
      </c>
      <c r="T184" s="429"/>
      <c r="U184" s="22"/>
      <c r="V184" s="24"/>
      <c r="W184" s="21"/>
      <c r="Y184" s="490"/>
    </row>
    <row r="185" spans="1:25" ht="30">
      <c r="A185" s="31">
        <v>182</v>
      </c>
      <c r="B185" s="22" t="s">
        <v>39</v>
      </c>
      <c r="C185" s="22" t="s">
        <v>290</v>
      </c>
      <c r="D185" s="22" t="s">
        <v>364</v>
      </c>
      <c r="E185" s="23" t="s">
        <v>91</v>
      </c>
      <c r="F185" s="22" t="s">
        <v>99</v>
      </c>
      <c r="G185" s="22" t="s">
        <v>93</v>
      </c>
      <c r="H185" s="22" t="s">
        <v>30</v>
      </c>
      <c r="I185" s="22" t="s">
        <v>365</v>
      </c>
      <c r="J185" s="22" t="s">
        <v>99</v>
      </c>
      <c r="K185" s="519" t="s">
        <v>1092</v>
      </c>
      <c r="L185" s="521" t="s">
        <v>1179</v>
      </c>
      <c r="M185" s="521" t="s">
        <v>1180</v>
      </c>
      <c r="N185" s="521" t="s">
        <v>885</v>
      </c>
      <c r="O185" s="22" t="s">
        <v>293</v>
      </c>
      <c r="P185" s="69">
        <v>2017</v>
      </c>
      <c r="Q185" s="414">
        <f t="shared" ca="1" si="11"/>
        <v>0.31498117127231839</v>
      </c>
      <c r="R185" s="335">
        <f t="shared" ca="1" si="9"/>
        <v>0</v>
      </c>
      <c r="S185" s="335">
        <f t="shared" ca="1" si="10"/>
        <v>0</v>
      </c>
      <c r="T185" s="429" t="s">
        <v>48</v>
      </c>
      <c r="U185" s="22" t="s">
        <v>49</v>
      </c>
      <c r="V185" s="24"/>
      <c r="W185" s="21"/>
      <c r="Y185" s="490"/>
    </row>
    <row r="186" spans="1:25" ht="60">
      <c r="A186" s="31">
        <v>183</v>
      </c>
      <c r="B186" s="22" t="s">
        <v>39</v>
      </c>
      <c r="C186" s="22" t="s">
        <v>366</v>
      </c>
      <c r="D186" s="22" t="s">
        <v>367</v>
      </c>
      <c r="E186" s="23" t="s">
        <v>368</v>
      </c>
      <c r="F186" s="22" t="s">
        <v>142</v>
      </c>
      <c r="G186" s="22" t="s">
        <v>369</v>
      </c>
      <c r="H186" s="22" t="s">
        <v>164</v>
      </c>
      <c r="I186" s="22" t="s">
        <v>370</v>
      </c>
      <c r="J186" s="22" t="s">
        <v>371</v>
      </c>
      <c r="K186" s="519" t="s">
        <v>1092</v>
      </c>
      <c r="L186" s="521" t="s">
        <v>1181</v>
      </c>
      <c r="M186" s="521" t="s">
        <v>1182</v>
      </c>
      <c r="N186" s="521" t="s">
        <v>885</v>
      </c>
      <c r="O186" s="22" t="s">
        <v>293</v>
      </c>
      <c r="P186" s="69" t="s">
        <v>167</v>
      </c>
      <c r="Q186" s="533" t="s">
        <v>167</v>
      </c>
      <c r="R186" s="335">
        <f t="shared" ca="1" si="9"/>
        <v>0</v>
      </c>
      <c r="S186" s="335">
        <f t="shared" ca="1" si="10"/>
        <v>0</v>
      </c>
      <c r="T186" s="429" t="s">
        <v>372</v>
      </c>
      <c r="U186" s="22"/>
      <c r="V186" s="24"/>
      <c r="W186" s="21"/>
      <c r="Y186" s="490"/>
    </row>
    <row r="187" spans="1:25" ht="45">
      <c r="A187" s="31">
        <v>184</v>
      </c>
      <c r="B187" s="22" t="s">
        <v>39</v>
      </c>
      <c r="C187" s="22" t="s">
        <v>366</v>
      </c>
      <c r="D187" s="22" t="s">
        <v>367</v>
      </c>
      <c r="E187" s="23" t="s">
        <v>373</v>
      </c>
      <c r="F187" s="22" t="s">
        <v>142</v>
      </c>
      <c r="G187" s="22" t="s">
        <v>369</v>
      </c>
      <c r="H187" s="22" t="s">
        <v>164</v>
      </c>
      <c r="I187" s="22" t="s">
        <v>374</v>
      </c>
      <c r="J187" s="22" t="s">
        <v>375</v>
      </c>
      <c r="K187" s="519" t="s">
        <v>1092</v>
      </c>
      <c r="L187" s="521" t="s">
        <v>1183</v>
      </c>
      <c r="M187" s="521" t="s">
        <v>1184</v>
      </c>
      <c r="N187" s="521" t="s">
        <v>885</v>
      </c>
      <c r="O187" s="22" t="s">
        <v>293</v>
      </c>
      <c r="P187" s="69" t="s">
        <v>167</v>
      </c>
      <c r="Q187" s="533" t="s">
        <v>167</v>
      </c>
      <c r="R187" s="335">
        <f t="shared" ca="1" si="9"/>
        <v>0</v>
      </c>
      <c r="S187" s="335">
        <f t="shared" ca="1" si="10"/>
        <v>0</v>
      </c>
      <c r="T187" s="429" t="s">
        <v>376</v>
      </c>
      <c r="U187" s="22"/>
      <c r="V187" s="24"/>
      <c r="W187" s="21"/>
      <c r="Y187" s="490"/>
    </row>
    <row r="188" spans="1:25" ht="30">
      <c r="A188" s="31">
        <v>185</v>
      </c>
      <c r="B188" s="22" t="s">
        <v>39</v>
      </c>
      <c r="C188" s="22" t="s">
        <v>366</v>
      </c>
      <c r="D188" s="22" t="s">
        <v>377</v>
      </c>
      <c r="E188" s="23" t="s">
        <v>378</v>
      </c>
      <c r="F188" s="22" t="s">
        <v>142</v>
      </c>
      <c r="G188" s="22" t="s">
        <v>379</v>
      </c>
      <c r="H188" s="22" t="s">
        <v>164</v>
      </c>
      <c r="I188" s="22" t="s">
        <v>380</v>
      </c>
      <c r="J188" s="22" t="s">
        <v>381</v>
      </c>
      <c r="K188" s="519" t="s">
        <v>1092</v>
      </c>
      <c r="L188" s="521" t="s">
        <v>1185</v>
      </c>
      <c r="M188" s="521" t="s">
        <v>1186</v>
      </c>
      <c r="N188" s="521" t="s">
        <v>885</v>
      </c>
      <c r="O188" s="22" t="s">
        <v>293</v>
      </c>
      <c r="P188" s="69" t="s">
        <v>167</v>
      </c>
      <c r="Q188" s="533" t="s">
        <v>167</v>
      </c>
      <c r="R188" s="335">
        <f t="shared" ca="1" si="9"/>
        <v>0</v>
      </c>
      <c r="S188" s="335">
        <f t="shared" ca="1" si="10"/>
        <v>0</v>
      </c>
      <c r="T188" s="429" t="s">
        <v>383</v>
      </c>
      <c r="U188" s="22"/>
      <c r="V188" s="24"/>
      <c r="W188" s="21"/>
      <c r="Y188" s="490"/>
    </row>
    <row r="189" spans="1:25" ht="30">
      <c r="A189" s="31">
        <v>186</v>
      </c>
      <c r="B189" s="22" t="s">
        <v>39</v>
      </c>
      <c r="C189" s="22" t="s">
        <v>366</v>
      </c>
      <c r="D189" s="22" t="s">
        <v>377</v>
      </c>
      <c r="E189" s="23" t="s">
        <v>384</v>
      </c>
      <c r="F189" s="22" t="s">
        <v>142</v>
      </c>
      <c r="G189" s="22" t="s">
        <v>379</v>
      </c>
      <c r="H189" s="22" t="s">
        <v>164</v>
      </c>
      <c r="I189" s="22" t="s">
        <v>385</v>
      </c>
      <c r="J189" s="22" t="s">
        <v>386</v>
      </c>
      <c r="K189" s="519" t="s">
        <v>1092</v>
      </c>
      <c r="L189" s="521" t="s">
        <v>1187</v>
      </c>
      <c r="M189" s="521" t="s">
        <v>1188</v>
      </c>
      <c r="N189" s="521" t="s">
        <v>885</v>
      </c>
      <c r="O189" s="22" t="s">
        <v>293</v>
      </c>
      <c r="P189" s="69" t="s">
        <v>167</v>
      </c>
      <c r="Q189" s="533" t="s">
        <v>167</v>
      </c>
      <c r="R189" s="335">
        <f t="shared" ca="1" si="9"/>
        <v>0</v>
      </c>
      <c r="S189" s="335">
        <f t="shared" ca="1" si="10"/>
        <v>0</v>
      </c>
      <c r="T189" s="429" t="s">
        <v>383</v>
      </c>
      <c r="U189" s="22"/>
      <c r="V189" s="24"/>
      <c r="W189" s="21"/>
      <c r="Y189" s="490"/>
    </row>
    <row r="190" spans="1:25" ht="30">
      <c r="A190" s="31">
        <v>187</v>
      </c>
      <c r="B190" s="22" t="s">
        <v>39</v>
      </c>
      <c r="C190" s="22" t="s">
        <v>366</v>
      </c>
      <c r="D190" s="22" t="s">
        <v>387</v>
      </c>
      <c r="E190" s="23" t="s">
        <v>388</v>
      </c>
      <c r="F190" s="22" t="s">
        <v>142</v>
      </c>
      <c r="G190" s="22" t="s">
        <v>389</v>
      </c>
      <c r="H190" s="22" t="s">
        <v>164</v>
      </c>
      <c r="I190" s="22" t="s">
        <v>390</v>
      </c>
      <c r="J190" s="22" t="s">
        <v>391</v>
      </c>
      <c r="K190" s="519" t="s">
        <v>1092</v>
      </c>
      <c r="L190" s="521" t="s">
        <v>1189</v>
      </c>
      <c r="M190" s="521" t="s">
        <v>1190</v>
      </c>
      <c r="N190" s="521" t="s">
        <v>885</v>
      </c>
      <c r="O190" s="22" t="s">
        <v>293</v>
      </c>
      <c r="P190" s="69" t="s">
        <v>167</v>
      </c>
      <c r="Q190" s="533" t="s">
        <v>167</v>
      </c>
      <c r="R190" s="335">
        <f t="shared" ca="1" si="9"/>
        <v>0</v>
      </c>
      <c r="S190" s="335">
        <f t="shared" ca="1" si="10"/>
        <v>0</v>
      </c>
      <c r="T190" s="429" t="s">
        <v>392</v>
      </c>
      <c r="U190" s="22"/>
      <c r="V190" s="24"/>
      <c r="W190" s="21"/>
      <c r="Y190" s="490"/>
    </row>
    <row r="191" spans="1:25" ht="45">
      <c r="A191" s="31">
        <v>188</v>
      </c>
      <c r="B191" s="22" t="s">
        <v>39</v>
      </c>
      <c r="C191" s="22" t="s">
        <v>366</v>
      </c>
      <c r="D191" s="22" t="s">
        <v>141</v>
      </c>
      <c r="E191" s="23" t="s">
        <v>51</v>
      </c>
      <c r="F191" s="22" t="s">
        <v>52</v>
      </c>
      <c r="G191" s="22" t="s">
        <v>53</v>
      </c>
      <c r="H191" s="22" t="s">
        <v>30</v>
      </c>
      <c r="I191" s="22" t="s">
        <v>393</v>
      </c>
      <c r="J191" s="22" t="s">
        <v>52</v>
      </c>
      <c r="K191" s="519" t="s">
        <v>1191</v>
      </c>
      <c r="L191" s="521" t="s">
        <v>1192</v>
      </c>
      <c r="M191" s="521" t="s">
        <v>1193</v>
      </c>
      <c r="N191" s="521" t="s">
        <v>815</v>
      </c>
      <c r="O191" s="22" t="s">
        <v>394</v>
      </c>
      <c r="P191" s="69">
        <v>2017</v>
      </c>
      <c r="Q191" s="414">
        <f t="shared" ref="Q191:Q203" ca="1" si="12">SUMIF(INDIRECT("'"&amp;K191&amp;"'!c:c"),A191,INDIRECT("'"&amp;K191&amp;"'!e:e"))</f>
        <v>2120.2284962919252</v>
      </c>
      <c r="R191" s="335" t="str">
        <f t="shared" ca="1" si="9"/>
        <v>N/A</v>
      </c>
      <c r="S191" s="335" t="str">
        <f t="shared" ca="1" si="10"/>
        <v>N/A</v>
      </c>
      <c r="T191" s="429" t="s">
        <v>899</v>
      </c>
      <c r="U191" s="22"/>
      <c r="V191" s="24"/>
      <c r="W191" s="21"/>
      <c r="Y191" s="490"/>
    </row>
    <row r="192" spans="1:25" ht="45">
      <c r="A192" s="31">
        <v>189</v>
      </c>
      <c r="B192" s="22" t="s">
        <v>39</v>
      </c>
      <c r="C192" s="22" t="s">
        <v>366</v>
      </c>
      <c r="D192" s="22" t="s">
        <v>141</v>
      </c>
      <c r="E192" s="23" t="s">
        <v>51</v>
      </c>
      <c r="F192" s="22" t="s">
        <v>55</v>
      </c>
      <c r="G192" s="22" t="s">
        <v>53</v>
      </c>
      <c r="H192" s="22" t="s">
        <v>30</v>
      </c>
      <c r="I192" s="22" t="s">
        <v>393</v>
      </c>
      <c r="J192" s="22" t="s">
        <v>55</v>
      </c>
      <c r="K192" s="519" t="s">
        <v>1191</v>
      </c>
      <c r="L192" s="521" t="s">
        <v>1194</v>
      </c>
      <c r="M192" s="521" t="s">
        <v>1195</v>
      </c>
      <c r="N192" s="521" t="s">
        <v>815</v>
      </c>
      <c r="O192" s="22" t="s">
        <v>394</v>
      </c>
      <c r="P192" s="69">
        <v>2017</v>
      </c>
      <c r="Q192" s="414">
        <f t="shared" ca="1" si="12"/>
        <v>1561.293975827205</v>
      </c>
      <c r="R192" s="335" t="str">
        <f t="shared" ca="1" si="9"/>
        <v>N/A</v>
      </c>
      <c r="S192" s="335" t="str">
        <f t="shared" ca="1" si="10"/>
        <v>N/A</v>
      </c>
      <c r="T192" s="429" t="s">
        <v>899</v>
      </c>
      <c r="U192" s="22"/>
      <c r="V192" s="24"/>
      <c r="W192" s="21"/>
      <c r="Y192" s="490"/>
    </row>
    <row r="193" spans="1:25" ht="45">
      <c r="A193" s="31">
        <v>190</v>
      </c>
      <c r="B193" s="22" t="s">
        <v>39</v>
      </c>
      <c r="C193" s="22" t="s">
        <v>366</v>
      </c>
      <c r="D193" s="22" t="s">
        <v>141</v>
      </c>
      <c r="E193" s="23" t="s">
        <v>51</v>
      </c>
      <c r="F193" s="22" t="s">
        <v>56</v>
      </c>
      <c r="G193" s="22" t="s">
        <v>53</v>
      </c>
      <c r="H193" s="22" t="s">
        <v>30</v>
      </c>
      <c r="I193" s="22" t="s">
        <v>393</v>
      </c>
      <c r="J193" s="22" t="s">
        <v>56</v>
      </c>
      <c r="K193" s="519" t="s">
        <v>1191</v>
      </c>
      <c r="L193" s="521" t="s">
        <v>1196</v>
      </c>
      <c r="M193" s="521" t="s">
        <v>1197</v>
      </c>
      <c r="N193" s="521" t="s">
        <v>815</v>
      </c>
      <c r="O193" s="22" t="s">
        <v>394</v>
      </c>
      <c r="P193" s="69">
        <v>2017</v>
      </c>
      <c r="Q193" s="414">
        <f t="shared" ca="1" si="12"/>
        <v>11829233.779383814</v>
      </c>
      <c r="R193" s="335" t="str">
        <f t="shared" ca="1" si="9"/>
        <v>N/A</v>
      </c>
      <c r="S193" s="335" t="str">
        <f t="shared" ca="1" si="10"/>
        <v>N/A</v>
      </c>
      <c r="T193" s="429" t="s">
        <v>899</v>
      </c>
      <c r="U193" s="22"/>
      <c r="V193" s="24"/>
      <c r="W193" s="21"/>
      <c r="Y193" s="490"/>
    </row>
    <row r="194" spans="1:25" ht="45">
      <c r="A194" s="31">
        <v>191</v>
      </c>
      <c r="B194" s="22" t="s">
        <v>39</v>
      </c>
      <c r="C194" s="22" t="s">
        <v>366</v>
      </c>
      <c r="D194" s="22" t="s">
        <v>141</v>
      </c>
      <c r="E194" s="23" t="s">
        <v>51</v>
      </c>
      <c r="F194" s="22" t="s">
        <v>57</v>
      </c>
      <c r="G194" s="22" t="s">
        <v>53</v>
      </c>
      <c r="H194" s="22" t="s">
        <v>30</v>
      </c>
      <c r="I194" s="22" t="s">
        <v>393</v>
      </c>
      <c r="J194" s="22" t="s">
        <v>57</v>
      </c>
      <c r="K194" s="519" t="s">
        <v>1191</v>
      </c>
      <c r="L194" s="521" t="s">
        <v>1198</v>
      </c>
      <c r="M194" s="521" t="s">
        <v>1199</v>
      </c>
      <c r="N194" s="521" t="s">
        <v>815</v>
      </c>
      <c r="O194" s="22" t="s">
        <v>394</v>
      </c>
      <c r="P194" s="69">
        <v>2017</v>
      </c>
      <c r="Q194" s="414">
        <f t="shared" ca="1" si="12"/>
        <v>8187370.7973197354</v>
      </c>
      <c r="R194" s="335" t="str">
        <f t="shared" ca="1" si="9"/>
        <v>N/A</v>
      </c>
      <c r="S194" s="335" t="str">
        <f t="shared" ca="1" si="10"/>
        <v>N/A</v>
      </c>
      <c r="T194" s="429" t="s">
        <v>899</v>
      </c>
      <c r="U194" s="22"/>
      <c r="V194" s="24"/>
      <c r="W194" s="21"/>
      <c r="Y194" s="490"/>
    </row>
    <row r="195" spans="1:25" ht="45">
      <c r="A195" s="31">
        <v>192</v>
      </c>
      <c r="B195" s="22" t="s">
        <v>39</v>
      </c>
      <c r="C195" s="22" t="s">
        <v>366</v>
      </c>
      <c r="D195" s="22" t="s">
        <v>141</v>
      </c>
      <c r="E195" s="23" t="s">
        <v>51</v>
      </c>
      <c r="F195" s="22" t="s">
        <v>58</v>
      </c>
      <c r="G195" s="22" t="s">
        <v>53</v>
      </c>
      <c r="H195" s="22" t="s">
        <v>30</v>
      </c>
      <c r="I195" s="22" t="s">
        <v>393</v>
      </c>
      <c r="J195" s="22" t="s">
        <v>58</v>
      </c>
      <c r="K195" s="519" t="s">
        <v>1191</v>
      </c>
      <c r="L195" s="521" t="s">
        <v>1200</v>
      </c>
      <c r="M195" s="521" t="s">
        <v>1201</v>
      </c>
      <c r="N195" s="521" t="s">
        <v>815</v>
      </c>
      <c r="O195" s="22" t="s">
        <v>394</v>
      </c>
      <c r="P195" s="69">
        <v>2017</v>
      </c>
      <c r="Q195" s="414">
        <f t="shared" ca="1" si="12"/>
        <v>717123.36628211441</v>
      </c>
      <c r="R195" s="335" t="str">
        <f t="shared" ref="R195:R258" ca="1" si="13">IF($N195 = "N","N/A",SUMIF(INDIRECT("'"&amp;K195&amp;"'!i:i"),L195,INDIRECT("'"&amp;K195&amp;"'!l:l")))</f>
        <v>N/A</v>
      </c>
      <c r="S195" s="335" t="str">
        <f t="shared" ref="S195:S258" ca="1" si="14">IF($N195 = "N","N/A",SUMIF(INDIRECT("'"&amp;K195&amp;"'!i:i"),M195,INDIRECT("'"&amp;K195&amp;"'!l:l")))</f>
        <v>N/A</v>
      </c>
      <c r="T195" s="429" t="s">
        <v>899</v>
      </c>
      <c r="U195" s="305" t="s">
        <v>395</v>
      </c>
      <c r="V195" s="24"/>
      <c r="W195" s="21"/>
      <c r="Y195" s="490"/>
    </row>
    <row r="196" spans="1:25" ht="45">
      <c r="A196" s="31">
        <v>193</v>
      </c>
      <c r="B196" s="22" t="s">
        <v>39</v>
      </c>
      <c r="C196" s="22" t="s">
        <v>366</v>
      </c>
      <c r="D196" s="22" t="s">
        <v>141</v>
      </c>
      <c r="E196" s="23" t="s">
        <v>51</v>
      </c>
      <c r="F196" s="22" t="s">
        <v>60</v>
      </c>
      <c r="G196" s="22" t="s">
        <v>53</v>
      </c>
      <c r="H196" s="22" t="s">
        <v>30</v>
      </c>
      <c r="I196" s="22" t="s">
        <v>393</v>
      </c>
      <c r="J196" s="22" t="s">
        <v>60</v>
      </c>
      <c r="K196" s="519" t="s">
        <v>1191</v>
      </c>
      <c r="L196" s="521" t="s">
        <v>1202</v>
      </c>
      <c r="M196" s="521" t="s">
        <v>1203</v>
      </c>
      <c r="N196" s="521" t="s">
        <v>815</v>
      </c>
      <c r="O196" s="22" t="s">
        <v>394</v>
      </c>
      <c r="P196" s="69">
        <v>2017</v>
      </c>
      <c r="Q196" s="414">
        <f t="shared" ca="1" si="12"/>
        <v>428364.72049244336</v>
      </c>
      <c r="R196" s="335" t="str">
        <f t="shared" ca="1" si="13"/>
        <v>N/A</v>
      </c>
      <c r="S196" s="335" t="str">
        <f t="shared" ca="1" si="14"/>
        <v>N/A</v>
      </c>
      <c r="T196" s="429" t="s">
        <v>899</v>
      </c>
      <c r="U196" s="305" t="s">
        <v>395</v>
      </c>
      <c r="V196" s="24"/>
      <c r="W196" s="21"/>
      <c r="Y196" s="490"/>
    </row>
    <row r="197" spans="1:25" ht="45">
      <c r="A197" s="31">
        <v>194</v>
      </c>
      <c r="B197" s="22" t="s">
        <v>39</v>
      </c>
      <c r="C197" s="22" t="s">
        <v>366</v>
      </c>
      <c r="D197" s="22" t="s">
        <v>141</v>
      </c>
      <c r="E197" s="23" t="s">
        <v>51</v>
      </c>
      <c r="F197" s="22" t="s">
        <v>61</v>
      </c>
      <c r="G197" s="22" t="s">
        <v>53</v>
      </c>
      <c r="H197" s="22" t="s">
        <v>30</v>
      </c>
      <c r="I197" s="22" t="s">
        <v>393</v>
      </c>
      <c r="J197" s="22" t="s">
        <v>61</v>
      </c>
      <c r="K197" s="519" t="s">
        <v>1191</v>
      </c>
      <c r="L197" s="521" t="s">
        <v>1204</v>
      </c>
      <c r="M197" s="521" t="s">
        <v>1205</v>
      </c>
      <c r="N197" s="521" t="s">
        <v>815</v>
      </c>
      <c r="O197" s="22" t="s">
        <v>394</v>
      </c>
      <c r="P197" s="69">
        <v>2017</v>
      </c>
      <c r="Q197" s="414">
        <f t="shared" ca="1" si="12"/>
        <v>18670.744517401385</v>
      </c>
      <c r="R197" s="335" t="str">
        <f t="shared" ca="1" si="13"/>
        <v>N/A</v>
      </c>
      <c r="S197" s="335" t="str">
        <f t="shared" ca="1" si="14"/>
        <v>N/A</v>
      </c>
      <c r="T197" s="429" t="s">
        <v>899</v>
      </c>
      <c r="U197" s="22"/>
      <c r="V197" s="24"/>
      <c r="W197" s="21"/>
      <c r="Y197" s="490"/>
    </row>
    <row r="198" spans="1:25" ht="45">
      <c r="A198" s="31">
        <v>195</v>
      </c>
      <c r="B198" s="22" t="s">
        <v>39</v>
      </c>
      <c r="C198" s="22" t="s">
        <v>366</v>
      </c>
      <c r="D198" s="22" t="s">
        <v>141</v>
      </c>
      <c r="E198" s="23" t="s">
        <v>51</v>
      </c>
      <c r="F198" s="22" t="s">
        <v>62</v>
      </c>
      <c r="G198" s="22" t="s">
        <v>53</v>
      </c>
      <c r="H198" s="22" t="s">
        <v>30</v>
      </c>
      <c r="I198" s="22" t="s">
        <v>393</v>
      </c>
      <c r="J198" s="22" t="s">
        <v>62</v>
      </c>
      <c r="K198" s="519" t="s">
        <v>1191</v>
      </c>
      <c r="L198" s="521" t="s">
        <v>1206</v>
      </c>
      <c r="M198" s="521" t="s">
        <v>1207</v>
      </c>
      <c r="N198" s="521" t="s">
        <v>815</v>
      </c>
      <c r="O198" s="22" t="s">
        <v>394</v>
      </c>
      <c r="P198" s="69">
        <v>2017</v>
      </c>
      <c r="Q198" s="414">
        <f t="shared" ca="1" si="12"/>
        <v>13285.931537879211</v>
      </c>
      <c r="R198" s="335" t="str">
        <f t="shared" ca="1" si="13"/>
        <v>N/A</v>
      </c>
      <c r="S198" s="335" t="str">
        <f t="shared" ca="1" si="14"/>
        <v>N/A</v>
      </c>
      <c r="T198" s="429" t="s">
        <v>899</v>
      </c>
      <c r="U198" s="22"/>
      <c r="V198" s="24"/>
      <c r="W198" s="21"/>
      <c r="Y198" s="490"/>
    </row>
    <row r="199" spans="1:25" ht="45">
      <c r="A199" s="31">
        <v>196</v>
      </c>
      <c r="B199" s="22" t="s">
        <v>39</v>
      </c>
      <c r="C199" s="22" t="s">
        <v>366</v>
      </c>
      <c r="D199" s="22" t="s">
        <v>141</v>
      </c>
      <c r="E199" s="23" t="s">
        <v>51</v>
      </c>
      <c r="F199" s="22" t="s">
        <v>63</v>
      </c>
      <c r="G199" s="22" t="s">
        <v>53</v>
      </c>
      <c r="H199" s="22" t="s">
        <v>30</v>
      </c>
      <c r="I199" s="22" t="s">
        <v>393</v>
      </c>
      <c r="J199" s="22" t="s">
        <v>63</v>
      </c>
      <c r="K199" s="519" t="s">
        <v>1191</v>
      </c>
      <c r="L199" s="521" t="s">
        <v>1208</v>
      </c>
      <c r="M199" s="521" t="s">
        <v>1209</v>
      </c>
      <c r="N199" s="521" t="s">
        <v>815</v>
      </c>
      <c r="O199" s="22" t="s">
        <v>394</v>
      </c>
      <c r="P199" s="69">
        <v>2017</v>
      </c>
      <c r="Q199" s="414">
        <f t="shared" ca="1" si="12"/>
        <v>102078374.17575823</v>
      </c>
      <c r="R199" s="335" t="str">
        <f t="shared" ca="1" si="13"/>
        <v>N/A</v>
      </c>
      <c r="S199" s="335" t="str">
        <f t="shared" ca="1" si="14"/>
        <v>N/A</v>
      </c>
      <c r="T199" s="429" t="s">
        <v>899</v>
      </c>
      <c r="U199" s="22"/>
      <c r="V199" s="24"/>
      <c r="W199" s="21"/>
      <c r="Y199" s="490"/>
    </row>
    <row r="200" spans="1:25" ht="45">
      <c r="A200" s="31">
        <v>197</v>
      </c>
      <c r="B200" s="22" t="s">
        <v>39</v>
      </c>
      <c r="C200" s="22" t="s">
        <v>366</v>
      </c>
      <c r="D200" s="22" t="s">
        <v>141</v>
      </c>
      <c r="E200" s="23" t="s">
        <v>51</v>
      </c>
      <c r="F200" s="22" t="s">
        <v>64</v>
      </c>
      <c r="G200" s="22" t="s">
        <v>53</v>
      </c>
      <c r="H200" s="22" t="s">
        <v>30</v>
      </c>
      <c r="I200" s="22" t="s">
        <v>393</v>
      </c>
      <c r="J200" s="22" t="s">
        <v>64</v>
      </c>
      <c r="K200" s="519" t="s">
        <v>1191</v>
      </c>
      <c r="L200" s="521" t="s">
        <v>1210</v>
      </c>
      <c r="M200" s="521" t="s">
        <v>1211</v>
      </c>
      <c r="N200" s="521" t="s">
        <v>815</v>
      </c>
      <c r="O200" s="22" t="s">
        <v>394</v>
      </c>
      <c r="P200" s="69">
        <v>2017</v>
      </c>
      <c r="Q200" s="414">
        <f t="shared" ca="1" si="12"/>
        <v>70335418.773030251</v>
      </c>
      <c r="R200" s="335" t="str">
        <f t="shared" ca="1" si="13"/>
        <v>N/A</v>
      </c>
      <c r="S200" s="335" t="str">
        <f t="shared" ca="1" si="14"/>
        <v>N/A</v>
      </c>
      <c r="T200" s="429" t="s">
        <v>899</v>
      </c>
      <c r="U200" s="22"/>
      <c r="V200" s="24"/>
      <c r="W200" s="21"/>
      <c r="Y200" s="490"/>
    </row>
    <row r="201" spans="1:25" ht="45">
      <c r="A201" s="31">
        <v>198</v>
      </c>
      <c r="B201" s="22" t="s">
        <v>39</v>
      </c>
      <c r="C201" s="22" t="s">
        <v>366</v>
      </c>
      <c r="D201" s="22" t="s">
        <v>141</v>
      </c>
      <c r="E201" s="23" t="s">
        <v>51</v>
      </c>
      <c r="F201" s="22" t="s">
        <v>65</v>
      </c>
      <c r="G201" s="22" t="s">
        <v>53</v>
      </c>
      <c r="H201" s="22" t="s">
        <v>30</v>
      </c>
      <c r="I201" s="22" t="s">
        <v>393</v>
      </c>
      <c r="J201" s="22" t="s">
        <v>65</v>
      </c>
      <c r="K201" s="519" t="s">
        <v>1191</v>
      </c>
      <c r="L201" s="521" t="s">
        <v>1212</v>
      </c>
      <c r="M201" s="521" t="s">
        <v>1213</v>
      </c>
      <c r="N201" s="521" t="s">
        <v>815</v>
      </c>
      <c r="O201" s="22" t="s">
        <v>394</v>
      </c>
      <c r="P201" s="69">
        <v>2017</v>
      </c>
      <c r="Q201" s="414">
        <f t="shared" ca="1" si="12"/>
        <v>7906120.7257685047</v>
      </c>
      <c r="R201" s="335" t="str">
        <f t="shared" ca="1" si="13"/>
        <v>N/A</v>
      </c>
      <c r="S201" s="335" t="str">
        <f t="shared" ca="1" si="14"/>
        <v>N/A</v>
      </c>
      <c r="T201" s="429" t="s">
        <v>899</v>
      </c>
      <c r="U201" s="305"/>
      <c r="V201" s="24"/>
      <c r="W201" s="21"/>
      <c r="Y201" s="490"/>
    </row>
    <row r="202" spans="1:25" ht="45">
      <c r="A202" s="31">
        <v>199</v>
      </c>
      <c r="B202" s="22" t="s">
        <v>39</v>
      </c>
      <c r="C202" s="22" t="s">
        <v>366</v>
      </c>
      <c r="D202" s="22" t="s">
        <v>141</v>
      </c>
      <c r="E202" s="23" t="s">
        <v>51</v>
      </c>
      <c r="F202" s="22" t="s">
        <v>66</v>
      </c>
      <c r="G202" s="22" t="s">
        <v>53</v>
      </c>
      <c r="H202" s="22" t="s">
        <v>30</v>
      </c>
      <c r="I202" s="22" t="s">
        <v>393</v>
      </c>
      <c r="J202" s="22" t="s">
        <v>66</v>
      </c>
      <c r="K202" s="519" t="s">
        <v>1191</v>
      </c>
      <c r="L202" s="521" t="s">
        <v>1214</v>
      </c>
      <c r="M202" s="521" t="s">
        <v>1215</v>
      </c>
      <c r="N202" s="521" t="s">
        <v>815</v>
      </c>
      <c r="O202" s="22" t="s">
        <v>394</v>
      </c>
      <c r="P202" s="69">
        <v>2017</v>
      </c>
      <c r="Q202" s="414">
        <f t="shared" ca="1" si="12"/>
        <v>4701231.2561380565</v>
      </c>
      <c r="R202" s="335" t="str">
        <f t="shared" ca="1" si="13"/>
        <v>N/A</v>
      </c>
      <c r="S202" s="335" t="str">
        <f t="shared" ca="1" si="14"/>
        <v>N/A</v>
      </c>
      <c r="T202" s="429" t="s">
        <v>899</v>
      </c>
      <c r="U202" s="305"/>
      <c r="V202" s="24"/>
      <c r="W202" s="21"/>
      <c r="Y202" s="490"/>
    </row>
    <row r="203" spans="1:25" ht="60">
      <c r="A203" s="31">
        <v>200</v>
      </c>
      <c r="B203" s="22" t="s">
        <v>39</v>
      </c>
      <c r="C203" s="22" t="s">
        <v>366</v>
      </c>
      <c r="D203" s="22" t="s">
        <v>252</v>
      </c>
      <c r="E203" s="23" t="s">
        <v>42</v>
      </c>
      <c r="F203" s="22" t="s">
        <v>43</v>
      </c>
      <c r="G203" s="22" t="s">
        <v>44</v>
      </c>
      <c r="H203" s="22" t="s">
        <v>30</v>
      </c>
      <c r="I203" s="22" t="s">
        <v>396</v>
      </c>
      <c r="J203" s="22" t="s">
        <v>314</v>
      </c>
      <c r="K203" s="519" t="s">
        <v>1191</v>
      </c>
      <c r="L203" s="521" t="s">
        <v>1216</v>
      </c>
      <c r="M203" s="521" t="s">
        <v>1217</v>
      </c>
      <c r="N203" s="521" t="s">
        <v>815</v>
      </c>
      <c r="O203" s="22" t="s">
        <v>394</v>
      </c>
      <c r="P203" s="69">
        <v>2017</v>
      </c>
      <c r="Q203" s="414">
        <f t="shared" ca="1" si="12"/>
        <v>8058.8041723150018</v>
      </c>
      <c r="R203" s="335" t="str">
        <f t="shared" ca="1" si="13"/>
        <v>N/A</v>
      </c>
      <c r="S203" s="335" t="str">
        <f t="shared" ca="1" si="14"/>
        <v>N/A</v>
      </c>
      <c r="T203" s="429" t="s">
        <v>48</v>
      </c>
      <c r="U203" s="22"/>
      <c r="V203" s="24"/>
      <c r="W203" s="21"/>
      <c r="Y203" s="490"/>
    </row>
    <row r="204" spans="1:25" ht="45">
      <c r="A204" s="31">
        <v>201</v>
      </c>
      <c r="B204" s="22" t="s">
        <v>39</v>
      </c>
      <c r="C204" s="22" t="s">
        <v>366</v>
      </c>
      <c r="D204" s="22" t="s">
        <v>397</v>
      </c>
      <c r="E204" s="23" t="s">
        <v>398</v>
      </c>
      <c r="F204" s="22" t="s">
        <v>399</v>
      </c>
      <c r="G204" s="22" t="s">
        <v>219</v>
      </c>
      <c r="H204" s="22" t="s">
        <v>164</v>
      </c>
      <c r="I204" s="22" t="s">
        <v>400</v>
      </c>
      <c r="J204" s="22" t="s">
        <v>401</v>
      </c>
      <c r="K204" s="519" t="s">
        <v>1191</v>
      </c>
      <c r="L204" s="521" t="s">
        <v>1218</v>
      </c>
      <c r="M204" s="521" t="s">
        <v>1219</v>
      </c>
      <c r="N204" s="521" t="s">
        <v>885</v>
      </c>
      <c r="O204" s="22" t="s">
        <v>394</v>
      </c>
      <c r="P204" s="69" t="s">
        <v>167</v>
      </c>
      <c r="Q204" s="533" t="s">
        <v>167</v>
      </c>
      <c r="R204" s="335">
        <f t="shared" ca="1" si="13"/>
        <v>0</v>
      </c>
      <c r="S204" s="335">
        <f t="shared" ca="1" si="14"/>
        <v>0</v>
      </c>
      <c r="T204" s="429"/>
      <c r="U204" s="22"/>
      <c r="V204" s="24"/>
      <c r="W204" s="21"/>
      <c r="Y204" s="490"/>
    </row>
    <row r="205" spans="1:25" ht="45">
      <c r="A205" s="31">
        <v>202</v>
      </c>
      <c r="B205" s="22" t="s">
        <v>39</v>
      </c>
      <c r="C205" s="22" t="s">
        <v>366</v>
      </c>
      <c r="D205" s="22" t="s">
        <v>397</v>
      </c>
      <c r="E205" s="23" t="s">
        <v>398</v>
      </c>
      <c r="F205" s="22" t="s">
        <v>402</v>
      </c>
      <c r="G205" s="22" t="s">
        <v>219</v>
      </c>
      <c r="H205" s="22" t="s">
        <v>164</v>
      </c>
      <c r="I205" s="22" t="s">
        <v>400</v>
      </c>
      <c r="J205" s="22" t="s">
        <v>403</v>
      </c>
      <c r="K205" s="519" t="s">
        <v>1191</v>
      </c>
      <c r="L205" s="521" t="s">
        <v>1220</v>
      </c>
      <c r="M205" s="521" t="s">
        <v>1221</v>
      </c>
      <c r="N205" s="521" t="s">
        <v>885</v>
      </c>
      <c r="O205" s="22" t="s">
        <v>394</v>
      </c>
      <c r="P205" s="69" t="s">
        <v>167</v>
      </c>
      <c r="Q205" s="533" t="s">
        <v>167</v>
      </c>
      <c r="R205" s="335">
        <f t="shared" ca="1" si="13"/>
        <v>0</v>
      </c>
      <c r="S205" s="335">
        <f t="shared" ca="1" si="14"/>
        <v>0</v>
      </c>
      <c r="T205" s="429"/>
      <c r="U205" s="22"/>
      <c r="V205" s="24"/>
      <c r="W205" s="21"/>
      <c r="Y205" s="490"/>
    </row>
    <row r="206" spans="1:25" ht="75">
      <c r="A206" s="31">
        <v>203</v>
      </c>
      <c r="B206" s="22" t="s">
        <v>39</v>
      </c>
      <c r="C206" s="22" t="s">
        <v>366</v>
      </c>
      <c r="D206" s="22" t="s">
        <v>397</v>
      </c>
      <c r="E206" s="23" t="s">
        <v>398</v>
      </c>
      <c r="F206" s="22" t="s">
        <v>404</v>
      </c>
      <c r="G206" s="22" t="s">
        <v>219</v>
      </c>
      <c r="H206" s="22" t="s">
        <v>164</v>
      </c>
      <c r="I206" s="22" t="s">
        <v>400</v>
      </c>
      <c r="J206" s="22" t="s">
        <v>405</v>
      </c>
      <c r="K206" s="519" t="s">
        <v>1191</v>
      </c>
      <c r="L206" s="521" t="s">
        <v>1222</v>
      </c>
      <c r="M206" s="521" t="s">
        <v>1223</v>
      </c>
      <c r="N206" s="521" t="s">
        <v>885</v>
      </c>
      <c r="O206" s="22" t="s">
        <v>394</v>
      </c>
      <c r="P206" s="69" t="s">
        <v>167</v>
      </c>
      <c r="Q206" s="533" t="s">
        <v>167</v>
      </c>
      <c r="R206" s="335">
        <f t="shared" ca="1" si="13"/>
        <v>0</v>
      </c>
      <c r="S206" s="335">
        <f t="shared" ca="1" si="14"/>
        <v>0</v>
      </c>
      <c r="T206" s="429" t="s">
        <v>406</v>
      </c>
      <c r="U206" s="22" t="s">
        <v>407</v>
      </c>
      <c r="V206" s="24"/>
      <c r="W206" s="21"/>
      <c r="Y206" s="490"/>
    </row>
    <row r="207" spans="1:25" ht="45">
      <c r="A207" s="31">
        <v>204</v>
      </c>
      <c r="B207" s="22" t="s">
        <v>39</v>
      </c>
      <c r="C207" s="22" t="s">
        <v>366</v>
      </c>
      <c r="D207" s="22" t="s">
        <v>397</v>
      </c>
      <c r="E207" s="23" t="s">
        <v>234</v>
      </c>
      <c r="F207" s="22" t="s">
        <v>408</v>
      </c>
      <c r="G207" s="22" t="s">
        <v>235</v>
      </c>
      <c r="H207" s="22" t="s">
        <v>164</v>
      </c>
      <c r="I207" s="22" t="s">
        <v>409</v>
      </c>
      <c r="J207" s="22" t="s">
        <v>410</v>
      </c>
      <c r="K207" s="519" t="s">
        <v>1191</v>
      </c>
      <c r="L207" s="521" t="s">
        <v>1224</v>
      </c>
      <c r="M207" s="521" t="s">
        <v>1225</v>
      </c>
      <c r="N207" s="521" t="s">
        <v>815</v>
      </c>
      <c r="O207" s="22" t="s">
        <v>394</v>
      </c>
      <c r="P207" s="69" t="s">
        <v>167</v>
      </c>
      <c r="Q207" s="414" t="s">
        <v>167</v>
      </c>
      <c r="R207" s="335" t="str">
        <f t="shared" ca="1" si="13"/>
        <v>N/A</v>
      </c>
      <c r="S207" s="335" t="str">
        <f t="shared" ca="1" si="14"/>
        <v>N/A</v>
      </c>
      <c r="T207" s="429"/>
      <c r="U207" s="22"/>
      <c r="V207" s="24"/>
      <c r="W207" s="21"/>
      <c r="Y207" s="490"/>
    </row>
    <row r="208" spans="1:25" ht="45">
      <c r="A208" s="31">
        <v>205</v>
      </c>
      <c r="B208" s="22" t="s">
        <v>39</v>
      </c>
      <c r="C208" s="22" t="s">
        <v>366</v>
      </c>
      <c r="D208" s="22" t="s">
        <v>397</v>
      </c>
      <c r="E208" s="23" t="s">
        <v>234</v>
      </c>
      <c r="F208" s="22" t="s">
        <v>411</v>
      </c>
      <c r="G208" s="22" t="s">
        <v>235</v>
      </c>
      <c r="H208" s="22" t="s">
        <v>164</v>
      </c>
      <c r="I208" s="22" t="s">
        <v>409</v>
      </c>
      <c r="J208" s="22" t="s">
        <v>410</v>
      </c>
      <c r="K208" s="519" t="s">
        <v>1191</v>
      </c>
      <c r="L208" s="521" t="s">
        <v>1226</v>
      </c>
      <c r="M208" s="521" t="s">
        <v>1227</v>
      </c>
      <c r="N208" s="521" t="s">
        <v>815</v>
      </c>
      <c r="O208" s="22" t="s">
        <v>394</v>
      </c>
      <c r="P208" s="69" t="s">
        <v>167</v>
      </c>
      <c r="Q208" s="414" t="s">
        <v>167</v>
      </c>
      <c r="R208" s="335" t="str">
        <f t="shared" ca="1" si="13"/>
        <v>N/A</v>
      </c>
      <c r="S208" s="335" t="str">
        <f t="shared" ca="1" si="14"/>
        <v>N/A</v>
      </c>
      <c r="T208" s="429"/>
      <c r="U208" s="22"/>
      <c r="V208" s="24"/>
      <c r="W208" s="21"/>
      <c r="Y208" s="490"/>
    </row>
    <row r="209" spans="1:25" ht="60">
      <c r="A209" s="31">
        <v>206</v>
      </c>
      <c r="B209" s="22" t="s">
        <v>39</v>
      </c>
      <c r="C209" s="22" t="s">
        <v>366</v>
      </c>
      <c r="D209" s="22" t="s">
        <v>397</v>
      </c>
      <c r="E209" s="23" t="s">
        <v>234</v>
      </c>
      <c r="F209" s="22" t="s">
        <v>412</v>
      </c>
      <c r="G209" s="22" t="s">
        <v>235</v>
      </c>
      <c r="H209" s="22" t="s">
        <v>164</v>
      </c>
      <c r="I209" s="22" t="s">
        <v>409</v>
      </c>
      <c r="J209" s="22" t="s">
        <v>413</v>
      </c>
      <c r="K209" s="519" t="s">
        <v>1191</v>
      </c>
      <c r="L209" s="521" t="s">
        <v>1228</v>
      </c>
      <c r="M209" s="521" t="s">
        <v>1229</v>
      </c>
      <c r="N209" s="521" t="s">
        <v>815</v>
      </c>
      <c r="O209" s="22" t="s">
        <v>394</v>
      </c>
      <c r="P209" s="69" t="s">
        <v>167</v>
      </c>
      <c r="Q209" s="414" t="s">
        <v>167</v>
      </c>
      <c r="R209" s="335" t="str">
        <f t="shared" ca="1" si="13"/>
        <v>N/A</v>
      </c>
      <c r="S209" s="335" t="str">
        <f t="shared" ca="1" si="14"/>
        <v>N/A</v>
      </c>
      <c r="T209" s="429" t="s">
        <v>414</v>
      </c>
      <c r="U209" s="22"/>
      <c r="V209" s="24"/>
      <c r="W209" s="21"/>
      <c r="Y209" s="490"/>
    </row>
    <row r="210" spans="1:25" ht="45">
      <c r="A210" s="31">
        <v>207</v>
      </c>
      <c r="B210" s="22" t="s">
        <v>39</v>
      </c>
      <c r="C210" s="22" t="s">
        <v>366</v>
      </c>
      <c r="D210" s="22" t="s">
        <v>397</v>
      </c>
      <c r="E210" s="23" t="s">
        <v>415</v>
      </c>
      <c r="F210" s="22" t="s">
        <v>408</v>
      </c>
      <c r="G210" s="22" t="s">
        <v>416</v>
      </c>
      <c r="H210" s="22" t="s">
        <v>164</v>
      </c>
      <c r="I210" s="22" t="s">
        <v>417</v>
      </c>
      <c r="J210" s="22" t="s">
        <v>418</v>
      </c>
      <c r="K210" s="519" t="s">
        <v>1191</v>
      </c>
      <c r="L210" s="521" t="s">
        <v>1230</v>
      </c>
      <c r="M210" s="521" t="s">
        <v>1231</v>
      </c>
      <c r="N210" s="521" t="s">
        <v>885</v>
      </c>
      <c r="O210" s="22" t="s">
        <v>394</v>
      </c>
      <c r="P210" s="69" t="s">
        <v>167</v>
      </c>
      <c r="Q210" s="414" t="s">
        <v>167</v>
      </c>
      <c r="R210" s="335">
        <f t="shared" ca="1" si="13"/>
        <v>0</v>
      </c>
      <c r="S210" s="335">
        <f t="shared" ca="1" si="14"/>
        <v>0</v>
      </c>
      <c r="T210" s="429"/>
      <c r="U210" s="22"/>
      <c r="V210" s="24"/>
      <c r="W210" s="21"/>
      <c r="Y210" s="490"/>
    </row>
    <row r="211" spans="1:25" ht="45">
      <c r="A211" s="31">
        <v>208</v>
      </c>
      <c r="B211" s="22" t="s">
        <v>39</v>
      </c>
      <c r="C211" s="22" t="s">
        <v>366</v>
      </c>
      <c r="D211" s="22" t="s">
        <v>397</v>
      </c>
      <c r="E211" s="23" t="s">
        <v>415</v>
      </c>
      <c r="F211" s="22" t="s">
        <v>411</v>
      </c>
      <c r="G211" s="22" t="s">
        <v>416</v>
      </c>
      <c r="H211" s="22" t="s">
        <v>164</v>
      </c>
      <c r="I211" s="22" t="s">
        <v>417</v>
      </c>
      <c r="J211" s="22" t="s">
        <v>419</v>
      </c>
      <c r="K211" s="519" t="s">
        <v>1191</v>
      </c>
      <c r="L211" s="521" t="s">
        <v>1232</v>
      </c>
      <c r="M211" s="521" t="s">
        <v>1233</v>
      </c>
      <c r="N211" s="521" t="s">
        <v>885</v>
      </c>
      <c r="O211" s="22" t="s">
        <v>394</v>
      </c>
      <c r="P211" s="69" t="s">
        <v>167</v>
      </c>
      <c r="Q211" s="414" t="s">
        <v>167</v>
      </c>
      <c r="R211" s="335">
        <f t="shared" ca="1" si="13"/>
        <v>0</v>
      </c>
      <c r="S211" s="335">
        <f t="shared" ca="1" si="14"/>
        <v>0</v>
      </c>
      <c r="T211" s="429"/>
      <c r="U211" s="22"/>
      <c r="V211" s="24"/>
      <c r="W211" s="21"/>
      <c r="Y211" s="490"/>
    </row>
    <row r="212" spans="1:25" ht="60">
      <c r="A212" s="31">
        <v>209</v>
      </c>
      <c r="B212" s="22" t="s">
        <v>39</v>
      </c>
      <c r="C212" s="22" t="s">
        <v>366</v>
      </c>
      <c r="D212" s="22" t="s">
        <v>397</v>
      </c>
      <c r="E212" s="23" t="s">
        <v>415</v>
      </c>
      <c r="F212" s="22" t="s">
        <v>412</v>
      </c>
      <c r="G212" s="22" t="s">
        <v>416</v>
      </c>
      <c r="H212" s="22" t="s">
        <v>164</v>
      </c>
      <c r="I212" s="22" t="s">
        <v>417</v>
      </c>
      <c r="J212" s="22" t="s">
        <v>420</v>
      </c>
      <c r="K212" s="519" t="s">
        <v>1191</v>
      </c>
      <c r="L212" s="521" t="s">
        <v>1234</v>
      </c>
      <c r="M212" s="521" t="s">
        <v>1235</v>
      </c>
      <c r="N212" s="521" t="s">
        <v>885</v>
      </c>
      <c r="O212" s="22" t="s">
        <v>394</v>
      </c>
      <c r="P212" s="69" t="s">
        <v>167</v>
      </c>
      <c r="Q212" s="414" t="s">
        <v>167</v>
      </c>
      <c r="R212" s="335">
        <f t="shared" ca="1" si="13"/>
        <v>0</v>
      </c>
      <c r="S212" s="335">
        <f t="shared" ca="1" si="14"/>
        <v>0</v>
      </c>
      <c r="T212" s="429" t="s">
        <v>421</v>
      </c>
      <c r="U212" s="22"/>
      <c r="V212" s="24"/>
      <c r="W212" s="21"/>
      <c r="Y212" s="490"/>
    </row>
    <row r="213" spans="1:25" ht="90">
      <c r="A213" s="31">
        <v>210</v>
      </c>
      <c r="B213" s="22" t="s">
        <v>39</v>
      </c>
      <c r="C213" s="22" t="s">
        <v>422</v>
      </c>
      <c r="D213" s="22" t="s">
        <v>153</v>
      </c>
      <c r="E213" s="23" t="s">
        <v>141</v>
      </c>
      <c r="F213" s="22" t="s">
        <v>142</v>
      </c>
      <c r="G213" s="22" t="s">
        <v>143</v>
      </c>
      <c r="H213" s="22" t="s">
        <v>30</v>
      </c>
      <c r="I213" s="22" t="s">
        <v>423</v>
      </c>
      <c r="J213" s="22" t="s">
        <v>424</v>
      </c>
      <c r="K213" s="519" t="s">
        <v>1191</v>
      </c>
      <c r="L213" s="521" t="s">
        <v>1236</v>
      </c>
      <c r="M213" s="521" t="s">
        <v>1237</v>
      </c>
      <c r="N213" s="521" t="s">
        <v>885</v>
      </c>
      <c r="O213" s="22" t="s">
        <v>394</v>
      </c>
      <c r="P213" s="69">
        <v>2017</v>
      </c>
      <c r="Q213" s="533">
        <f ca="1">SUMIF(INDIRECT("'"&amp;K213&amp;"'!c:c"),A213,INDIRECT("'"&amp;K213&amp;"'!e:e"))</f>
        <v>2.4270826047422537E-2</v>
      </c>
      <c r="R213" s="335">
        <f t="shared" ca="1" si="13"/>
        <v>0</v>
      </c>
      <c r="S213" s="335">
        <f t="shared" ca="1" si="14"/>
        <v>0</v>
      </c>
      <c r="T213" s="429" t="s">
        <v>425</v>
      </c>
      <c r="U213" s="22" t="s">
        <v>246</v>
      </c>
      <c r="V213" s="24"/>
      <c r="W213" s="21"/>
      <c r="Y213" s="490"/>
    </row>
    <row r="214" spans="1:25" ht="75">
      <c r="A214" s="31">
        <v>211</v>
      </c>
      <c r="B214" s="22" t="s">
        <v>39</v>
      </c>
      <c r="C214" s="22" t="s">
        <v>422</v>
      </c>
      <c r="D214" s="22" t="s">
        <v>426</v>
      </c>
      <c r="E214" s="23" t="s">
        <v>252</v>
      </c>
      <c r="F214" s="22" t="s">
        <v>142</v>
      </c>
      <c r="G214" s="22" t="s">
        <v>253</v>
      </c>
      <c r="H214" s="22" t="s">
        <v>164</v>
      </c>
      <c r="I214" s="22" t="s">
        <v>427</v>
      </c>
      <c r="J214" s="22" t="s">
        <v>428</v>
      </c>
      <c r="K214" s="519" t="s">
        <v>1191</v>
      </c>
      <c r="L214" s="521" t="s">
        <v>1238</v>
      </c>
      <c r="M214" s="521" t="s">
        <v>1239</v>
      </c>
      <c r="N214" s="521" t="s">
        <v>885</v>
      </c>
      <c r="O214" s="22" t="s">
        <v>394</v>
      </c>
      <c r="P214" s="69" t="s">
        <v>167</v>
      </c>
      <c r="Q214" s="533" t="s">
        <v>167</v>
      </c>
      <c r="R214" s="335">
        <f t="shared" ca="1" si="13"/>
        <v>0</v>
      </c>
      <c r="S214" s="335">
        <f t="shared" ca="1" si="14"/>
        <v>0</v>
      </c>
      <c r="T214" s="429" t="s">
        <v>429</v>
      </c>
      <c r="U214" s="22"/>
      <c r="V214" s="24"/>
      <c r="W214" s="21"/>
      <c r="Y214" s="490"/>
    </row>
    <row r="215" spans="1:25" ht="105">
      <c r="A215" s="31">
        <v>212</v>
      </c>
      <c r="B215" s="22" t="s">
        <v>39</v>
      </c>
      <c r="C215" s="22" t="s">
        <v>422</v>
      </c>
      <c r="D215" s="22" t="s">
        <v>426</v>
      </c>
      <c r="E215" s="23" t="s">
        <v>430</v>
      </c>
      <c r="F215" s="22" t="s">
        <v>142</v>
      </c>
      <c r="G215" s="22" t="s">
        <v>416</v>
      </c>
      <c r="H215" s="22" t="s">
        <v>164</v>
      </c>
      <c r="I215" s="22" t="s">
        <v>431</v>
      </c>
      <c r="J215" s="22" t="s">
        <v>432</v>
      </c>
      <c r="K215" s="519" t="s">
        <v>1191</v>
      </c>
      <c r="L215" s="521" t="s">
        <v>1240</v>
      </c>
      <c r="M215" s="521" t="s">
        <v>1241</v>
      </c>
      <c r="N215" s="521" t="s">
        <v>885</v>
      </c>
      <c r="O215" s="22" t="s">
        <v>394</v>
      </c>
      <c r="P215" s="69" t="s">
        <v>167</v>
      </c>
      <c r="Q215" s="533" t="s">
        <v>167</v>
      </c>
      <c r="R215" s="335">
        <f t="shared" ca="1" si="13"/>
        <v>0</v>
      </c>
      <c r="S215" s="335">
        <f t="shared" ca="1" si="14"/>
        <v>0</v>
      </c>
      <c r="T215" s="429" t="s">
        <v>433</v>
      </c>
      <c r="U215" s="22"/>
      <c r="V215" s="24"/>
      <c r="W215" s="21"/>
      <c r="Y215" s="490"/>
    </row>
    <row r="216" spans="1:25" ht="30">
      <c r="A216" s="31">
        <v>213</v>
      </c>
      <c r="B216" s="22" t="s">
        <v>39</v>
      </c>
      <c r="C216" s="22" t="s">
        <v>422</v>
      </c>
      <c r="D216" s="22" t="s">
        <v>434</v>
      </c>
      <c r="E216" s="23" t="s">
        <v>91</v>
      </c>
      <c r="F216" s="22" t="s">
        <v>92</v>
      </c>
      <c r="G216" s="22" t="s">
        <v>93</v>
      </c>
      <c r="H216" s="22" t="s">
        <v>30</v>
      </c>
      <c r="I216" s="22" t="s">
        <v>435</v>
      </c>
      <c r="J216" s="22" t="s">
        <v>92</v>
      </c>
      <c r="K216" s="519" t="s">
        <v>1191</v>
      </c>
      <c r="L216" s="521" t="s">
        <v>1242</v>
      </c>
      <c r="M216" s="521" t="s">
        <v>1243</v>
      </c>
      <c r="N216" s="521" t="s">
        <v>885</v>
      </c>
      <c r="O216" s="22" t="s">
        <v>394</v>
      </c>
      <c r="P216" s="69">
        <v>2017</v>
      </c>
      <c r="Q216" s="414">
        <f t="shared" ref="Q216:Q221" ca="1" si="15">SUMIF(INDIRECT("'"&amp;K216&amp;"'!c:c"),A216,INDIRECT("'"&amp;K216&amp;"'!e:e"))</f>
        <v>218.18298505594356</v>
      </c>
      <c r="R216" s="335">
        <f t="shared" ca="1" si="13"/>
        <v>0</v>
      </c>
      <c r="S216" s="335">
        <f t="shared" ca="1" si="14"/>
        <v>0</v>
      </c>
      <c r="T216" s="429"/>
      <c r="U216" s="22"/>
      <c r="V216" s="24"/>
      <c r="W216" s="21"/>
      <c r="Y216" s="490"/>
    </row>
    <row r="217" spans="1:25" ht="30">
      <c r="A217" s="31">
        <v>214</v>
      </c>
      <c r="B217" s="22" t="s">
        <v>39</v>
      </c>
      <c r="C217" s="22" t="s">
        <v>422</v>
      </c>
      <c r="D217" s="22" t="s">
        <v>434</v>
      </c>
      <c r="E217" s="23" t="s">
        <v>91</v>
      </c>
      <c r="F217" s="22" t="s">
        <v>95</v>
      </c>
      <c r="G217" s="22" t="s">
        <v>93</v>
      </c>
      <c r="H217" s="22" t="s">
        <v>30</v>
      </c>
      <c r="I217" s="22" t="s">
        <v>435</v>
      </c>
      <c r="J217" s="22" t="s">
        <v>95</v>
      </c>
      <c r="K217" s="519" t="s">
        <v>1191</v>
      </c>
      <c r="L217" s="521" t="s">
        <v>1244</v>
      </c>
      <c r="M217" s="521" t="s">
        <v>1245</v>
      </c>
      <c r="N217" s="521" t="s">
        <v>885</v>
      </c>
      <c r="O217" s="22" t="s">
        <v>394</v>
      </c>
      <c r="P217" s="69">
        <v>2017</v>
      </c>
      <c r="Q217" s="414">
        <f t="shared" ca="1" si="15"/>
        <v>4.1213434891709221E-2</v>
      </c>
      <c r="R217" s="335">
        <f t="shared" ca="1" si="13"/>
        <v>0</v>
      </c>
      <c r="S217" s="335">
        <f t="shared" ca="1" si="14"/>
        <v>0</v>
      </c>
      <c r="T217" s="429"/>
      <c r="U217" s="22"/>
      <c r="V217" s="24"/>
      <c r="W217" s="21"/>
      <c r="Y217" s="490"/>
    </row>
    <row r="218" spans="1:25" ht="30">
      <c r="A218" s="31">
        <v>215</v>
      </c>
      <c r="B218" s="22" t="s">
        <v>39</v>
      </c>
      <c r="C218" s="22" t="s">
        <v>422</v>
      </c>
      <c r="D218" s="22" t="s">
        <v>434</v>
      </c>
      <c r="E218" s="23" t="s">
        <v>91</v>
      </c>
      <c r="F218" s="22" t="s">
        <v>96</v>
      </c>
      <c r="G218" s="22" t="s">
        <v>93</v>
      </c>
      <c r="H218" s="22" t="s">
        <v>30</v>
      </c>
      <c r="I218" s="22" t="s">
        <v>435</v>
      </c>
      <c r="J218" s="22" t="s">
        <v>96</v>
      </c>
      <c r="K218" s="519" t="s">
        <v>1191</v>
      </c>
      <c r="L218" s="521" t="s">
        <v>1246</v>
      </c>
      <c r="M218" s="521" t="s">
        <v>1247</v>
      </c>
      <c r="N218" s="521" t="s">
        <v>885</v>
      </c>
      <c r="O218" s="22" t="s">
        <v>394</v>
      </c>
      <c r="P218" s="69">
        <v>2017</v>
      </c>
      <c r="Q218" s="414">
        <f t="shared" ca="1" si="15"/>
        <v>0.27974754402891922</v>
      </c>
      <c r="R218" s="335">
        <f t="shared" ca="1" si="13"/>
        <v>0</v>
      </c>
      <c r="S218" s="335">
        <f t="shared" ca="1" si="14"/>
        <v>0</v>
      </c>
      <c r="T218" s="429" t="s">
        <v>48</v>
      </c>
      <c r="U218" s="22" t="s">
        <v>49</v>
      </c>
      <c r="V218" s="24"/>
      <c r="W218" s="21"/>
      <c r="Y218" s="490"/>
    </row>
    <row r="219" spans="1:25" ht="30">
      <c r="A219" s="31">
        <v>216</v>
      </c>
      <c r="B219" s="22" t="s">
        <v>39</v>
      </c>
      <c r="C219" s="22" t="s">
        <v>422</v>
      </c>
      <c r="D219" s="22" t="s">
        <v>434</v>
      </c>
      <c r="E219" s="23" t="s">
        <v>91</v>
      </c>
      <c r="F219" s="22" t="s">
        <v>97</v>
      </c>
      <c r="G219" s="22" t="s">
        <v>93</v>
      </c>
      <c r="H219" s="22" t="s">
        <v>30</v>
      </c>
      <c r="I219" s="22" t="s">
        <v>435</v>
      </c>
      <c r="J219" s="22" t="s">
        <v>97</v>
      </c>
      <c r="K219" s="519" t="s">
        <v>1191</v>
      </c>
      <c r="L219" s="521" t="s">
        <v>1248</v>
      </c>
      <c r="M219" s="521" t="s">
        <v>1249</v>
      </c>
      <c r="N219" s="521" t="s">
        <v>885</v>
      </c>
      <c r="O219" s="22" t="s">
        <v>394</v>
      </c>
      <c r="P219" s="69">
        <v>2017</v>
      </c>
      <c r="Q219" s="414">
        <f t="shared" ca="1" si="15"/>
        <v>611.31127848128483</v>
      </c>
      <c r="R219" s="335">
        <f t="shared" ca="1" si="13"/>
        <v>0</v>
      </c>
      <c r="S219" s="335">
        <f t="shared" ca="1" si="14"/>
        <v>0</v>
      </c>
      <c r="T219" s="429"/>
      <c r="U219" s="22"/>
      <c r="V219" s="24"/>
      <c r="W219" s="21"/>
      <c r="Y219" s="490"/>
    </row>
    <row r="220" spans="1:25" ht="30">
      <c r="A220" s="31">
        <v>217</v>
      </c>
      <c r="B220" s="22" t="s">
        <v>39</v>
      </c>
      <c r="C220" s="22" t="s">
        <v>422</v>
      </c>
      <c r="D220" s="22" t="s">
        <v>434</v>
      </c>
      <c r="E220" s="23" t="s">
        <v>91</v>
      </c>
      <c r="F220" s="22" t="s">
        <v>98</v>
      </c>
      <c r="G220" s="22" t="s">
        <v>93</v>
      </c>
      <c r="H220" s="22" t="s">
        <v>30</v>
      </c>
      <c r="I220" s="22" t="s">
        <v>435</v>
      </c>
      <c r="J220" s="22" t="s">
        <v>98</v>
      </c>
      <c r="K220" s="519" t="s">
        <v>1191</v>
      </c>
      <c r="L220" s="521" t="s">
        <v>1250</v>
      </c>
      <c r="M220" s="521" t="s">
        <v>1251</v>
      </c>
      <c r="N220" s="521" t="s">
        <v>885</v>
      </c>
      <c r="O220" s="22" t="s">
        <v>394</v>
      </c>
      <c r="P220" s="69">
        <v>2017</v>
      </c>
      <c r="Q220" s="414">
        <f t="shared" ca="1" si="15"/>
        <v>0.11547297131257045</v>
      </c>
      <c r="R220" s="335">
        <f t="shared" ca="1" si="13"/>
        <v>0</v>
      </c>
      <c r="S220" s="335">
        <f t="shared" ca="1" si="14"/>
        <v>0</v>
      </c>
      <c r="T220" s="429"/>
      <c r="U220" s="22"/>
      <c r="V220" s="24"/>
      <c r="W220" s="21"/>
      <c r="Y220" s="490"/>
    </row>
    <row r="221" spans="1:25" ht="30">
      <c r="A221" s="31">
        <v>218</v>
      </c>
      <c r="B221" s="22" t="s">
        <v>39</v>
      </c>
      <c r="C221" s="22" t="s">
        <v>422</v>
      </c>
      <c r="D221" s="22" t="s">
        <v>434</v>
      </c>
      <c r="E221" s="23" t="s">
        <v>91</v>
      </c>
      <c r="F221" s="22" t="s">
        <v>99</v>
      </c>
      <c r="G221" s="22" t="s">
        <v>93</v>
      </c>
      <c r="H221" s="22" t="s">
        <v>30</v>
      </c>
      <c r="I221" s="22" t="s">
        <v>435</v>
      </c>
      <c r="J221" s="22" t="s">
        <v>99</v>
      </c>
      <c r="K221" s="519" t="s">
        <v>1191</v>
      </c>
      <c r="L221" s="521" t="s">
        <v>1252</v>
      </c>
      <c r="M221" s="521" t="s">
        <v>1253</v>
      </c>
      <c r="N221" s="521" t="s">
        <v>885</v>
      </c>
      <c r="O221" s="22" t="s">
        <v>394</v>
      </c>
      <c r="P221" s="69">
        <v>2017</v>
      </c>
      <c r="Q221" s="414">
        <f t="shared" ca="1" si="15"/>
        <v>0.78380460670876462</v>
      </c>
      <c r="R221" s="335">
        <f t="shared" ca="1" si="13"/>
        <v>0</v>
      </c>
      <c r="S221" s="335">
        <f t="shared" ca="1" si="14"/>
        <v>0</v>
      </c>
      <c r="T221" s="429" t="s">
        <v>48</v>
      </c>
      <c r="U221" s="22" t="s">
        <v>49</v>
      </c>
      <c r="V221" s="24"/>
      <c r="W221" s="21"/>
      <c r="Y221" s="490"/>
    </row>
    <row r="222" spans="1:25" ht="45">
      <c r="A222" s="31">
        <v>219</v>
      </c>
      <c r="B222" s="22" t="s">
        <v>39</v>
      </c>
      <c r="C222" s="22" t="s">
        <v>422</v>
      </c>
      <c r="D222" s="22" t="s">
        <v>436</v>
      </c>
      <c r="E222" s="23" t="s">
        <v>437</v>
      </c>
      <c r="F222" s="22" t="s">
        <v>438</v>
      </c>
      <c r="G222" s="22" t="s">
        <v>439</v>
      </c>
      <c r="H222" s="22" t="s">
        <v>164</v>
      </c>
      <c r="I222" s="22" t="s">
        <v>440</v>
      </c>
      <c r="J222" s="22" t="s">
        <v>441</v>
      </c>
      <c r="K222" s="519" t="s">
        <v>1191</v>
      </c>
      <c r="L222" s="521" t="s">
        <v>1254</v>
      </c>
      <c r="M222" s="521" t="s">
        <v>1255</v>
      </c>
      <c r="N222" s="521" t="s">
        <v>885</v>
      </c>
      <c r="O222" s="22" t="s">
        <v>394</v>
      </c>
      <c r="P222" s="69" t="s">
        <v>167</v>
      </c>
      <c r="Q222" s="414" t="s">
        <v>167</v>
      </c>
      <c r="R222" s="335">
        <f t="shared" ca="1" si="13"/>
        <v>0</v>
      </c>
      <c r="S222" s="335">
        <f t="shared" ca="1" si="14"/>
        <v>0</v>
      </c>
      <c r="T222" s="429" t="s">
        <v>442</v>
      </c>
      <c r="U222" s="22" t="s">
        <v>443</v>
      </c>
      <c r="V222" s="24"/>
      <c r="W222" s="21"/>
      <c r="Y222" s="490"/>
    </row>
    <row r="223" spans="1:25" ht="60">
      <c r="A223" s="31">
        <v>220</v>
      </c>
      <c r="B223" s="22" t="s">
        <v>39</v>
      </c>
      <c r="C223" s="22" t="s">
        <v>422</v>
      </c>
      <c r="D223" s="22" t="s">
        <v>444</v>
      </c>
      <c r="E223" s="23" t="s">
        <v>445</v>
      </c>
      <c r="F223" s="22" t="s">
        <v>142</v>
      </c>
      <c r="G223" s="22" t="s">
        <v>446</v>
      </c>
      <c r="H223" s="22" t="s">
        <v>30</v>
      </c>
      <c r="I223" s="22" t="s">
        <v>447</v>
      </c>
      <c r="J223" s="22" t="s">
        <v>448</v>
      </c>
      <c r="K223" s="519" t="s">
        <v>1191</v>
      </c>
      <c r="L223" s="521" t="s">
        <v>1256</v>
      </c>
      <c r="M223" s="521" t="s">
        <v>1257</v>
      </c>
      <c r="N223" s="521" t="s">
        <v>885</v>
      </c>
      <c r="O223" s="22" t="s">
        <v>394</v>
      </c>
      <c r="P223" s="69">
        <v>2017</v>
      </c>
      <c r="Q223" s="533">
        <f ca="1">SUMIF(INDIRECT("'"&amp;K223&amp;"'!c:c"),A223,INDIRECT("'"&amp;K223&amp;"'!e:e"))</f>
        <v>1.4758340910680562E-2</v>
      </c>
      <c r="R223" s="335">
        <f t="shared" ca="1" si="13"/>
        <v>0</v>
      </c>
      <c r="S223" s="335">
        <f t="shared" ca="1" si="14"/>
        <v>0</v>
      </c>
      <c r="U223" s="22" t="s">
        <v>449</v>
      </c>
      <c r="V223" s="24"/>
      <c r="W223" s="21"/>
      <c r="Y223" s="490"/>
    </row>
    <row r="224" spans="1:25" ht="45">
      <c r="A224" s="31">
        <v>221</v>
      </c>
      <c r="B224" s="22" t="s">
        <v>39</v>
      </c>
      <c r="C224" s="22" t="s">
        <v>422</v>
      </c>
      <c r="D224" s="22" t="s">
        <v>444</v>
      </c>
      <c r="E224" s="23" t="s">
        <v>450</v>
      </c>
      <c r="F224" s="22" t="s">
        <v>451</v>
      </c>
      <c r="G224" s="22" t="s">
        <v>452</v>
      </c>
      <c r="H224" s="22" t="s">
        <v>30</v>
      </c>
      <c r="I224" s="22" t="s">
        <v>453</v>
      </c>
      <c r="J224" s="22" t="s">
        <v>454</v>
      </c>
      <c r="K224" s="519" t="s">
        <v>1191</v>
      </c>
      <c r="L224" s="521" t="s">
        <v>1258</v>
      </c>
      <c r="M224" s="521" t="s">
        <v>1259</v>
      </c>
      <c r="N224" s="521" t="s">
        <v>885</v>
      </c>
      <c r="O224" s="22" t="s">
        <v>394</v>
      </c>
      <c r="P224" s="69">
        <v>2017</v>
      </c>
      <c r="Q224" s="414">
        <f ca="1">SUMIF(INDIRECT("'"&amp;K224&amp;"'!c:c"),A224,INDIRECT("'"&amp;K224&amp;"'!e:e"))</f>
        <v>24.237238356781308</v>
      </c>
      <c r="R224" s="335">
        <f t="shared" ca="1" si="13"/>
        <v>0</v>
      </c>
      <c r="S224" s="335">
        <f t="shared" ca="1" si="14"/>
        <v>0</v>
      </c>
      <c r="T224" s="429" t="s">
        <v>455</v>
      </c>
      <c r="U224" s="22"/>
      <c r="V224" s="24"/>
      <c r="W224" s="21"/>
      <c r="Y224" s="490"/>
    </row>
    <row r="225" spans="1:25" ht="75">
      <c r="A225" s="31">
        <v>222</v>
      </c>
      <c r="B225" s="22" t="s">
        <v>39</v>
      </c>
      <c r="C225" s="22" t="s">
        <v>422</v>
      </c>
      <c r="D225" s="22" t="s">
        <v>456</v>
      </c>
      <c r="E225" s="23" t="s">
        <v>457</v>
      </c>
      <c r="F225" s="22" t="s">
        <v>142</v>
      </c>
      <c r="G225" s="22" t="s">
        <v>458</v>
      </c>
      <c r="H225" s="22" t="s">
        <v>164</v>
      </c>
      <c r="I225" s="22" t="s">
        <v>459</v>
      </c>
      <c r="J225" s="22" t="s">
        <v>460</v>
      </c>
      <c r="K225" s="519" t="s">
        <v>1191</v>
      </c>
      <c r="L225" s="521" t="s">
        <v>1260</v>
      </c>
      <c r="M225" s="521" t="s">
        <v>1261</v>
      </c>
      <c r="N225" s="521" t="s">
        <v>885</v>
      </c>
      <c r="O225" s="22" t="s">
        <v>394</v>
      </c>
      <c r="P225" s="69" t="s">
        <v>167</v>
      </c>
      <c r="Q225" s="533" t="s">
        <v>167</v>
      </c>
      <c r="R225" s="335">
        <f t="shared" ca="1" si="13"/>
        <v>0</v>
      </c>
      <c r="S225" s="335">
        <f t="shared" ca="1" si="14"/>
        <v>0</v>
      </c>
      <c r="T225" s="429" t="s">
        <v>461</v>
      </c>
      <c r="U225" s="22"/>
      <c r="V225" s="24"/>
      <c r="W225" s="21"/>
      <c r="Y225" s="490"/>
    </row>
    <row r="226" spans="1:25" ht="45">
      <c r="A226" s="31">
        <v>223</v>
      </c>
      <c r="B226" s="22" t="s">
        <v>39</v>
      </c>
      <c r="C226" s="22" t="s">
        <v>462</v>
      </c>
      <c r="D226" s="22" t="s">
        <v>463</v>
      </c>
      <c r="E226" s="23" t="s">
        <v>51</v>
      </c>
      <c r="F226" s="22" t="s">
        <v>52</v>
      </c>
      <c r="G226" s="22" t="s">
        <v>53</v>
      </c>
      <c r="H226" s="22" t="s">
        <v>30</v>
      </c>
      <c r="I226" s="22" t="s">
        <v>464</v>
      </c>
      <c r="J226" s="22" t="s">
        <v>52</v>
      </c>
      <c r="K226" s="519" t="s">
        <v>1262</v>
      </c>
      <c r="L226" s="521" t="s">
        <v>1263</v>
      </c>
      <c r="M226" s="521" t="s">
        <v>1264</v>
      </c>
      <c r="N226" s="521" t="s">
        <v>815</v>
      </c>
      <c r="O226" s="22" t="s">
        <v>465</v>
      </c>
      <c r="P226" s="69">
        <v>2017</v>
      </c>
      <c r="Q226" s="414">
        <f t="shared" ref="Q226:Q241" ca="1" si="16">SUMIF(INDIRECT("'"&amp;K226&amp;"'!c:c"),A226,INDIRECT("'"&amp;K226&amp;"'!e:e"))</f>
        <v>47.503317920000001</v>
      </c>
      <c r="R226" s="335" t="str">
        <f t="shared" ca="1" si="13"/>
        <v>N/A</v>
      </c>
      <c r="S226" s="335" t="str">
        <f t="shared" ca="1" si="14"/>
        <v>N/A</v>
      </c>
      <c r="T226" s="429" t="s">
        <v>48</v>
      </c>
      <c r="U226" s="22"/>
      <c r="V226" s="24"/>
      <c r="W226" s="21"/>
      <c r="Y226" s="490"/>
    </row>
    <row r="227" spans="1:25" ht="45">
      <c r="A227" s="31">
        <v>224</v>
      </c>
      <c r="B227" s="22" t="s">
        <v>39</v>
      </c>
      <c r="C227" s="22" t="s">
        <v>462</v>
      </c>
      <c r="D227" s="22" t="s">
        <v>463</v>
      </c>
      <c r="E227" s="23" t="s">
        <v>51</v>
      </c>
      <c r="F227" s="22" t="s">
        <v>55</v>
      </c>
      <c r="G227" s="22" t="s">
        <v>53</v>
      </c>
      <c r="H227" s="22" t="s">
        <v>30</v>
      </c>
      <c r="I227" s="22" t="s">
        <v>464</v>
      </c>
      <c r="J227" s="22" t="s">
        <v>55</v>
      </c>
      <c r="K227" s="519" t="s">
        <v>1262</v>
      </c>
      <c r="L227" s="521" t="s">
        <v>1265</v>
      </c>
      <c r="M227" s="521" t="s">
        <v>1266</v>
      </c>
      <c r="N227" s="521" t="s">
        <v>815</v>
      </c>
      <c r="O227" s="22" t="s">
        <v>465</v>
      </c>
      <c r="P227" s="69">
        <v>2017</v>
      </c>
      <c r="Q227" s="414">
        <f t="shared" ca="1" si="16"/>
        <v>35.609316123607819</v>
      </c>
      <c r="R227" s="335" t="str">
        <f t="shared" ca="1" si="13"/>
        <v>N/A</v>
      </c>
      <c r="S227" s="335" t="str">
        <f t="shared" ca="1" si="14"/>
        <v>N/A</v>
      </c>
      <c r="T227" s="429" t="s">
        <v>48</v>
      </c>
      <c r="U227" s="22"/>
      <c r="V227" s="24"/>
      <c r="W227" s="21"/>
      <c r="Y227" s="490"/>
    </row>
    <row r="228" spans="1:25" ht="45">
      <c r="A228" s="31">
        <v>225</v>
      </c>
      <c r="B228" s="22" t="s">
        <v>39</v>
      </c>
      <c r="C228" s="22" t="s">
        <v>462</v>
      </c>
      <c r="D228" s="22" t="s">
        <v>463</v>
      </c>
      <c r="E228" s="23" t="s">
        <v>51</v>
      </c>
      <c r="F228" s="22" t="s">
        <v>56</v>
      </c>
      <c r="G228" s="22" t="s">
        <v>53</v>
      </c>
      <c r="H228" s="22" t="s">
        <v>30</v>
      </c>
      <c r="I228" s="22" t="s">
        <v>464</v>
      </c>
      <c r="J228" s="22" t="s">
        <v>56</v>
      </c>
      <c r="K228" s="519" t="s">
        <v>1262</v>
      </c>
      <c r="L228" s="521" t="s">
        <v>1267</v>
      </c>
      <c r="M228" s="521" t="s">
        <v>1268</v>
      </c>
      <c r="N228" s="521" t="s">
        <v>815</v>
      </c>
      <c r="O228" s="22" t="s">
        <v>465</v>
      </c>
      <c r="P228" s="69">
        <v>2017</v>
      </c>
      <c r="Q228" s="414">
        <f t="shared" ca="1" si="16"/>
        <v>291761.2069689713</v>
      </c>
      <c r="R228" s="335" t="str">
        <f t="shared" ca="1" si="13"/>
        <v>N/A</v>
      </c>
      <c r="S228" s="335" t="str">
        <f t="shared" ca="1" si="14"/>
        <v>N/A</v>
      </c>
      <c r="T228" s="429" t="s">
        <v>48</v>
      </c>
      <c r="U228" s="22"/>
      <c r="V228" s="24"/>
      <c r="W228" s="21"/>
      <c r="Y228" s="490"/>
    </row>
    <row r="229" spans="1:25" ht="45">
      <c r="A229" s="31">
        <v>226</v>
      </c>
      <c r="B229" s="22" t="s">
        <v>39</v>
      </c>
      <c r="C229" s="22" t="s">
        <v>462</v>
      </c>
      <c r="D229" s="22" t="s">
        <v>463</v>
      </c>
      <c r="E229" s="23" t="s">
        <v>51</v>
      </c>
      <c r="F229" s="22" t="s">
        <v>57</v>
      </c>
      <c r="G229" s="22" t="s">
        <v>53</v>
      </c>
      <c r="H229" s="22" t="s">
        <v>30</v>
      </c>
      <c r="I229" s="22" t="s">
        <v>464</v>
      </c>
      <c r="J229" s="22" t="s">
        <v>57</v>
      </c>
      <c r="K229" s="519" t="s">
        <v>1262</v>
      </c>
      <c r="L229" s="521" t="s">
        <v>1269</v>
      </c>
      <c r="M229" s="521" t="s">
        <v>1270</v>
      </c>
      <c r="N229" s="521" t="s">
        <v>815</v>
      </c>
      <c r="O229" s="22" t="s">
        <v>465</v>
      </c>
      <c r="P229" s="69">
        <v>2017</v>
      </c>
      <c r="Q229" s="414">
        <f t="shared" ca="1" si="16"/>
        <v>209409.92369477506</v>
      </c>
      <c r="R229" s="335" t="str">
        <f t="shared" ca="1" si="13"/>
        <v>N/A</v>
      </c>
      <c r="S229" s="335" t="str">
        <f t="shared" ca="1" si="14"/>
        <v>N/A</v>
      </c>
      <c r="T229" s="429" t="s">
        <v>48</v>
      </c>
      <c r="U229" s="22"/>
      <c r="V229" s="24"/>
      <c r="W229" s="21"/>
      <c r="Y229" s="490"/>
    </row>
    <row r="230" spans="1:25" ht="45">
      <c r="A230" s="31">
        <v>227</v>
      </c>
      <c r="B230" s="22" t="s">
        <v>39</v>
      </c>
      <c r="C230" s="22" t="s">
        <v>462</v>
      </c>
      <c r="D230" s="22" t="s">
        <v>463</v>
      </c>
      <c r="E230" s="23" t="s">
        <v>51</v>
      </c>
      <c r="F230" s="22" t="s">
        <v>58</v>
      </c>
      <c r="G230" s="22" t="s">
        <v>53</v>
      </c>
      <c r="H230" s="22" t="s">
        <v>30</v>
      </c>
      <c r="I230" s="22" t="s">
        <v>464</v>
      </c>
      <c r="J230" s="22" t="s">
        <v>58</v>
      </c>
      <c r="K230" s="519" t="s">
        <v>1262</v>
      </c>
      <c r="L230" s="521" t="s">
        <v>1271</v>
      </c>
      <c r="M230" s="521" t="s">
        <v>1272</v>
      </c>
      <c r="N230" s="521" t="s">
        <v>815</v>
      </c>
      <c r="O230" s="22" t="s">
        <v>465</v>
      </c>
      <c r="P230" s="69">
        <v>2017</v>
      </c>
      <c r="Q230" s="414">
        <f t="shared" ca="1" si="16"/>
        <v>-1941.6546065559999</v>
      </c>
      <c r="R230" s="335" t="str">
        <f t="shared" ca="1" si="13"/>
        <v>N/A</v>
      </c>
      <c r="S230" s="335" t="str">
        <f t="shared" ca="1" si="14"/>
        <v>N/A</v>
      </c>
      <c r="T230" s="429" t="s">
        <v>48</v>
      </c>
      <c r="U230" s="22" t="s">
        <v>49</v>
      </c>
      <c r="V230" s="24"/>
      <c r="W230" s="21"/>
      <c r="Y230" s="490"/>
    </row>
    <row r="231" spans="1:25" ht="45">
      <c r="A231" s="31">
        <v>228</v>
      </c>
      <c r="B231" s="22" t="s">
        <v>39</v>
      </c>
      <c r="C231" s="22" t="s">
        <v>462</v>
      </c>
      <c r="D231" s="22" t="s">
        <v>463</v>
      </c>
      <c r="E231" s="23" t="s">
        <v>51</v>
      </c>
      <c r="F231" s="22" t="s">
        <v>60</v>
      </c>
      <c r="G231" s="22" t="s">
        <v>53</v>
      </c>
      <c r="H231" s="22" t="s">
        <v>30</v>
      </c>
      <c r="I231" s="22" t="s">
        <v>464</v>
      </c>
      <c r="J231" s="22" t="s">
        <v>60</v>
      </c>
      <c r="K231" s="519" t="s">
        <v>1262</v>
      </c>
      <c r="L231" s="521" t="s">
        <v>1273</v>
      </c>
      <c r="M231" s="521" t="s">
        <v>1274</v>
      </c>
      <c r="N231" s="521" t="s">
        <v>815</v>
      </c>
      <c r="O231" s="22" t="s">
        <v>465</v>
      </c>
      <c r="P231" s="69">
        <v>2017</v>
      </c>
      <c r="Q231" s="414">
        <f t="shared" ca="1" si="16"/>
        <v>-1456.1893425801695</v>
      </c>
      <c r="R231" s="335" t="str">
        <f t="shared" ca="1" si="13"/>
        <v>N/A</v>
      </c>
      <c r="S231" s="335" t="str">
        <f t="shared" ca="1" si="14"/>
        <v>N/A</v>
      </c>
      <c r="T231" s="429" t="s">
        <v>48</v>
      </c>
      <c r="U231" s="22" t="s">
        <v>49</v>
      </c>
      <c r="V231" s="24"/>
      <c r="W231" s="21"/>
      <c r="Y231" s="490"/>
    </row>
    <row r="232" spans="1:25" ht="45">
      <c r="A232" s="31">
        <v>229</v>
      </c>
      <c r="B232" s="22" t="s">
        <v>39</v>
      </c>
      <c r="C232" s="22" t="s">
        <v>462</v>
      </c>
      <c r="D232" s="22" t="s">
        <v>463</v>
      </c>
      <c r="E232" s="23" t="s">
        <v>51</v>
      </c>
      <c r="F232" s="22" t="s">
        <v>61</v>
      </c>
      <c r="G232" s="22" t="s">
        <v>53</v>
      </c>
      <c r="H232" s="22" t="s">
        <v>30</v>
      </c>
      <c r="I232" s="22" t="s">
        <v>464</v>
      </c>
      <c r="J232" s="22" t="s">
        <v>61</v>
      </c>
      <c r="K232" s="519" t="s">
        <v>1262</v>
      </c>
      <c r="L232" s="521" t="s">
        <v>1275</v>
      </c>
      <c r="M232" s="521" t="s">
        <v>1276</v>
      </c>
      <c r="N232" s="521" t="s">
        <v>815</v>
      </c>
      <c r="O232" s="22" t="s">
        <v>465</v>
      </c>
      <c r="P232" s="69">
        <v>2017</v>
      </c>
      <c r="Q232" s="414">
        <f t="shared" ca="1" si="16"/>
        <v>489.68608959999995</v>
      </c>
      <c r="R232" s="335" t="str">
        <f t="shared" ca="1" si="13"/>
        <v>N/A</v>
      </c>
      <c r="S232" s="335" t="str">
        <f t="shared" ca="1" si="14"/>
        <v>N/A</v>
      </c>
      <c r="T232" s="429" t="s">
        <v>48</v>
      </c>
      <c r="U232" s="22"/>
      <c r="V232" s="24"/>
      <c r="W232" s="21"/>
      <c r="Y232" s="490"/>
    </row>
    <row r="233" spans="1:25" ht="45">
      <c r="A233" s="31">
        <v>230</v>
      </c>
      <c r="B233" s="22" t="s">
        <v>39</v>
      </c>
      <c r="C233" s="22" t="s">
        <v>462</v>
      </c>
      <c r="D233" s="22" t="s">
        <v>463</v>
      </c>
      <c r="E233" s="23" t="s">
        <v>51</v>
      </c>
      <c r="F233" s="22" t="s">
        <v>62</v>
      </c>
      <c r="G233" s="22" t="s">
        <v>53</v>
      </c>
      <c r="H233" s="22" t="s">
        <v>30</v>
      </c>
      <c r="I233" s="22" t="s">
        <v>464</v>
      </c>
      <c r="J233" s="22" t="s">
        <v>62</v>
      </c>
      <c r="K233" s="519" t="s">
        <v>1262</v>
      </c>
      <c r="L233" s="521" t="s">
        <v>1277</v>
      </c>
      <c r="M233" s="521" t="s">
        <v>1278</v>
      </c>
      <c r="N233" s="521" t="s">
        <v>815</v>
      </c>
      <c r="O233" s="22" t="s">
        <v>465</v>
      </c>
      <c r="P233" s="69">
        <v>2017</v>
      </c>
      <c r="Q233" s="414">
        <f t="shared" ca="1" si="16"/>
        <v>367.17370279982521</v>
      </c>
      <c r="R233" s="335" t="str">
        <f t="shared" ca="1" si="13"/>
        <v>N/A</v>
      </c>
      <c r="S233" s="335" t="str">
        <f t="shared" ca="1" si="14"/>
        <v>N/A</v>
      </c>
      <c r="T233" s="429" t="s">
        <v>48</v>
      </c>
      <c r="U233" s="22"/>
      <c r="V233" s="24"/>
      <c r="W233" s="21"/>
      <c r="Y233" s="490"/>
    </row>
    <row r="234" spans="1:25" ht="45">
      <c r="A234" s="31">
        <v>231</v>
      </c>
      <c r="B234" s="22" t="s">
        <v>39</v>
      </c>
      <c r="C234" s="22" t="s">
        <v>462</v>
      </c>
      <c r="D234" s="22" t="s">
        <v>463</v>
      </c>
      <c r="E234" s="23" t="s">
        <v>51</v>
      </c>
      <c r="F234" s="22" t="s">
        <v>63</v>
      </c>
      <c r="G234" s="22" t="s">
        <v>53</v>
      </c>
      <c r="H234" s="22" t="s">
        <v>30</v>
      </c>
      <c r="I234" s="22" t="s">
        <v>464</v>
      </c>
      <c r="J234" s="22" t="s">
        <v>63</v>
      </c>
      <c r="K234" s="519" t="s">
        <v>1262</v>
      </c>
      <c r="L234" s="521" t="s">
        <v>1279</v>
      </c>
      <c r="M234" s="521" t="s">
        <v>1280</v>
      </c>
      <c r="N234" s="521" t="s">
        <v>815</v>
      </c>
      <c r="O234" s="22" t="s">
        <v>465</v>
      </c>
      <c r="P234" s="69">
        <v>2017</v>
      </c>
      <c r="Q234" s="414">
        <f t="shared" ca="1" si="16"/>
        <v>3179336.26369166</v>
      </c>
      <c r="R234" s="335" t="str">
        <f t="shared" ca="1" si="13"/>
        <v>N/A</v>
      </c>
      <c r="S234" s="335" t="str">
        <f t="shared" ca="1" si="14"/>
        <v>N/A</v>
      </c>
      <c r="T234" s="429" t="s">
        <v>48</v>
      </c>
      <c r="U234" s="22"/>
      <c r="V234" s="24"/>
      <c r="W234" s="21"/>
      <c r="Y234" s="490"/>
    </row>
    <row r="235" spans="1:25" ht="45">
      <c r="A235" s="31">
        <v>232</v>
      </c>
      <c r="B235" s="22" t="s">
        <v>39</v>
      </c>
      <c r="C235" s="22" t="s">
        <v>462</v>
      </c>
      <c r="D235" s="22" t="s">
        <v>463</v>
      </c>
      <c r="E235" s="23" t="s">
        <v>51</v>
      </c>
      <c r="F235" s="22" t="s">
        <v>64</v>
      </c>
      <c r="G235" s="22" t="s">
        <v>53</v>
      </c>
      <c r="H235" s="22" t="s">
        <v>30</v>
      </c>
      <c r="I235" s="22" t="s">
        <v>464</v>
      </c>
      <c r="J235" s="22" t="s">
        <v>64</v>
      </c>
      <c r="K235" s="519" t="s">
        <v>1262</v>
      </c>
      <c r="L235" s="521" t="s">
        <v>1281</v>
      </c>
      <c r="M235" s="521" t="s">
        <v>1282</v>
      </c>
      <c r="N235" s="521" t="s">
        <v>815</v>
      </c>
      <c r="O235" s="22" t="s">
        <v>465</v>
      </c>
      <c r="P235" s="69">
        <v>2017</v>
      </c>
      <c r="Q235" s="414">
        <f t="shared" ca="1" si="16"/>
        <v>2271941.1560426923</v>
      </c>
      <c r="R235" s="335" t="str">
        <f t="shared" ca="1" si="13"/>
        <v>N/A</v>
      </c>
      <c r="S235" s="335" t="str">
        <f t="shared" ca="1" si="14"/>
        <v>N/A</v>
      </c>
      <c r="T235" s="429" t="s">
        <v>48</v>
      </c>
      <c r="U235" s="22"/>
      <c r="V235" s="24"/>
      <c r="W235" s="21"/>
      <c r="Y235" s="490"/>
    </row>
    <row r="236" spans="1:25" ht="45">
      <c r="A236" s="31">
        <v>233</v>
      </c>
      <c r="B236" s="22" t="s">
        <v>39</v>
      </c>
      <c r="C236" s="22" t="s">
        <v>462</v>
      </c>
      <c r="D236" s="22" t="s">
        <v>463</v>
      </c>
      <c r="E236" s="23" t="s">
        <v>51</v>
      </c>
      <c r="F236" s="22" t="s">
        <v>65</v>
      </c>
      <c r="G236" s="22" t="s">
        <v>53</v>
      </c>
      <c r="H236" s="22" t="s">
        <v>30</v>
      </c>
      <c r="I236" s="22" t="s">
        <v>464</v>
      </c>
      <c r="J236" s="22" t="s">
        <v>65</v>
      </c>
      <c r="K236" s="519" t="s">
        <v>1262</v>
      </c>
      <c r="L236" s="521" t="s">
        <v>1283</v>
      </c>
      <c r="M236" s="521" t="s">
        <v>1284</v>
      </c>
      <c r="N236" s="521" t="s">
        <v>815</v>
      </c>
      <c r="O236" s="22" t="s">
        <v>465</v>
      </c>
      <c r="P236" s="69">
        <v>2017</v>
      </c>
      <c r="Q236" s="414">
        <f t="shared" ca="1" si="16"/>
        <v>-20172.72153278</v>
      </c>
      <c r="R236" s="335" t="str">
        <f t="shared" ca="1" si="13"/>
        <v>N/A</v>
      </c>
      <c r="S236" s="335" t="str">
        <f t="shared" ca="1" si="14"/>
        <v>N/A</v>
      </c>
      <c r="T236" s="429" t="s">
        <v>48</v>
      </c>
      <c r="U236" s="22" t="s">
        <v>49</v>
      </c>
      <c r="V236" s="24"/>
      <c r="W236" s="21"/>
      <c r="Y236" s="490"/>
    </row>
    <row r="237" spans="1:25" ht="45">
      <c r="A237" s="31">
        <v>234</v>
      </c>
      <c r="B237" s="22" t="s">
        <v>39</v>
      </c>
      <c r="C237" s="22" t="s">
        <v>462</v>
      </c>
      <c r="D237" s="22" t="s">
        <v>463</v>
      </c>
      <c r="E237" s="23" t="s">
        <v>51</v>
      </c>
      <c r="F237" s="22" t="s">
        <v>66</v>
      </c>
      <c r="G237" s="22" t="s">
        <v>53</v>
      </c>
      <c r="H237" s="22" t="s">
        <v>30</v>
      </c>
      <c r="I237" s="22" t="s">
        <v>464</v>
      </c>
      <c r="J237" s="22" t="s">
        <v>66</v>
      </c>
      <c r="K237" s="519" t="s">
        <v>1262</v>
      </c>
      <c r="L237" s="521" t="s">
        <v>1285</v>
      </c>
      <c r="M237" s="521" t="s">
        <v>1286</v>
      </c>
      <c r="N237" s="521" t="s">
        <v>815</v>
      </c>
      <c r="O237" s="22" t="s">
        <v>465</v>
      </c>
      <c r="P237" s="69">
        <v>2017</v>
      </c>
      <c r="Q237" s="414">
        <f t="shared" ca="1" si="16"/>
        <v>-15129.282970951517</v>
      </c>
      <c r="R237" s="335" t="str">
        <f t="shared" ca="1" si="13"/>
        <v>N/A</v>
      </c>
      <c r="S237" s="335" t="str">
        <f t="shared" ca="1" si="14"/>
        <v>N/A</v>
      </c>
      <c r="T237" s="429" t="s">
        <v>48</v>
      </c>
      <c r="U237" s="22" t="s">
        <v>49</v>
      </c>
      <c r="V237" s="24"/>
      <c r="W237" s="21"/>
      <c r="Y237" s="490"/>
    </row>
    <row r="238" spans="1:25" ht="30">
      <c r="A238" s="31">
        <v>235</v>
      </c>
      <c r="B238" s="22" t="s">
        <v>39</v>
      </c>
      <c r="C238" s="22" t="s">
        <v>462</v>
      </c>
      <c r="D238" s="22" t="s">
        <v>466</v>
      </c>
      <c r="E238" s="23" t="s">
        <v>42</v>
      </c>
      <c r="F238" s="22" t="s">
        <v>43</v>
      </c>
      <c r="G238" s="22" t="s">
        <v>44</v>
      </c>
      <c r="H238" s="22" t="s">
        <v>30</v>
      </c>
      <c r="I238" s="22" t="s">
        <v>467</v>
      </c>
      <c r="J238" s="22" t="s">
        <v>46</v>
      </c>
      <c r="K238" s="519" t="s">
        <v>1262</v>
      </c>
      <c r="L238" s="521" t="s">
        <v>1287</v>
      </c>
      <c r="M238" s="521" t="s">
        <v>1288</v>
      </c>
      <c r="N238" s="521" t="s">
        <v>815</v>
      </c>
      <c r="O238" s="22" t="s">
        <v>465</v>
      </c>
      <c r="P238" s="69">
        <v>2017</v>
      </c>
      <c r="Q238" s="414">
        <f t="shared" ca="1" si="16"/>
        <v>140.33501253653108</v>
      </c>
      <c r="R238" s="335" t="str">
        <f t="shared" ca="1" si="13"/>
        <v>N/A</v>
      </c>
      <c r="S238" s="335" t="str">
        <f t="shared" ca="1" si="14"/>
        <v>N/A</v>
      </c>
      <c r="T238" s="429" t="s">
        <v>48</v>
      </c>
      <c r="U238" s="22"/>
      <c r="V238" s="24"/>
      <c r="W238" s="21"/>
      <c r="Y238" s="490"/>
    </row>
    <row r="239" spans="1:25" ht="90">
      <c r="A239" s="31">
        <v>236</v>
      </c>
      <c r="B239" s="22" t="s">
        <v>39</v>
      </c>
      <c r="C239" s="22" t="s">
        <v>462</v>
      </c>
      <c r="D239" s="22" t="s">
        <v>468</v>
      </c>
      <c r="E239" s="23" t="s">
        <v>325</v>
      </c>
      <c r="F239" s="22" t="s">
        <v>142</v>
      </c>
      <c r="G239" s="22" t="s">
        <v>143</v>
      </c>
      <c r="H239" s="22" t="s">
        <v>30</v>
      </c>
      <c r="I239" s="22" t="s">
        <v>469</v>
      </c>
      <c r="J239" s="22" t="s">
        <v>333</v>
      </c>
      <c r="K239" s="519" t="s">
        <v>1262</v>
      </c>
      <c r="L239" s="521" t="s">
        <v>1289</v>
      </c>
      <c r="M239" s="521" t="s">
        <v>1290</v>
      </c>
      <c r="N239" s="521" t="s">
        <v>885</v>
      </c>
      <c r="O239" s="22" t="s">
        <v>465</v>
      </c>
      <c r="P239" s="69">
        <v>2017</v>
      </c>
      <c r="Q239" s="533">
        <f t="shared" ca="1" si="16"/>
        <v>1.8761726078799251E-2</v>
      </c>
      <c r="R239" s="335">
        <f t="shared" ca="1" si="13"/>
        <v>0</v>
      </c>
      <c r="S239" s="335">
        <f t="shared" ca="1" si="14"/>
        <v>0</v>
      </c>
      <c r="T239" s="429" t="s">
        <v>425</v>
      </c>
      <c r="U239" s="22" t="s">
        <v>246</v>
      </c>
      <c r="V239" s="24"/>
      <c r="W239" s="21"/>
      <c r="Y239" s="490"/>
    </row>
    <row r="240" spans="1:25" ht="90">
      <c r="A240" s="31">
        <v>237</v>
      </c>
      <c r="B240" s="22" t="s">
        <v>39</v>
      </c>
      <c r="C240" s="22" t="s">
        <v>462</v>
      </c>
      <c r="D240" s="22" t="s">
        <v>468</v>
      </c>
      <c r="E240" s="23" t="s">
        <v>329</v>
      </c>
      <c r="F240" s="22" t="s">
        <v>142</v>
      </c>
      <c r="G240" s="22" t="s">
        <v>143</v>
      </c>
      <c r="H240" s="22" t="s">
        <v>30</v>
      </c>
      <c r="I240" s="22" t="s">
        <v>470</v>
      </c>
      <c r="J240" s="22" t="s">
        <v>330</v>
      </c>
      <c r="K240" s="519" t="s">
        <v>1262</v>
      </c>
      <c r="L240" s="521" t="s">
        <v>1291</v>
      </c>
      <c r="M240" s="521" t="s">
        <v>1292</v>
      </c>
      <c r="N240" s="521" t="s">
        <v>885</v>
      </c>
      <c r="O240" s="22" t="s">
        <v>465</v>
      </c>
      <c r="P240" s="69">
        <v>2017</v>
      </c>
      <c r="Q240" s="533">
        <f t="shared" ca="1" si="16"/>
        <v>0</v>
      </c>
      <c r="R240" s="335">
        <f t="shared" ca="1" si="13"/>
        <v>0</v>
      </c>
      <c r="S240" s="335">
        <f t="shared" ca="1" si="14"/>
        <v>0</v>
      </c>
      <c r="T240" s="429" t="s">
        <v>425</v>
      </c>
      <c r="U240" s="22" t="s">
        <v>246</v>
      </c>
      <c r="V240" s="24"/>
      <c r="W240" s="21"/>
      <c r="Y240" s="490"/>
    </row>
    <row r="241" spans="1:25" ht="90">
      <c r="A241" s="31">
        <v>238</v>
      </c>
      <c r="B241" s="22" t="s">
        <v>39</v>
      </c>
      <c r="C241" s="22" t="s">
        <v>462</v>
      </c>
      <c r="D241" s="22" t="s">
        <v>468</v>
      </c>
      <c r="E241" s="23" t="s">
        <v>331</v>
      </c>
      <c r="F241" s="22" t="s">
        <v>142</v>
      </c>
      <c r="G241" s="22" t="s">
        <v>143</v>
      </c>
      <c r="H241" s="22" t="s">
        <v>30</v>
      </c>
      <c r="I241" s="22" t="s">
        <v>471</v>
      </c>
      <c r="J241" s="22" t="s">
        <v>327</v>
      </c>
      <c r="K241" s="519" t="s">
        <v>1262</v>
      </c>
      <c r="L241" s="521" t="s">
        <v>1293</v>
      </c>
      <c r="M241" s="521" t="s">
        <v>1294</v>
      </c>
      <c r="N241" s="521" t="s">
        <v>885</v>
      </c>
      <c r="O241" s="22" t="s">
        <v>465</v>
      </c>
      <c r="P241" s="69">
        <v>2017</v>
      </c>
      <c r="Q241" s="533">
        <f t="shared" ca="1" si="16"/>
        <v>0</v>
      </c>
      <c r="R241" s="335">
        <f t="shared" ca="1" si="13"/>
        <v>0</v>
      </c>
      <c r="S241" s="335">
        <f t="shared" ca="1" si="14"/>
        <v>0</v>
      </c>
      <c r="T241" s="429" t="s">
        <v>425</v>
      </c>
      <c r="U241" s="22" t="s">
        <v>246</v>
      </c>
      <c r="V241" s="24"/>
      <c r="W241" s="21"/>
      <c r="Y241" s="490"/>
    </row>
    <row r="242" spans="1:25" ht="105">
      <c r="A242" s="31">
        <v>239</v>
      </c>
      <c r="B242" s="22" t="s">
        <v>39</v>
      </c>
      <c r="C242" s="22" t="s">
        <v>462</v>
      </c>
      <c r="D242" s="22" t="s">
        <v>472</v>
      </c>
      <c r="E242" s="23" t="s">
        <v>473</v>
      </c>
      <c r="F242" s="22" t="s">
        <v>142</v>
      </c>
      <c r="G242" s="22" t="s">
        <v>474</v>
      </c>
      <c r="H242" s="22" t="s">
        <v>164</v>
      </c>
      <c r="I242" s="22" t="s">
        <v>1295</v>
      </c>
      <c r="J242" s="22" t="s">
        <v>476</v>
      </c>
      <c r="K242" s="519" t="s">
        <v>1262</v>
      </c>
      <c r="L242" s="521" t="s">
        <v>1296</v>
      </c>
      <c r="M242" s="521" t="s">
        <v>1297</v>
      </c>
      <c r="N242" s="521" t="s">
        <v>885</v>
      </c>
      <c r="O242" s="22" t="s">
        <v>465</v>
      </c>
      <c r="P242" s="69" t="s">
        <v>167</v>
      </c>
      <c r="Q242" s="533" t="s">
        <v>167</v>
      </c>
      <c r="R242" s="335">
        <f t="shared" ca="1" si="13"/>
        <v>0</v>
      </c>
      <c r="S242" s="335">
        <f t="shared" ca="1" si="14"/>
        <v>0</v>
      </c>
      <c r="T242" s="429" t="s">
        <v>477</v>
      </c>
      <c r="U242" s="22" t="s">
        <v>478</v>
      </c>
      <c r="V242" s="24"/>
      <c r="W242" s="21"/>
      <c r="Y242" s="490"/>
    </row>
    <row r="243" spans="1:25" ht="105">
      <c r="A243" s="31">
        <v>240</v>
      </c>
      <c r="B243" s="22" t="s">
        <v>39</v>
      </c>
      <c r="C243" s="22" t="s">
        <v>462</v>
      </c>
      <c r="D243" s="22" t="s">
        <v>472</v>
      </c>
      <c r="E243" s="23" t="s">
        <v>479</v>
      </c>
      <c r="F243" s="22" t="s">
        <v>142</v>
      </c>
      <c r="G243" s="22" t="s">
        <v>474</v>
      </c>
      <c r="H243" s="22" t="s">
        <v>164</v>
      </c>
      <c r="I243" s="22" t="s">
        <v>1298</v>
      </c>
      <c r="J243" s="22" t="s">
        <v>481</v>
      </c>
      <c r="K243" s="519" t="s">
        <v>1262</v>
      </c>
      <c r="L243" s="521" t="s">
        <v>1299</v>
      </c>
      <c r="M243" s="521" t="s">
        <v>1300</v>
      </c>
      <c r="N243" s="521" t="s">
        <v>885</v>
      </c>
      <c r="O243" s="22" t="s">
        <v>465</v>
      </c>
      <c r="P243" s="69" t="s">
        <v>167</v>
      </c>
      <c r="Q243" s="533" t="s">
        <v>167</v>
      </c>
      <c r="R243" s="335">
        <f t="shared" ca="1" si="13"/>
        <v>0</v>
      </c>
      <c r="S243" s="335">
        <f t="shared" ca="1" si="14"/>
        <v>0</v>
      </c>
      <c r="T243" s="429" t="s">
        <v>482</v>
      </c>
      <c r="U243" s="22" t="s">
        <v>478</v>
      </c>
      <c r="V243" s="24"/>
      <c r="W243" s="21"/>
      <c r="Y243" s="490"/>
    </row>
    <row r="244" spans="1:25" ht="105">
      <c r="A244" s="31">
        <v>241</v>
      </c>
      <c r="B244" s="22" t="s">
        <v>39</v>
      </c>
      <c r="C244" s="22" t="s">
        <v>462</v>
      </c>
      <c r="D244" s="22" t="s">
        <v>472</v>
      </c>
      <c r="E244" s="23" t="s">
        <v>483</v>
      </c>
      <c r="F244" s="22" t="s">
        <v>142</v>
      </c>
      <c r="G244" s="22" t="s">
        <v>474</v>
      </c>
      <c r="H244" s="22" t="s">
        <v>164</v>
      </c>
      <c r="I244" s="22" t="s">
        <v>1301</v>
      </c>
      <c r="J244" s="22" t="s">
        <v>485</v>
      </c>
      <c r="K244" s="519" t="s">
        <v>1262</v>
      </c>
      <c r="L244" s="521" t="s">
        <v>1302</v>
      </c>
      <c r="M244" s="521" t="s">
        <v>1303</v>
      </c>
      <c r="N244" s="521" t="s">
        <v>885</v>
      </c>
      <c r="O244" s="22" t="s">
        <v>465</v>
      </c>
      <c r="P244" s="69" t="s">
        <v>167</v>
      </c>
      <c r="Q244" s="533" t="s">
        <v>167</v>
      </c>
      <c r="R244" s="335">
        <f t="shared" ca="1" si="13"/>
        <v>0</v>
      </c>
      <c r="S244" s="335">
        <f t="shared" ca="1" si="14"/>
        <v>0</v>
      </c>
      <c r="T244" s="429" t="s">
        <v>486</v>
      </c>
      <c r="U244" s="22" t="s">
        <v>478</v>
      </c>
      <c r="V244" s="24"/>
      <c r="W244" s="21"/>
      <c r="Y244" s="490"/>
    </row>
    <row r="245" spans="1:25" ht="30">
      <c r="A245" s="31">
        <v>242</v>
      </c>
      <c r="B245" s="22" t="s">
        <v>39</v>
      </c>
      <c r="C245" s="22" t="s">
        <v>462</v>
      </c>
      <c r="D245" s="22" t="s">
        <v>487</v>
      </c>
      <c r="E245" s="23" t="s">
        <v>91</v>
      </c>
      <c r="F245" s="22" t="s">
        <v>92</v>
      </c>
      <c r="G245" s="22" t="s">
        <v>93</v>
      </c>
      <c r="H245" s="22" t="s">
        <v>30</v>
      </c>
      <c r="I245" s="22" t="s">
        <v>488</v>
      </c>
      <c r="J245" s="22" t="s">
        <v>92</v>
      </c>
      <c r="K245" s="519" t="s">
        <v>1262</v>
      </c>
      <c r="L245" s="521" t="s">
        <v>1304</v>
      </c>
      <c r="M245" s="521" t="s">
        <v>1305</v>
      </c>
      <c r="N245" s="521" t="s">
        <v>885</v>
      </c>
      <c r="O245" s="22" t="s">
        <v>465</v>
      </c>
      <c r="P245" s="69">
        <v>2017</v>
      </c>
      <c r="Q245" s="414">
        <f t="shared" ref="Q245:Q284" ca="1" si="17">SUMIF(INDIRECT("'"&amp;K245&amp;"'!c:c"),A245,INDIRECT("'"&amp;K245&amp;"'!e:e"))</f>
        <v>2279.073617715474</v>
      </c>
      <c r="R245" s="335">
        <f t="shared" ca="1" si="13"/>
        <v>0</v>
      </c>
      <c r="S245" s="335">
        <f t="shared" ca="1" si="14"/>
        <v>0</v>
      </c>
      <c r="T245" s="429" t="s">
        <v>48</v>
      </c>
      <c r="U245" s="22"/>
      <c r="V245" s="24"/>
      <c r="W245" s="21"/>
      <c r="Y245" s="490"/>
    </row>
    <row r="246" spans="1:25" ht="30">
      <c r="A246" s="31">
        <v>243</v>
      </c>
      <c r="B246" s="22" t="s">
        <v>39</v>
      </c>
      <c r="C246" s="22" t="s">
        <v>462</v>
      </c>
      <c r="D246" s="22" t="s">
        <v>487</v>
      </c>
      <c r="E246" s="23" t="s">
        <v>91</v>
      </c>
      <c r="F246" s="22" t="s">
        <v>95</v>
      </c>
      <c r="G246" s="22" t="s">
        <v>93</v>
      </c>
      <c r="H246" s="22" t="s">
        <v>30</v>
      </c>
      <c r="I246" s="22" t="s">
        <v>488</v>
      </c>
      <c r="J246" s="22" t="s">
        <v>95</v>
      </c>
      <c r="K246" s="519" t="s">
        <v>1262</v>
      </c>
      <c r="L246" s="521" t="s">
        <v>1306</v>
      </c>
      <c r="M246" s="521" t="s">
        <v>1307</v>
      </c>
      <c r="N246" s="521" t="s">
        <v>885</v>
      </c>
      <c r="O246" s="22" t="s">
        <v>465</v>
      </c>
      <c r="P246" s="69">
        <v>2017</v>
      </c>
      <c r="Q246" s="414">
        <f t="shared" ca="1" si="17"/>
        <v>0.36832639654609944</v>
      </c>
      <c r="R246" s="335">
        <f t="shared" ca="1" si="13"/>
        <v>0</v>
      </c>
      <c r="S246" s="335">
        <f t="shared" ca="1" si="14"/>
        <v>0</v>
      </c>
      <c r="T246" s="429" t="s">
        <v>48</v>
      </c>
      <c r="U246" s="22"/>
      <c r="V246" s="24"/>
      <c r="W246" s="21"/>
      <c r="Y246" s="490"/>
    </row>
    <row r="247" spans="1:25" ht="30">
      <c r="A247" s="31">
        <v>244</v>
      </c>
      <c r="B247" s="22" t="s">
        <v>39</v>
      </c>
      <c r="C247" s="22" t="s">
        <v>462</v>
      </c>
      <c r="D247" s="22" t="s">
        <v>487</v>
      </c>
      <c r="E247" s="23" t="s">
        <v>91</v>
      </c>
      <c r="F247" s="22" t="s">
        <v>96</v>
      </c>
      <c r="G247" s="22" t="s">
        <v>93</v>
      </c>
      <c r="H247" s="22" t="s">
        <v>30</v>
      </c>
      <c r="I247" s="22" t="s">
        <v>488</v>
      </c>
      <c r="J247" s="22" t="s">
        <v>96</v>
      </c>
      <c r="K247" s="519" t="s">
        <v>1262</v>
      </c>
      <c r="L247" s="521" t="s">
        <v>1308</v>
      </c>
      <c r="M247" s="521" t="s">
        <v>1309</v>
      </c>
      <c r="N247" s="521" t="s">
        <v>885</v>
      </c>
      <c r="O247" s="22" t="s">
        <v>465</v>
      </c>
      <c r="P247" s="69">
        <v>2017</v>
      </c>
      <c r="Q247" s="414">
        <f t="shared" ca="1" si="17"/>
        <v>2.8731189213291426</v>
      </c>
      <c r="R247" s="335">
        <f t="shared" ca="1" si="13"/>
        <v>0</v>
      </c>
      <c r="S247" s="335">
        <f t="shared" ca="1" si="14"/>
        <v>0</v>
      </c>
      <c r="T247" s="429" t="s">
        <v>48</v>
      </c>
      <c r="U247" s="22" t="s">
        <v>49</v>
      </c>
      <c r="V247" s="24"/>
      <c r="W247" s="21"/>
      <c r="Y247" s="490"/>
    </row>
    <row r="248" spans="1:25" ht="30">
      <c r="A248" s="31">
        <v>245</v>
      </c>
      <c r="B248" s="22" t="s">
        <v>39</v>
      </c>
      <c r="C248" s="22" t="s">
        <v>462</v>
      </c>
      <c r="D248" s="22" t="s">
        <v>487</v>
      </c>
      <c r="E248" s="23" t="s">
        <v>91</v>
      </c>
      <c r="F248" s="22" t="s">
        <v>97</v>
      </c>
      <c r="G248" s="22" t="s">
        <v>93</v>
      </c>
      <c r="H248" s="22" t="s">
        <v>30</v>
      </c>
      <c r="I248" s="22" t="s">
        <v>488</v>
      </c>
      <c r="J248" s="22" t="s">
        <v>97</v>
      </c>
      <c r="K248" s="519" t="s">
        <v>1262</v>
      </c>
      <c r="L248" s="521" t="s">
        <v>1310</v>
      </c>
      <c r="M248" s="521" t="s">
        <v>1311</v>
      </c>
      <c r="N248" s="521" t="s">
        <v>885</v>
      </c>
      <c r="O248" s="22" t="s">
        <v>465</v>
      </c>
      <c r="P248" s="69">
        <v>2017</v>
      </c>
      <c r="Q248" s="414">
        <f t="shared" ca="1" si="17"/>
        <v>2496.4886004839304</v>
      </c>
      <c r="R248" s="335">
        <f t="shared" ca="1" si="13"/>
        <v>0</v>
      </c>
      <c r="S248" s="335">
        <f t="shared" ca="1" si="14"/>
        <v>0</v>
      </c>
      <c r="T248" s="429" t="s">
        <v>48</v>
      </c>
      <c r="U248" s="22"/>
      <c r="V248" s="24"/>
      <c r="W248" s="21"/>
      <c r="Y248" s="490"/>
    </row>
    <row r="249" spans="1:25" ht="30">
      <c r="A249" s="31">
        <v>246</v>
      </c>
      <c r="B249" s="22" t="s">
        <v>39</v>
      </c>
      <c r="C249" s="22" t="s">
        <v>462</v>
      </c>
      <c r="D249" s="22" t="s">
        <v>487</v>
      </c>
      <c r="E249" s="23" t="s">
        <v>91</v>
      </c>
      <c r="F249" s="22" t="s">
        <v>98</v>
      </c>
      <c r="G249" s="22" t="s">
        <v>93</v>
      </c>
      <c r="H249" s="22" t="s">
        <v>30</v>
      </c>
      <c r="I249" s="22" t="s">
        <v>488</v>
      </c>
      <c r="J249" s="22" t="s">
        <v>98</v>
      </c>
      <c r="K249" s="519" t="s">
        <v>1262</v>
      </c>
      <c r="L249" s="521" t="s">
        <v>1312</v>
      </c>
      <c r="M249" s="521" t="s">
        <v>1313</v>
      </c>
      <c r="N249" s="521" t="s">
        <v>885</v>
      </c>
      <c r="O249" s="22" t="s">
        <v>465</v>
      </c>
      <c r="P249" s="69">
        <v>2017</v>
      </c>
      <c r="Q249" s="414">
        <f t="shared" ca="1" si="17"/>
        <v>0.40346333838763115</v>
      </c>
      <c r="R249" s="335">
        <f t="shared" ca="1" si="13"/>
        <v>0</v>
      </c>
      <c r="S249" s="335">
        <f t="shared" ca="1" si="14"/>
        <v>0</v>
      </c>
      <c r="T249" s="429" t="s">
        <v>48</v>
      </c>
      <c r="U249" s="22"/>
      <c r="V249" s="24"/>
      <c r="W249" s="21"/>
      <c r="Y249" s="490"/>
    </row>
    <row r="250" spans="1:25" ht="30">
      <c r="A250" s="31">
        <v>247</v>
      </c>
      <c r="B250" s="22" t="s">
        <v>39</v>
      </c>
      <c r="C250" s="22" t="s">
        <v>462</v>
      </c>
      <c r="D250" s="22" t="s">
        <v>487</v>
      </c>
      <c r="E250" s="23" t="s">
        <v>91</v>
      </c>
      <c r="F250" s="22" t="s">
        <v>99</v>
      </c>
      <c r="G250" s="22" t="s">
        <v>93</v>
      </c>
      <c r="H250" s="22" t="s">
        <v>30</v>
      </c>
      <c r="I250" s="22" t="s">
        <v>488</v>
      </c>
      <c r="J250" s="22" t="s">
        <v>99</v>
      </c>
      <c r="K250" s="519" t="s">
        <v>1262</v>
      </c>
      <c r="L250" s="521" t="s">
        <v>1314</v>
      </c>
      <c r="M250" s="521" t="s">
        <v>1315</v>
      </c>
      <c r="N250" s="521" t="s">
        <v>885</v>
      </c>
      <c r="O250" s="22" t="s">
        <v>465</v>
      </c>
      <c r="P250" s="69">
        <v>2017</v>
      </c>
      <c r="Q250" s="414">
        <f t="shared" ca="1" si="17"/>
        <v>3.1472035739340263</v>
      </c>
      <c r="R250" s="335">
        <f t="shared" ca="1" si="13"/>
        <v>0</v>
      </c>
      <c r="S250" s="335">
        <f t="shared" ca="1" si="14"/>
        <v>0</v>
      </c>
      <c r="T250" s="429" t="s">
        <v>48</v>
      </c>
      <c r="U250" s="22" t="s">
        <v>49</v>
      </c>
      <c r="V250" s="24"/>
      <c r="W250" s="21"/>
      <c r="Y250" s="490"/>
    </row>
    <row r="251" spans="1:25" ht="45">
      <c r="A251" s="31">
        <v>248</v>
      </c>
      <c r="B251" s="22" t="s">
        <v>39</v>
      </c>
      <c r="C251" s="22" t="s">
        <v>462</v>
      </c>
      <c r="D251" s="22" t="s">
        <v>489</v>
      </c>
      <c r="E251" s="23" t="s">
        <v>296</v>
      </c>
      <c r="F251" s="22" t="s">
        <v>297</v>
      </c>
      <c r="G251" s="22" t="s">
        <v>298</v>
      </c>
      <c r="H251" s="22" t="s">
        <v>30</v>
      </c>
      <c r="I251" s="22" t="s">
        <v>490</v>
      </c>
      <c r="J251" s="22" t="s">
        <v>297</v>
      </c>
      <c r="K251" s="519" t="s">
        <v>1262</v>
      </c>
      <c r="L251" s="521" t="s">
        <v>1316</v>
      </c>
      <c r="M251" s="521" t="s">
        <v>1317</v>
      </c>
      <c r="N251" s="521" t="s">
        <v>885</v>
      </c>
      <c r="O251" s="22" t="s">
        <v>465</v>
      </c>
      <c r="P251" s="69">
        <v>2017</v>
      </c>
      <c r="Q251" s="533">
        <f t="shared" ca="1" si="17"/>
        <v>7.3983662364915303E-5</v>
      </c>
      <c r="R251" s="335">
        <f t="shared" ca="1" si="13"/>
        <v>0</v>
      </c>
      <c r="S251" s="335">
        <f t="shared" ca="1" si="14"/>
        <v>0</v>
      </c>
      <c r="T251" s="429"/>
      <c r="U251" s="22"/>
      <c r="V251" s="24"/>
      <c r="W251" s="21"/>
      <c r="Y251" s="490"/>
    </row>
    <row r="252" spans="1:25" ht="45">
      <c r="A252" s="31">
        <v>249</v>
      </c>
      <c r="B252" s="22" t="s">
        <v>39</v>
      </c>
      <c r="C252" s="22" t="s">
        <v>462</v>
      </c>
      <c r="D252" s="22" t="s">
        <v>489</v>
      </c>
      <c r="E252" s="23" t="s">
        <v>296</v>
      </c>
      <c r="F252" s="22" t="s">
        <v>300</v>
      </c>
      <c r="G252" s="22" t="s">
        <v>298</v>
      </c>
      <c r="H252" s="22" t="s">
        <v>30</v>
      </c>
      <c r="I252" s="22" t="s">
        <v>490</v>
      </c>
      <c r="J252" s="22" t="s">
        <v>300</v>
      </c>
      <c r="K252" s="519" t="s">
        <v>1262</v>
      </c>
      <c r="L252" s="521" t="s">
        <v>1318</v>
      </c>
      <c r="M252" s="521" t="s">
        <v>1319</v>
      </c>
      <c r="N252" s="521" t="s">
        <v>885</v>
      </c>
      <c r="O252" s="22" t="s">
        <v>465</v>
      </c>
      <c r="P252" s="69">
        <v>2017</v>
      </c>
      <c r="Q252" s="533">
        <f t="shared" ca="1" si="17"/>
        <v>5.5459444444939428E-5</v>
      </c>
      <c r="R252" s="335">
        <f t="shared" ca="1" si="13"/>
        <v>0</v>
      </c>
      <c r="S252" s="335">
        <f t="shared" ca="1" si="14"/>
        <v>0</v>
      </c>
      <c r="T252" s="429"/>
      <c r="U252" s="22"/>
      <c r="V252" s="24"/>
      <c r="W252" s="21"/>
      <c r="Y252" s="490"/>
    </row>
    <row r="253" spans="1:25" ht="45">
      <c r="A253" s="31">
        <v>250</v>
      </c>
      <c r="B253" s="22" t="s">
        <v>39</v>
      </c>
      <c r="C253" s="22" t="s">
        <v>462</v>
      </c>
      <c r="D253" s="22" t="s">
        <v>489</v>
      </c>
      <c r="E253" s="23" t="s">
        <v>296</v>
      </c>
      <c r="F253" s="22" t="s">
        <v>301</v>
      </c>
      <c r="G253" s="22" t="s">
        <v>298</v>
      </c>
      <c r="H253" s="22" t="s">
        <v>30</v>
      </c>
      <c r="I253" s="22" t="s">
        <v>490</v>
      </c>
      <c r="J253" s="22" t="s">
        <v>301</v>
      </c>
      <c r="K253" s="519" t="s">
        <v>1262</v>
      </c>
      <c r="L253" s="521" t="s">
        <v>1320</v>
      </c>
      <c r="M253" s="521" t="s">
        <v>1321</v>
      </c>
      <c r="N253" s="521" t="s">
        <v>885</v>
      </c>
      <c r="O253" s="22" t="s">
        <v>465</v>
      </c>
      <c r="P253" s="69">
        <v>2017</v>
      </c>
      <c r="Q253" s="533">
        <f t="shared" ca="1" si="17"/>
        <v>9.7088945714961247E-5</v>
      </c>
      <c r="R253" s="335">
        <f t="shared" ca="1" si="13"/>
        <v>0</v>
      </c>
      <c r="S253" s="335">
        <f t="shared" ca="1" si="14"/>
        <v>0</v>
      </c>
      <c r="T253" s="429"/>
      <c r="U253" s="22"/>
      <c r="V253" s="24"/>
      <c r="W253" s="21"/>
      <c r="Y253" s="490"/>
    </row>
    <row r="254" spans="1:25" ht="45">
      <c r="A254" s="31">
        <v>251</v>
      </c>
      <c r="B254" s="22" t="s">
        <v>39</v>
      </c>
      <c r="C254" s="22" t="s">
        <v>462</v>
      </c>
      <c r="D254" s="22" t="s">
        <v>489</v>
      </c>
      <c r="E254" s="23" t="s">
        <v>296</v>
      </c>
      <c r="F254" s="22" t="s">
        <v>302</v>
      </c>
      <c r="G254" s="22" t="s">
        <v>298</v>
      </c>
      <c r="H254" s="22" t="s">
        <v>30</v>
      </c>
      <c r="I254" s="22" t="s">
        <v>490</v>
      </c>
      <c r="J254" s="22" t="s">
        <v>302</v>
      </c>
      <c r="K254" s="519" t="s">
        <v>1262</v>
      </c>
      <c r="L254" s="521" t="s">
        <v>1322</v>
      </c>
      <c r="M254" s="521" t="s">
        <v>1323</v>
      </c>
      <c r="N254" s="521" t="s">
        <v>885</v>
      </c>
      <c r="O254" s="22" t="s">
        <v>465</v>
      </c>
      <c r="P254" s="69">
        <v>2017</v>
      </c>
      <c r="Q254" s="533">
        <f t="shared" ca="1" si="17"/>
        <v>6.9685030868200473E-5</v>
      </c>
      <c r="R254" s="335">
        <f t="shared" ca="1" si="13"/>
        <v>0</v>
      </c>
      <c r="S254" s="335">
        <f t="shared" ca="1" si="14"/>
        <v>0</v>
      </c>
      <c r="T254" s="429"/>
      <c r="U254" s="22"/>
      <c r="V254" s="24"/>
      <c r="W254" s="21"/>
      <c r="Y254" s="490"/>
    </row>
    <row r="255" spans="1:25" ht="45">
      <c r="A255" s="31">
        <v>252</v>
      </c>
      <c r="B255" s="22" t="s">
        <v>39</v>
      </c>
      <c r="C255" s="22" t="s">
        <v>462</v>
      </c>
      <c r="D255" s="22" t="s">
        <v>489</v>
      </c>
      <c r="E255" s="23" t="s">
        <v>296</v>
      </c>
      <c r="F255" s="22" t="s">
        <v>303</v>
      </c>
      <c r="G255" s="22" t="s">
        <v>298</v>
      </c>
      <c r="H255" s="22" t="s">
        <v>30</v>
      </c>
      <c r="I255" s="22" t="s">
        <v>490</v>
      </c>
      <c r="J255" s="22" t="s">
        <v>303</v>
      </c>
      <c r="K255" s="519" t="s">
        <v>1262</v>
      </c>
      <c r="L255" s="521" t="s">
        <v>1324</v>
      </c>
      <c r="M255" s="521" t="s">
        <v>1325</v>
      </c>
      <c r="N255" s="521" t="s">
        <v>885</v>
      </c>
      <c r="O255" s="22" t="s">
        <v>465</v>
      </c>
      <c r="P255" s="69">
        <v>2017</v>
      </c>
      <c r="Q255" s="533">
        <f t="shared" ca="1" si="17"/>
        <v>-6.2256861275032305E-6</v>
      </c>
      <c r="R255" s="335">
        <f t="shared" ca="1" si="13"/>
        <v>0</v>
      </c>
      <c r="S255" s="335">
        <f t="shared" ca="1" si="14"/>
        <v>0</v>
      </c>
      <c r="T255" s="429" t="s">
        <v>304</v>
      </c>
      <c r="U255" s="22" t="s">
        <v>491</v>
      </c>
      <c r="V255" s="24"/>
      <c r="W255" s="21"/>
      <c r="Y255" s="490"/>
    </row>
    <row r="256" spans="1:25" ht="45">
      <c r="A256" s="31">
        <v>253</v>
      </c>
      <c r="B256" s="22" t="s">
        <v>39</v>
      </c>
      <c r="C256" s="22" t="s">
        <v>462</v>
      </c>
      <c r="D256" s="22" t="s">
        <v>489</v>
      </c>
      <c r="E256" s="23" t="s">
        <v>296</v>
      </c>
      <c r="F256" s="22" t="s">
        <v>305</v>
      </c>
      <c r="G256" s="22" t="s">
        <v>298</v>
      </c>
      <c r="H256" s="22" t="s">
        <v>30</v>
      </c>
      <c r="I256" s="22" t="s">
        <v>490</v>
      </c>
      <c r="J256" s="22" t="s">
        <v>305</v>
      </c>
      <c r="K256" s="519" t="s">
        <v>1262</v>
      </c>
      <c r="L256" s="521" t="s">
        <v>1326</v>
      </c>
      <c r="M256" s="521" t="s">
        <v>1327</v>
      </c>
      <c r="N256" s="521" t="s">
        <v>885</v>
      </c>
      <c r="O256" s="22" t="s">
        <v>465</v>
      </c>
      <c r="P256" s="69">
        <v>2017</v>
      </c>
      <c r="Q256" s="533">
        <f t="shared" ca="1" si="17"/>
        <v>-4.6690991067663614E-6</v>
      </c>
      <c r="R256" s="335">
        <f t="shared" ca="1" si="13"/>
        <v>0</v>
      </c>
      <c r="S256" s="335">
        <f t="shared" ca="1" si="14"/>
        <v>0</v>
      </c>
      <c r="T256" s="429" t="s">
        <v>304</v>
      </c>
      <c r="U256" s="22" t="s">
        <v>491</v>
      </c>
      <c r="V256" s="24"/>
      <c r="W256" s="21"/>
      <c r="Y256" s="490"/>
    </row>
    <row r="257" spans="1:25" ht="45">
      <c r="A257" s="31">
        <v>254</v>
      </c>
      <c r="B257" s="22" t="s">
        <v>39</v>
      </c>
      <c r="C257" s="22" t="s">
        <v>462</v>
      </c>
      <c r="D257" s="22" t="s">
        <v>489</v>
      </c>
      <c r="E257" s="23" t="s">
        <v>296</v>
      </c>
      <c r="F257" s="22" t="s">
        <v>306</v>
      </c>
      <c r="G257" s="22" t="s">
        <v>298</v>
      </c>
      <c r="H257" s="22" t="s">
        <v>30</v>
      </c>
      <c r="I257" s="22" t="s">
        <v>490</v>
      </c>
      <c r="J257" s="22" t="s">
        <v>306</v>
      </c>
      <c r="K257" s="519" t="s">
        <v>1262</v>
      </c>
      <c r="L257" s="521" t="s">
        <v>1328</v>
      </c>
      <c r="M257" s="521" t="s">
        <v>1329</v>
      </c>
      <c r="N257" s="521" t="s">
        <v>885</v>
      </c>
      <c r="O257" s="22" t="s">
        <v>465</v>
      </c>
      <c r="P257" s="69">
        <v>2017</v>
      </c>
      <c r="Q257" s="533">
        <f t="shared" ca="1" si="17"/>
        <v>7.6265768169656435E-4</v>
      </c>
      <c r="R257" s="335">
        <f t="shared" ca="1" si="13"/>
        <v>0</v>
      </c>
      <c r="S257" s="335">
        <f t="shared" ca="1" si="14"/>
        <v>0</v>
      </c>
      <c r="T257" s="429"/>
      <c r="U257" s="22"/>
      <c r="V257" s="24"/>
      <c r="W257" s="21"/>
      <c r="Y257" s="490"/>
    </row>
    <row r="258" spans="1:25" ht="45">
      <c r="A258" s="31">
        <v>255</v>
      </c>
      <c r="B258" s="22" t="s">
        <v>39</v>
      </c>
      <c r="C258" s="22" t="s">
        <v>462</v>
      </c>
      <c r="D258" s="22" t="s">
        <v>489</v>
      </c>
      <c r="E258" s="23" t="s">
        <v>296</v>
      </c>
      <c r="F258" s="22" t="s">
        <v>307</v>
      </c>
      <c r="G258" s="22" t="s">
        <v>298</v>
      </c>
      <c r="H258" s="22" t="s">
        <v>30</v>
      </c>
      <c r="I258" s="22" t="s">
        <v>490</v>
      </c>
      <c r="J258" s="22" t="s">
        <v>307</v>
      </c>
      <c r="K258" s="519" t="s">
        <v>1262</v>
      </c>
      <c r="L258" s="521" t="s">
        <v>1330</v>
      </c>
      <c r="M258" s="521" t="s">
        <v>1331</v>
      </c>
      <c r="N258" s="521" t="s">
        <v>885</v>
      </c>
      <c r="O258" s="22" t="s">
        <v>465</v>
      </c>
      <c r="P258" s="69">
        <v>2017</v>
      </c>
      <c r="Q258" s="533">
        <f t="shared" ca="1" si="17"/>
        <v>5.7185174523948336E-4</v>
      </c>
      <c r="R258" s="335">
        <f t="shared" ca="1" si="13"/>
        <v>0</v>
      </c>
      <c r="S258" s="335">
        <f t="shared" ca="1" si="14"/>
        <v>0</v>
      </c>
      <c r="T258" s="429"/>
      <c r="U258" s="22"/>
      <c r="V258" s="24"/>
      <c r="W258" s="21"/>
      <c r="Y258" s="490"/>
    </row>
    <row r="259" spans="1:25" ht="45">
      <c r="A259" s="31">
        <v>256</v>
      </c>
      <c r="B259" s="22" t="s">
        <v>39</v>
      </c>
      <c r="C259" s="22" t="s">
        <v>462</v>
      </c>
      <c r="D259" s="22" t="s">
        <v>489</v>
      </c>
      <c r="E259" s="23" t="s">
        <v>296</v>
      </c>
      <c r="F259" s="22" t="s">
        <v>308</v>
      </c>
      <c r="G259" s="22" t="s">
        <v>298</v>
      </c>
      <c r="H259" s="22" t="s">
        <v>30</v>
      </c>
      <c r="I259" s="22" t="s">
        <v>490</v>
      </c>
      <c r="J259" s="22" t="s">
        <v>308</v>
      </c>
      <c r="K259" s="519" t="s">
        <v>1262</v>
      </c>
      <c r="L259" s="521" t="s">
        <v>1332</v>
      </c>
      <c r="M259" s="521" t="s">
        <v>1333</v>
      </c>
      <c r="N259" s="521" t="s">
        <v>885</v>
      </c>
      <c r="O259" s="22" t="s">
        <v>465</v>
      </c>
      <c r="P259" s="69">
        <v>2017</v>
      </c>
      <c r="Q259" s="533">
        <f ca="1">SUMIF(INDIRECT("'"&amp;K259&amp;"'!c:c"),A259,INDIRECT("'"&amp;K259&amp;"'!e:e"))</f>
        <v>1.0579830304444659E-3</v>
      </c>
      <c r="R259" s="335">
        <f t="shared" ref="R259:R305" ca="1" si="18">IF($N259 = "N","N/A",SUMIF(INDIRECT("'"&amp;K259&amp;"'!i:i"),L259,INDIRECT("'"&amp;K259&amp;"'!l:l")))</f>
        <v>0</v>
      </c>
      <c r="S259" s="335">
        <f t="shared" ref="S259:S305" ca="1" si="19">IF($N259 = "N","N/A",SUMIF(INDIRECT("'"&amp;K259&amp;"'!i:i"),M259,INDIRECT("'"&amp;K259&amp;"'!l:l")))</f>
        <v>0</v>
      </c>
      <c r="T259" s="429"/>
      <c r="U259" s="22"/>
      <c r="V259" s="24"/>
      <c r="W259" s="21"/>
      <c r="Y259" s="490"/>
    </row>
    <row r="260" spans="1:25" ht="45">
      <c r="A260" s="31">
        <v>257</v>
      </c>
      <c r="B260" s="22" t="s">
        <v>39</v>
      </c>
      <c r="C260" s="22" t="s">
        <v>462</v>
      </c>
      <c r="D260" s="22" t="s">
        <v>489</v>
      </c>
      <c r="E260" s="23" t="s">
        <v>296</v>
      </c>
      <c r="F260" s="22" t="s">
        <v>309</v>
      </c>
      <c r="G260" s="22" t="s">
        <v>298</v>
      </c>
      <c r="H260" s="22" t="s">
        <v>30</v>
      </c>
      <c r="I260" s="22" t="s">
        <v>490</v>
      </c>
      <c r="J260" s="22" t="s">
        <v>309</v>
      </c>
      <c r="K260" s="519" t="s">
        <v>1262</v>
      </c>
      <c r="L260" s="521" t="s">
        <v>1334</v>
      </c>
      <c r="M260" s="521" t="s">
        <v>1335</v>
      </c>
      <c r="N260" s="521" t="s">
        <v>885</v>
      </c>
      <c r="O260" s="22" t="s">
        <v>465</v>
      </c>
      <c r="P260" s="69">
        <v>2017</v>
      </c>
      <c r="Q260" s="533">
        <f t="shared" ca="1" si="17"/>
        <v>7.5603050130675499E-4</v>
      </c>
      <c r="R260" s="335">
        <f t="shared" ca="1" si="18"/>
        <v>0</v>
      </c>
      <c r="S260" s="335">
        <f t="shared" ca="1" si="19"/>
        <v>0</v>
      </c>
      <c r="T260" s="429"/>
      <c r="U260" s="22"/>
      <c r="V260" s="24"/>
      <c r="W260" s="21"/>
      <c r="Y260" s="490"/>
    </row>
    <row r="261" spans="1:25" ht="60">
      <c r="A261" s="31">
        <v>258</v>
      </c>
      <c r="B261" s="22" t="s">
        <v>39</v>
      </c>
      <c r="C261" s="22" t="s">
        <v>462</v>
      </c>
      <c r="D261" s="22" t="s">
        <v>489</v>
      </c>
      <c r="E261" s="23" t="s">
        <v>296</v>
      </c>
      <c r="F261" s="22" t="s">
        <v>310</v>
      </c>
      <c r="G261" s="22" t="s">
        <v>298</v>
      </c>
      <c r="H261" s="22" t="s">
        <v>30</v>
      </c>
      <c r="I261" s="22" t="s">
        <v>490</v>
      </c>
      <c r="J261" s="22" t="s">
        <v>310</v>
      </c>
      <c r="K261" s="519" t="s">
        <v>1262</v>
      </c>
      <c r="L261" s="521" t="s">
        <v>1336</v>
      </c>
      <c r="M261" s="521" t="s">
        <v>1337</v>
      </c>
      <c r="N261" s="521" t="s">
        <v>885</v>
      </c>
      <c r="O261" s="22" t="s">
        <v>465</v>
      </c>
      <c r="P261" s="69">
        <v>2017</v>
      </c>
      <c r="Q261" s="533">
        <f t="shared" ca="1" si="17"/>
        <v>-6.4681448583369343E-5</v>
      </c>
      <c r="R261" s="335">
        <f t="shared" ca="1" si="18"/>
        <v>0</v>
      </c>
      <c r="S261" s="335">
        <f t="shared" ca="1" si="19"/>
        <v>0</v>
      </c>
      <c r="T261" s="429" t="s">
        <v>304</v>
      </c>
      <c r="U261" s="22" t="s">
        <v>491</v>
      </c>
      <c r="V261" s="24"/>
      <c r="W261" s="21"/>
      <c r="Y261" s="490"/>
    </row>
    <row r="262" spans="1:25" ht="45">
      <c r="A262" s="100">
        <v>259</v>
      </c>
      <c r="B262" s="22" t="s">
        <v>39</v>
      </c>
      <c r="C262" s="22" t="s">
        <v>462</v>
      </c>
      <c r="D262" s="22" t="s">
        <v>489</v>
      </c>
      <c r="E262" s="23" t="s">
        <v>296</v>
      </c>
      <c r="F262" s="101" t="s">
        <v>311</v>
      </c>
      <c r="G262" s="101" t="s">
        <v>298</v>
      </c>
      <c r="H262" s="101" t="s">
        <v>30</v>
      </c>
      <c r="I262" s="101" t="s">
        <v>490</v>
      </c>
      <c r="J262" s="101" t="s">
        <v>311</v>
      </c>
      <c r="K262" s="519" t="s">
        <v>1262</v>
      </c>
      <c r="L262" s="521" t="s">
        <v>1338</v>
      </c>
      <c r="M262" s="521" t="s">
        <v>1339</v>
      </c>
      <c r="N262" s="521" t="s">
        <v>885</v>
      </c>
      <c r="O262" s="101" t="s">
        <v>465</v>
      </c>
      <c r="P262" s="430">
        <v>2017</v>
      </c>
      <c r="Q262" s="533">
        <f t="shared" ca="1" si="17"/>
        <v>-4.851025861823749E-5</v>
      </c>
      <c r="R262" s="335">
        <f t="shared" ca="1" si="18"/>
        <v>0</v>
      </c>
      <c r="S262" s="335">
        <f t="shared" ca="1" si="19"/>
        <v>0</v>
      </c>
      <c r="T262" s="522" t="s">
        <v>304</v>
      </c>
      <c r="U262" s="101" t="s">
        <v>491</v>
      </c>
      <c r="V262" s="24"/>
      <c r="W262" s="21"/>
      <c r="Y262" s="490"/>
    </row>
    <row r="263" spans="1:25" ht="45">
      <c r="A263" s="31">
        <v>260</v>
      </c>
      <c r="B263" s="22" t="s">
        <v>39</v>
      </c>
      <c r="C263" s="22" t="s">
        <v>492</v>
      </c>
      <c r="D263" s="22" t="s">
        <v>493</v>
      </c>
      <c r="E263" s="23" t="s">
        <v>51</v>
      </c>
      <c r="F263" s="22" t="s">
        <v>52</v>
      </c>
      <c r="G263" s="22" t="s">
        <v>53</v>
      </c>
      <c r="H263" s="22" t="s">
        <v>30</v>
      </c>
      <c r="I263" s="22" t="s">
        <v>494</v>
      </c>
      <c r="J263" s="22" t="s">
        <v>52</v>
      </c>
      <c r="K263" s="519" t="s">
        <v>1340</v>
      </c>
      <c r="L263" s="521" t="s">
        <v>1341</v>
      </c>
      <c r="M263" s="521" t="s">
        <v>1342</v>
      </c>
      <c r="N263" s="521" t="s">
        <v>815</v>
      </c>
      <c r="O263" s="22" t="s">
        <v>495</v>
      </c>
      <c r="P263" s="69">
        <v>2017</v>
      </c>
      <c r="Q263" s="414">
        <f t="shared" ca="1" si="17"/>
        <v>1.3709999620914499</v>
      </c>
      <c r="R263" s="335" t="str">
        <f t="shared" ca="1" si="18"/>
        <v>N/A</v>
      </c>
      <c r="S263" s="335" t="str">
        <f t="shared" ca="1" si="19"/>
        <v>N/A</v>
      </c>
      <c r="T263" s="429" t="s">
        <v>899</v>
      </c>
      <c r="U263" s="22"/>
      <c r="V263" s="24"/>
      <c r="W263" s="21"/>
      <c r="Y263" s="490"/>
    </row>
    <row r="264" spans="1:25" ht="45">
      <c r="A264" s="31">
        <v>261</v>
      </c>
      <c r="B264" s="22" t="s">
        <v>39</v>
      </c>
      <c r="C264" s="22" t="s">
        <v>492</v>
      </c>
      <c r="D264" s="22" t="s">
        <v>493</v>
      </c>
      <c r="E264" s="23" t="s">
        <v>51</v>
      </c>
      <c r="F264" s="22" t="s">
        <v>55</v>
      </c>
      <c r="G264" s="22" t="s">
        <v>53</v>
      </c>
      <c r="H264" s="22" t="s">
        <v>30</v>
      </c>
      <c r="I264" s="22" t="s">
        <v>494</v>
      </c>
      <c r="J264" s="22" t="s">
        <v>55</v>
      </c>
      <c r="K264" s="519" t="s">
        <v>1340</v>
      </c>
      <c r="L264" s="521" t="s">
        <v>1343</v>
      </c>
      <c r="M264" s="521" t="s">
        <v>1344</v>
      </c>
      <c r="N264" s="521" t="s">
        <v>815</v>
      </c>
      <c r="O264" s="22" t="s">
        <v>495</v>
      </c>
      <c r="P264" s="69">
        <v>2017</v>
      </c>
      <c r="Q264" s="414">
        <f t="shared" ca="1" si="17"/>
        <v>1.3161600005851699</v>
      </c>
      <c r="R264" s="335" t="str">
        <f t="shared" ca="1" si="18"/>
        <v>N/A</v>
      </c>
      <c r="S264" s="335" t="str">
        <f t="shared" ca="1" si="19"/>
        <v>N/A</v>
      </c>
      <c r="T264" s="429" t="s">
        <v>899</v>
      </c>
      <c r="U264" s="22"/>
      <c r="V264" s="24"/>
      <c r="W264" s="21"/>
      <c r="Y264" s="490"/>
    </row>
    <row r="265" spans="1:25" ht="45">
      <c r="A265" s="31">
        <v>262</v>
      </c>
      <c r="B265" s="22" t="s">
        <v>39</v>
      </c>
      <c r="C265" s="22" t="s">
        <v>492</v>
      </c>
      <c r="D265" s="22" t="s">
        <v>493</v>
      </c>
      <c r="E265" s="23" t="s">
        <v>51</v>
      </c>
      <c r="F265" s="22" t="s">
        <v>56</v>
      </c>
      <c r="G265" s="22" t="s">
        <v>53</v>
      </c>
      <c r="H265" s="22" t="s">
        <v>30</v>
      </c>
      <c r="I265" s="22" t="s">
        <v>494</v>
      </c>
      <c r="J265" s="22" t="s">
        <v>56</v>
      </c>
      <c r="K265" s="519" t="s">
        <v>1340</v>
      </c>
      <c r="L265" s="521" t="s">
        <v>1345</v>
      </c>
      <c r="M265" s="521" t="s">
        <v>1346</v>
      </c>
      <c r="N265" s="521" t="s">
        <v>815</v>
      </c>
      <c r="O265" s="22" t="s">
        <v>495</v>
      </c>
      <c r="P265" s="69">
        <v>2017</v>
      </c>
      <c r="Q265" s="414">
        <f t="shared" ca="1" si="17"/>
        <v>33246.484862297773</v>
      </c>
      <c r="R265" s="335" t="str">
        <f t="shared" ca="1" si="18"/>
        <v>N/A</v>
      </c>
      <c r="S265" s="335" t="str">
        <f t="shared" ca="1" si="19"/>
        <v>N/A</v>
      </c>
      <c r="T265" s="429" t="s">
        <v>899</v>
      </c>
      <c r="U265" s="22"/>
      <c r="V265" s="24"/>
      <c r="W265" s="21"/>
      <c r="Y265" s="490"/>
    </row>
    <row r="266" spans="1:25" ht="45">
      <c r="A266" s="31">
        <v>263</v>
      </c>
      <c r="B266" s="22" t="s">
        <v>39</v>
      </c>
      <c r="C266" s="22" t="s">
        <v>492</v>
      </c>
      <c r="D266" s="22" t="s">
        <v>493</v>
      </c>
      <c r="E266" s="23" t="s">
        <v>51</v>
      </c>
      <c r="F266" s="22" t="s">
        <v>57</v>
      </c>
      <c r="G266" s="22" t="s">
        <v>53</v>
      </c>
      <c r="H266" s="22" t="s">
        <v>30</v>
      </c>
      <c r="I266" s="22" t="s">
        <v>494</v>
      </c>
      <c r="J266" s="22" t="s">
        <v>57</v>
      </c>
      <c r="K266" s="519" t="s">
        <v>1340</v>
      </c>
      <c r="L266" s="521" t="s">
        <v>1347</v>
      </c>
      <c r="M266" s="521" t="s">
        <v>1348</v>
      </c>
      <c r="N266" s="521" t="s">
        <v>815</v>
      </c>
      <c r="O266" s="22" t="s">
        <v>495</v>
      </c>
      <c r="P266" s="69">
        <v>2017</v>
      </c>
      <c r="Q266" s="414">
        <f t="shared" ca="1" si="17"/>
        <v>24144.809678673868</v>
      </c>
      <c r="R266" s="335" t="str">
        <f t="shared" ca="1" si="18"/>
        <v>N/A</v>
      </c>
      <c r="S266" s="335" t="str">
        <f t="shared" ca="1" si="19"/>
        <v>N/A</v>
      </c>
      <c r="T266" s="429" t="s">
        <v>899</v>
      </c>
      <c r="U266" s="22"/>
      <c r="V266" s="24"/>
      <c r="W266" s="21"/>
      <c r="Y266" s="490"/>
    </row>
    <row r="267" spans="1:25" ht="45">
      <c r="A267" s="31">
        <v>264</v>
      </c>
      <c r="B267" s="22" t="s">
        <v>39</v>
      </c>
      <c r="C267" s="22" t="s">
        <v>492</v>
      </c>
      <c r="D267" s="22" t="s">
        <v>493</v>
      </c>
      <c r="E267" s="23" t="s">
        <v>51</v>
      </c>
      <c r="F267" s="22" t="s">
        <v>58</v>
      </c>
      <c r="G267" s="22" t="s">
        <v>53</v>
      </c>
      <c r="H267" s="22" t="s">
        <v>30</v>
      </c>
      <c r="I267" s="22" t="s">
        <v>494</v>
      </c>
      <c r="J267" s="22" t="s">
        <v>58</v>
      </c>
      <c r="K267" s="519" t="s">
        <v>1340</v>
      </c>
      <c r="L267" s="521" t="s">
        <v>1349</v>
      </c>
      <c r="M267" s="521" t="s">
        <v>1350</v>
      </c>
      <c r="N267" s="521" t="s">
        <v>815</v>
      </c>
      <c r="O267" s="22" t="s">
        <v>495</v>
      </c>
      <c r="P267" s="69">
        <v>2017</v>
      </c>
      <c r="Q267" s="414">
        <f t="shared" ca="1" si="17"/>
        <v>66514.941511273457</v>
      </c>
      <c r="R267" s="335" t="str">
        <f t="shared" ca="1" si="18"/>
        <v>N/A</v>
      </c>
      <c r="S267" s="335" t="str">
        <f t="shared" ca="1" si="19"/>
        <v>N/A</v>
      </c>
      <c r="T267" s="429" t="s">
        <v>899</v>
      </c>
      <c r="U267" s="22" t="s">
        <v>49</v>
      </c>
      <c r="V267" s="24"/>
      <c r="W267" s="21"/>
      <c r="Y267" s="490"/>
    </row>
    <row r="268" spans="1:25" ht="45">
      <c r="A268" s="31">
        <v>265</v>
      </c>
      <c r="B268" s="22" t="s">
        <v>39</v>
      </c>
      <c r="C268" s="22" t="s">
        <v>492</v>
      </c>
      <c r="D268" s="22" t="s">
        <v>493</v>
      </c>
      <c r="E268" s="23" t="s">
        <v>51</v>
      </c>
      <c r="F268" s="22" t="s">
        <v>60</v>
      </c>
      <c r="G268" s="22" t="s">
        <v>53</v>
      </c>
      <c r="H268" s="22" t="s">
        <v>30</v>
      </c>
      <c r="I268" s="22" t="s">
        <v>494</v>
      </c>
      <c r="J268" s="22" t="s">
        <v>60</v>
      </c>
      <c r="K268" s="519" t="s">
        <v>1340</v>
      </c>
      <c r="L268" s="521" t="s">
        <v>1351</v>
      </c>
      <c r="M268" s="521" t="s">
        <v>1352</v>
      </c>
      <c r="N268" s="521" t="s">
        <v>815</v>
      </c>
      <c r="O268" s="22" t="s">
        <v>495</v>
      </c>
      <c r="P268" s="69">
        <v>2017</v>
      </c>
      <c r="Q268" s="414">
        <f t="shared" ca="1" si="17"/>
        <v>45224.473159542111</v>
      </c>
      <c r="R268" s="335" t="str">
        <f t="shared" ca="1" si="18"/>
        <v>N/A</v>
      </c>
      <c r="S268" s="335" t="str">
        <f t="shared" ca="1" si="19"/>
        <v>N/A</v>
      </c>
      <c r="T268" s="429" t="s">
        <v>899</v>
      </c>
      <c r="U268" s="22" t="s">
        <v>49</v>
      </c>
      <c r="V268" s="24"/>
      <c r="W268" s="21"/>
      <c r="Y268" s="490"/>
    </row>
    <row r="269" spans="1:25" ht="45">
      <c r="A269" s="31">
        <v>266</v>
      </c>
      <c r="B269" s="22" t="s">
        <v>39</v>
      </c>
      <c r="C269" s="22" t="s">
        <v>492</v>
      </c>
      <c r="D269" s="22" t="s">
        <v>493</v>
      </c>
      <c r="E269" s="23" t="s">
        <v>51</v>
      </c>
      <c r="F269" s="22" t="s">
        <v>61</v>
      </c>
      <c r="G269" s="22" t="s">
        <v>53</v>
      </c>
      <c r="H269" s="22" t="s">
        <v>30</v>
      </c>
      <c r="I269" s="22" t="s">
        <v>494</v>
      </c>
      <c r="J269" s="22" t="s">
        <v>61</v>
      </c>
      <c r="K269" s="519" t="s">
        <v>1340</v>
      </c>
      <c r="L269" s="521" t="s">
        <v>1353</v>
      </c>
      <c r="M269" s="521" t="s">
        <v>1354</v>
      </c>
      <c r="N269" s="521" t="s">
        <v>815</v>
      </c>
      <c r="O269" s="22" t="s">
        <v>495</v>
      </c>
      <c r="P269" s="69">
        <v>2017</v>
      </c>
      <c r="Q269" s="414">
        <f t="shared" ca="1" si="17"/>
        <v>12.8873991206646</v>
      </c>
      <c r="R269" s="335" t="str">
        <f t="shared" ca="1" si="18"/>
        <v>N/A</v>
      </c>
      <c r="S269" s="335" t="str">
        <f t="shared" ca="1" si="19"/>
        <v>N/A</v>
      </c>
      <c r="T269" s="429" t="s">
        <v>899</v>
      </c>
      <c r="U269" s="22"/>
      <c r="V269" s="24"/>
      <c r="W269" s="21"/>
      <c r="Y269" s="490"/>
    </row>
    <row r="270" spans="1:25" ht="45">
      <c r="A270" s="31">
        <v>267</v>
      </c>
      <c r="B270" s="22" t="s">
        <v>39</v>
      </c>
      <c r="C270" s="22" t="s">
        <v>492</v>
      </c>
      <c r="D270" s="22" t="s">
        <v>493</v>
      </c>
      <c r="E270" s="23" t="s">
        <v>51</v>
      </c>
      <c r="F270" s="22" t="s">
        <v>62</v>
      </c>
      <c r="G270" s="22" t="s">
        <v>53</v>
      </c>
      <c r="H270" s="22" t="s">
        <v>30</v>
      </c>
      <c r="I270" s="22" t="s">
        <v>494</v>
      </c>
      <c r="J270" s="22" t="s">
        <v>62</v>
      </c>
      <c r="K270" s="519" t="s">
        <v>1340</v>
      </c>
      <c r="L270" s="521" t="s">
        <v>1355</v>
      </c>
      <c r="M270" s="521" t="s">
        <v>1356</v>
      </c>
      <c r="N270" s="521" t="s">
        <v>815</v>
      </c>
      <c r="O270" s="22" t="s">
        <v>495</v>
      </c>
      <c r="P270" s="69">
        <v>2017</v>
      </c>
      <c r="Q270" s="414">
        <f t="shared" ca="1" si="17"/>
        <v>12.371903503425401</v>
      </c>
      <c r="R270" s="335" t="str">
        <f t="shared" ca="1" si="18"/>
        <v>N/A</v>
      </c>
      <c r="S270" s="335" t="str">
        <f t="shared" ca="1" si="19"/>
        <v>N/A</v>
      </c>
      <c r="T270" s="429" t="s">
        <v>899</v>
      </c>
      <c r="U270" s="22"/>
      <c r="V270" s="24"/>
      <c r="W270" s="21"/>
      <c r="Y270" s="490"/>
    </row>
    <row r="271" spans="1:25" ht="45">
      <c r="A271" s="31">
        <v>268</v>
      </c>
      <c r="B271" s="22" t="s">
        <v>39</v>
      </c>
      <c r="C271" s="22" t="s">
        <v>492</v>
      </c>
      <c r="D271" s="22" t="s">
        <v>493</v>
      </c>
      <c r="E271" s="23" t="s">
        <v>51</v>
      </c>
      <c r="F271" s="22" t="s">
        <v>63</v>
      </c>
      <c r="G271" s="22" t="s">
        <v>53</v>
      </c>
      <c r="H271" s="22" t="s">
        <v>30</v>
      </c>
      <c r="I271" s="22" t="s">
        <v>494</v>
      </c>
      <c r="J271" s="22" t="s">
        <v>63</v>
      </c>
      <c r="K271" s="519" t="s">
        <v>1340</v>
      </c>
      <c r="L271" s="521" t="s">
        <v>1357</v>
      </c>
      <c r="M271" s="521" t="s">
        <v>1358</v>
      </c>
      <c r="N271" s="521" t="s">
        <v>815</v>
      </c>
      <c r="O271" s="22" t="s">
        <v>495</v>
      </c>
      <c r="P271" s="69">
        <v>2017</v>
      </c>
      <c r="Q271" s="414">
        <f t="shared" ca="1" si="17"/>
        <v>98792.021732779656</v>
      </c>
      <c r="R271" s="335" t="str">
        <f t="shared" ca="1" si="18"/>
        <v>N/A</v>
      </c>
      <c r="S271" s="335" t="str">
        <f t="shared" ca="1" si="19"/>
        <v>N/A</v>
      </c>
      <c r="T271" s="429" t="s">
        <v>899</v>
      </c>
      <c r="U271" s="22"/>
      <c r="V271" s="24"/>
      <c r="W271" s="21"/>
      <c r="Y271" s="490"/>
    </row>
    <row r="272" spans="1:25" ht="45">
      <c r="A272" s="31">
        <v>269</v>
      </c>
      <c r="B272" s="22" t="s">
        <v>39</v>
      </c>
      <c r="C272" s="22" t="s">
        <v>492</v>
      </c>
      <c r="D272" s="22" t="s">
        <v>493</v>
      </c>
      <c r="E272" s="23" t="s">
        <v>51</v>
      </c>
      <c r="F272" s="22" t="s">
        <v>64</v>
      </c>
      <c r="G272" s="22" t="s">
        <v>53</v>
      </c>
      <c r="H272" s="22" t="s">
        <v>30</v>
      </c>
      <c r="I272" s="22" t="s">
        <v>494</v>
      </c>
      <c r="J272" s="22" t="s">
        <v>64</v>
      </c>
      <c r="K272" s="519" t="s">
        <v>1340</v>
      </c>
      <c r="L272" s="521" t="s">
        <v>1359</v>
      </c>
      <c r="M272" s="521" t="s">
        <v>1360</v>
      </c>
      <c r="N272" s="521" t="s">
        <v>815</v>
      </c>
      <c r="O272" s="22" t="s">
        <v>495</v>
      </c>
      <c r="P272" s="69">
        <v>2017</v>
      </c>
      <c r="Q272" s="414">
        <f t="shared" ca="1" si="17"/>
        <v>81628.25479150434</v>
      </c>
      <c r="R272" s="335" t="str">
        <f t="shared" ca="1" si="18"/>
        <v>N/A</v>
      </c>
      <c r="S272" s="335" t="str">
        <f t="shared" ca="1" si="19"/>
        <v>N/A</v>
      </c>
      <c r="T272" s="429" t="s">
        <v>899</v>
      </c>
      <c r="U272" s="22"/>
      <c r="V272" s="24"/>
      <c r="W272" s="21"/>
      <c r="Y272" s="490"/>
    </row>
    <row r="273" spans="1:25" ht="45">
      <c r="A273" s="31">
        <v>270</v>
      </c>
      <c r="B273" s="22" t="s">
        <v>39</v>
      </c>
      <c r="C273" s="22" t="s">
        <v>492</v>
      </c>
      <c r="D273" s="22" t="s">
        <v>493</v>
      </c>
      <c r="E273" s="23" t="s">
        <v>51</v>
      </c>
      <c r="F273" s="22" t="s">
        <v>65</v>
      </c>
      <c r="G273" s="22" t="s">
        <v>53</v>
      </c>
      <c r="H273" s="22" t="s">
        <v>30</v>
      </c>
      <c r="I273" s="22" t="s">
        <v>494</v>
      </c>
      <c r="J273" s="22" t="s">
        <v>65</v>
      </c>
      <c r="K273" s="519" t="s">
        <v>1340</v>
      </c>
      <c r="L273" s="521" t="s">
        <v>1361</v>
      </c>
      <c r="M273" s="521" t="s">
        <v>1362</v>
      </c>
      <c r="N273" s="521" t="s">
        <v>815</v>
      </c>
      <c r="O273" s="22" t="s">
        <v>495</v>
      </c>
      <c r="P273" s="69">
        <v>2017</v>
      </c>
      <c r="Q273" s="414">
        <f t="shared" ca="1" si="17"/>
        <v>112919.01675275473</v>
      </c>
      <c r="R273" s="335" t="str">
        <f t="shared" ca="1" si="18"/>
        <v>N/A</v>
      </c>
      <c r="S273" s="335" t="str">
        <f t="shared" ca="1" si="19"/>
        <v>N/A</v>
      </c>
      <c r="T273" s="429" t="s">
        <v>899</v>
      </c>
      <c r="U273" s="22" t="s">
        <v>49</v>
      </c>
      <c r="V273" s="24"/>
      <c r="W273" s="21"/>
      <c r="Y273" s="490"/>
    </row>
    <row r="274" spans="1:25" ht="45">
      <c r="A274" s="31">
        <v>271</v>
      </c>
      <c r="B274" s="22" t="s">
        <v>39</v>
      </c>
      <c r="C274" s="22" t="s">
        <v>492</v>
      </c>
      <c r="D274" s="22" t="s">
        <v>493</v>
      </c>
      <c r="E274" s="23" t="s">
        <v>51</v>
      </c>
      <c r="F274" s="22" t="s">
        <v>66</v>
      </c>
      <c r="G274" s="22" t="s">
        <v>53</v>
      </c>
      <c r="H274" s="22" t="s">
        <v>30</v>
      </c>
      <c r="I274" s="22" t="s">
        <v>494</v>
      </c>
      <c r="J274" s="22" t="s">
        <v>66</v>
      </c>
      <c r="K274" s="519" t="s">
        <v>1340</v>
      </c>
      <c r="L274" s="521" t="s">
        <v>1363</v>
      </c>
      <c r="M274" s="521" t="s">
        <v>1364</v>
      </c>
      <c r="N274" s="521" t="s">
        <v>815</v>
      </c>
      <c r="O274" s="22" t="s">
        <v>495</v>
      </c>
      <c r="P274" s="69">
        <v>2017</v>
      </c>
      <c r="Q274" s="414">
        <f t="shared" ca="1" si="17"/>
        <v>76731.475014908487</v>
      </c>
      <c r="R274" s="335" t="str">
        <f t="shared" ca="1" si="18"/>
        <v>N/A</v>
      </c>
      <c r="S274" s="335" t="str">
        <f t="shared" ca="1" si="19"/>
        <v>N/A</v>
      </c>
      <c r="T274" s="429" t="s">
        <v>899</v>
      </c>
      <c r="U274" s="22" t="s">
        <v>49</v>
      </c>
      <c r="V274" s="24"/>
      <c r="W274" s="21"/>
      <c r="Y274" s="490"/>
    </row>
    <row r="275" spans="1:25" ht="30">
      <c r="A275" s="31">
        <v>272</v>
      </c>
      <c r="B275" s="22" t="s">
        <v>39</v>
      </c>
      <c r="C275" s="22" t="s">
        <v>492</v>
      </c>
      <c r="D275" s="22" t="s">
        <v>496</v>
      </c>
      <c r="E275" s="23" t="s">
        <v>42</v>
      </c>
      <c r="F275" s="22" t="s">
        <v>43</v>
      </c>
      <c r="G275" s="22" t="s">
        <v>44</v>
      </c>
      <c r="H275" s="22" t="s">
        <v>30</v>
      </c>
      <c r="I275" s="22" t="s">
        <v>497</v>
      </c>
      <c r="J275" s="22" t="s">
        <v>46</v>
      </c>
      <c r="K275" s="519" t="s">
        <v>1340</v>
      </c>
      <c r="L275" s="521" t="s">
        <v>1365</v>
      </c>
      <c r="M275" s="521" t="s">
        <v>1366</v>
      </c>
      <c r="N275" s="521" t="s">
        <v>815</v>
      </c>
      <c r="O275" s="22" t="s">
        <v>495</v>
      </c>
      <c r="P275" s="69">
        <v>2017</v>
      </c>
      <c r="Q275" s="414">
        <f t="shared" ca="1" si="17"/>
        <v>256.76008818839563</v>
      </c>
      <c r="R275" s="335" t="str">
        <f t="shared" ca="1" si="18"/>
        <v>N/A</v>
      </c>
      <c r="S275" s="335" t="str">
        <f t="shared" ca="1" si="19"/>
        <v>N/A</v>
      </c>
      <c r="T275" s="429" t="s">
        <v>48</v>
      </c>
      <c r="U275" s="22"/>
      <c r="V275" s="24"/>
      <c r="W275" s="21"/>
      <c r="Y275" s="490"/>
    </row>
    <row r="276" spans="1:25" ht="90">
      <c r="A276" s="31">
        <v>273</v>
      </c>
      <c r="B276" s="22" t="s">
        <v>39</v>
      </c>
      <c r="C276" s="22" t="s">
        <v>492</v>
      </c>
      <c r="D276" s="22" t="s">
        <v>498</v>
      </c>
      <c r="E276" s="23" t="s">
        <v>499</v>
      </c>
      <c r="F276" s="22" t="s">
        <v>142</v>
      </c>
      <c r="G276" s="22" t="s">
        <v>143</v>
      </c>
      <c r="H276" s="22" t="s">
        <v>30</v>
      </c>
      <c r="I276" s="22" t="s">
        <v>500</v>
      </c>
      <c r="J276" s="22" t="s">
        <v>501</v>
      </c>
      <c r="K276" s="519" t="s">
        <v>1340</v>
      </c>
      <c r="L276" s="521" t="s">
        <v>1367</v>
      </c>
      <c r="M276" s="521" t="s">
        <v>1368</v>
      </c>
      <c r="N276" s="521" t="s">
        <v>885</v>
      </c>
      <c r="O276" s="22" t="s">
        <v>495</v>
      </c>
      <c r="P276" s="69">
        <v>2017</v>
      </c>
      <c r="Q276" s="533">
        <f t="shared" ca="1" si="17"/>
        <v>3.0303030303030304E-2</v>
      </c>
      <c r="R276" s="335">
        <f t="shared" ca="1" si="18"/>
        <v>0</v>
      </c>
      <c r="S276" s="335">
        <f t="shared" ca="1" si="19"/>
        <v>0</v>
      </c>
      <c r="T276" s="429" t="s">
        <v>502</v>
      </c>
      <c r="U276" s="22" t="s">
        <v>246</v>
      </c>
      <c r="V276" s="24"/>
      <c r="W276" s="21"/>
      <c r="Y276" s="490"/>
    </row>
    <row r="277" spans="1:25" ht="90">
      <c r="A277" s="31">
        <v>274</v>
      </c>
      <c r="B277" s="22" t="s">
        <v>39</v>
      </c>
      <c r="C277" s="22" t="s">
        <v>492</v>
      </c>
      <c r="D277" s="22" t="s">
        <v>498</v>
      </c>
      <c r="E277" s="23" t="s">
        <v>499</v>
      </c>
      <c r="F277" s="22" t="s">
        <v>142</v>
      </c>
      <c r="G277" s="22" t="s">
        <v>143</v>
      </c>
      <c r="H277" s="22" t="s">
        <v>30</v>
      </c>
      <c r="I277" s="22" t="s">
        <v>503</v>
      </c>
      <c r="J277" s="22" t="s">
        <v>504</v>
      </c>
      <c r="K277" s="519" t="s">
        <v>1340</v>
      </c>
      <c r="L277" s="521" t="s">
        <v>1369</v>
      </c>
      <c r="M277" s="521" t="s">
        <v>1370</v>
      </c>
      <c r="N277" s="521" t="s">
        <v>885</v>
      </c>
      <c r="O277" s="22" t="s">
        <v>495</v>
      </c>
      <c r="P277" s="69">
        <v>2017</v>
      </c>
      <c r="Q277" s="533">
        <f t="shared" ca="1" si="17"/>
        <v>4.4910179640718561E-3</v>
      </c>
      <c r="R277" s="335">
        <f t="shared" ca="1" si="18"/>
        <v>0</v>
      </c>
      <c r="S277" s="335">
        <f t="shared" ca="1" si="19"/>
        <v>0</v>
      </c>
      <c r="T277" s="429" t="s">
        <v>502</v>
      </c>
      <c r="U277" s="22" t="s">
        <v>246</v>
      </c>
      <c r="V277" s="24"/>
      <c r="W277" s="21"/>
      <c r="Y277" s="490"/>
    </row>
    <row r="278" spans="1:25" ht="90">
      <c r="A278" s="31">
        <v>275</v>
      </c>
      <c r="B278" s="22" t="s">
        <v>39</v>
      </c>
      <c r="C278" s="22" t="s">
        <v>492</v>
      </c>
      <c r="D278" s="22" t="s">
        <v>498</v>
      </c>
      <c r="E278" s="23" t="s">
        <v>499</v>
      </c>
      <c r="F278" s="22" t="s">
        <v>142</v>
      </c>
      <c r="G278" s="22" t="s">
        <v>143</v>
      </c>
      <c r="H278" s="22" t="s">
        <v>30</v>
      </c>
      <c r="I278" s="22" t="s">
        <v>505</v>
      </c>
      <c r="J278" s="22" t="s">
        <v>506</v>
      </c>
      <c r="K278" s="519" t="s">
        <v>1340</v>
      </c>
      <c r="L278" s="521" t="s">
        <v>1371</v>
      </c>
      <c r="M278" s="521" t="s">
        <v>1372</v>
      </c>
      <c r="N278" s="521" t="s">
        <v>885</v>
      </c>
      <c r="O278" s="22" t="s">
        <v>495</v>
      </c>
      <c r="P278" s="69">
        <v>2017</v>
      </c>
      <c r="Q278" s="533">
        <f t="shared" ca="1" si="17"/>
        <v>1.128668171557562E-3</v>
      </c>
      <c r="R278" s="335">
        <f t="shared" ca="1" si="18"/>
        <v>0</v>
      </c>
      <c r="S278" s="335">
        <f t="shared" ca="1" si="19"/>
        <v>0</v>
      </c>
      <c r="T278" s="429" t="s">
        <v>502</v>
      </c>
      <c r="U278" s="22" t="s">
        <v>246</v>
      </c>
      <c r="V278" s="24"/>
      <c r="W278" s="21"/>
      <c r="Y278" s="490"/>
    </row>
    <row r="279" spans="1:25" ht="30">
      <c r="A279" s="31">
        <v>276</v>
      </c>
      <c r="B279" s="22" t="s">
        <v>39</v>
      </c>
      <c r="C279" s="22" t="s">
        <v>492</v>
      </c>
      <c r="D279" s="22" t="s">
        <v>507</v>
      </c>
      <c r="E279" s="23" t="s">
        <v>91</v>
      </c>
      <c r="F279" s="22" t="s">
        <v>92</v>
      </c>
      <c r="G279" s="22" t="s">
        <v>93</v>
      </c>
      <c r="H279" s="22" t="s">
        <v>30</v>
      </c>
      <c r="I279" s="22" t="s">
        <v>508</v>
      </c>
      <c r="J279" s="22" t="s">
        <v>92</v>
      </c>
      <c r="K279" s="519" t="s">
        <v>1340</v>
      </c>
      <c r="L279" s="521" t="s">
        <v>1373</v>
      </c>
      <c r="M279" s="521" t="s">
        <v>1374</v>
      </c>
      <c r="N279" s="521" t="s">
        <v>885</v>
      </c>
      <c r="O279" s="22" t="s">
        <v>495</v>
      </c>
      <c r="P279" s="69">
        <v>2017</v>
      </c>
      <c r="Q279" s="414">
        <f t="shared" ca="1" si="17"/>
        <v>2178.6779948029844</v>
      </c>
      <c r="R279" s="335">
        <f t="shared" ca="1" si="18"/>
        <v>0</v>
      </c>
      <c r="S279" s="335">
        <f t="shared" ca="1" si="19"/>
        <v>0</v>
      </c>
      <c r="T279" s="429"/>
      <c r="U279" s="22"/>
      <c r="V279" s="24"/>
      <c r="W279" s="21"/>
      <c r="Y279" s="490"/>
    </row>
    <row r="280" spans="1:25" ht="30">
      <c r="A280" s="31">
        <v>277</v>
      </c>
      <c r="B280" s="22" t="s">
        <v>39</v>
      </c>
      <c r="C280" s="22" t="s">
        <v>492</v>
      </c>
      <c r="D280" s="22" t="s">
        <v>507</v>
      </c>
      <c r="E280" s="23" t="s">
        <v>91</v>
      </c>
      <c r="F280" s="22" t="s">
        <v>95</v>
      </c>
      <c r="G280" s="22" t="s">
        <v>93</v>
      </c>
      <c r="H280" s="22" t="s">
        <v>30</v>
      </c>
      <c r="I280" s="22" t="s">
        <v>508</v>
      </c>
      <c r="J280" s="22" t="s">
        <v>95</v>
      </c>
      <c r="K280" s="519" t="s">
        <v>1340</v>
      </c>
      <c r="L280" s="521" t="s">
        <v>1375</v>
      </c>
      <c r="M280" s="521" t="s">
        <v>1376</v>
      </c>
      <c r="N280" s="521" t="s">
        <v>885</v>
      </c>
      <c r="O280" s="22" t="s">
        <v>495</v>
      </c>
      <c r="P280" s="69">
        <v>2017</v>
      </c>
      <c r="Q280" s="414">
        <f t="shared" ca="1" si="17"/>
        <v>0.33020911675235559</v>
      </c>
      <c r="R280" s="335">
        <f t="shared" ca="1" si="18"/>
        <v>0</v>
      </c>
      <c r="S280" s="335">
        <f t="shared" ca="1" si="19"/>
        <v>0</v>
      </c>
      <c r="T280" s="429"/>
      <c r="U280" s="22"/>
      <c r="V280" s="24"/>
      <c r="W280" s="21"/>
      <c r="Y280" s="490"/>
    </row>
    <row r="281" spans="1:25" ht="30">
      <c r="A281" s="31">
        <v>278</v>
      </c>
      <c r="B281" s="22" t="s">
        <v>39</v>
      </c>
      <c r="C281" s="22" t="s">
        <v>492</v>
      </c>
      <c r="D281" s="22" t="s">
        <v>507</v>
      </c>
      <c r="E281" s="23" t="s">
        <v>91</v>
      </c>
      <c r="F281" s="22" t="s">
        <v>96</v>
      </c>
      <c r="G281" s="22" t="s">
        <v>93</v>
      </c>
      <c r="H281" s="22" t="s">
        <v>30</v>
      </c>
      <c r="I281" s="22" t="s">
        <v>508</v>
      </c>
      <c r="J281" s="22" t="s">
        <v>96</v>
      </c>
      <c r="K281" s="519" t="s">
        <v>1340</v>
      </c>
      <c r="L281" s="521" t="s">
        <v>1377</v>
      </c>
      <c r="M281" s="521" t="s">
        <v>1378</v>
      </c>
      <c r="N281" s="521" t="s">
        <v>885</v>
      </c>
      <c r="O281" s="22" t="s">
        <v>495</v>
      </c>
      <c r="P281" s="69">
        <v>2017</v>
      </c>
      <c r="Q281" s="414">
        <f t="shared" ca="1" si="17"/>
        <v>2.438699452172707</v>
      </c>
      <c r="R281" s="335">
        <f t="shared" ca="1" si="18"/>
        <v>0</v>
      </c>
      <c r="S281" s="335">
        <f t="shared" ca="1" si="19"/>
        <v>0</v>
      </c>
      <c r="T281" s="429" t="s">
        <v>48</v>
      </c>
      <c r="U281" s="22" t="s">
        <v>49</v>
      </c>
      <c r="V281" s="24"/>
      <c r="W281" s="21"/>
      <c r="Y281" s="490"/>
    </row>
    <row r="282" spans="1:25" ht="30">
      <c r="A282" s="31">
        <v>279</v>
      </c>
      <c r="B282" s="22" t="s">
        <v>39</v>
      </c>
      <c r="C282" s="22" t="s">
        <v>492</v>
      </c>
      <c r="D282" s="22" t="s">
        <v>507</v>
      </c>
      <c r="E282" s="23" t="s">
        <v>91</v>
      </c>
      <c r="F282" s="22" t="s">
        <v>97</v>
      </c>
      <c r="G282" s="22" t="s">
        <v>93</v>
      </c>
      <c r="H282" s="22" t="s">
        <v>30</v>
      </c>
      <c r="I282" s="22" t="s">
        <v>508</v>
      </c>
      <c r="J282" s="22" t="s">
        <v>97</v>
      </c>
      <c r="K282" s="519" t="s">
        <v>1340</v>
      </c>
      <c r="L282" s="521" t="s">
        <v>1379</v>
      </c>
      <c r="M282" s="521" t="s">
        <v>1380</v>
      </c>
      <c r="N282" s="521" t="s">
        <v>885</v>
      </c>
      <c r="O282" s="22" t="s">
        <v>495</v>
      </c>
      <c r="P282" s="69">
        <v>2017</v>
      </c>
      <c r="Q282" s="414">
        <f t="shared" ca="1" si="17"/>
        <v>2469.3221680112347</v>
      </c>
      <c r="R282" s="335">
        <f t="shared" ca="1" si="18"/>
        <v>0</v>
      </c>
      <c r="S282" s="335">
        <f t="shared" ca="1" si="19"/>
        <v>0</v>
      </c>
      <c r="T282" s="429"/>
      <c r="U282" s="22"/>
      <c r="V282" s="24"/>
      <c r="W282" s="21"/>
      <c r="Y282" s="490"/>
    </row>
    <row r="283" spans="1:25" ht="30">
      <c r="A283" s="31">
        <v>280</v>
      </c>
      <c r="B283" s="22" t="s">
        <v>39</v>
      </c>
      <c r="C283" s="22" t="s">
        <v>492</v>
      </c>
      <c r="D283" s="22" t="s">
        <v>507</v>
      </c>
      <c r="E283" s="23" t="s">
        <v>91</v>
      </c>
      <c r="F283" s="22" t="s">
        <v>98</v>
      </c>
      <c r="G283" s="22" t="s">
        <v>93</v>
      </c>
      <c r="H283" s="22" t="s">
        <v>30</v>
      </c>
      <c r="I283" s="22" t="s">
        <v>508</v>
      </c>
      <c r="J283" s="22" t="s">
        <v>98</v>
      </c>
      <c r="K283" s="519" t="s">
        <v>1340</v>
      </c>
      <c r="L283" s="521" t="s">
        <v>1381</v>
      </c>
      <c r="M283" s="521" t="s">
        <v>1382</v>
      </c>
      <c r="N283" s="521" t="s">
        <v>885</v>
      </c>
      <c r="O283" s="22" t="s">
        <v>495</v>
      </c>
      <c r="P283" s="69">
        <v>2017</v>
      </c>
      <c r="Q283" s="414">
        <f t="shared" ca="1" si="17"/>
        <v>0.37426030557110235</v>
      </c>
      <c r="R283" s="335">
        <f t="shared" ca="1" si="18"/>
        <v>0</v>
      </c>
      <c r="S283" s="335">
        <f t="shared" ca="1" si="19"/>
        <v>0</v>
      </c>
      <c r="T283" s="429"/>
      <c r="U283" s="22"/>
      <c r="V283" s="24"/>
      <c r="W283" s="21"/>
      <c r="Y283" s="490"/>
    </row>
    <row r="284" spans="1:25" ht="30">
      <c r="A284" s="31">
        <v>281</v>
      </c>
      <c r="B284" s="22" t="s">
        <v>39</v>
      </c>
      <c r="C284" s="22" t="s">
        <v>492</v>
      </c>
      <c r="D284" s="22" t="s">
        <v>507</v>
      </c>
      <c r="E284" s="23" t="s">
        <v>91</v>
      </c>
      <c r="F284" s="22" t="s">
        <v>99</v>
      </c>
      <c r="G284" s="22" t="s">
        <v>93</v>
      </c>
      <c r="H284" s="22" t="s">
        <v>30</v>
      </c>
      <c r="I284" s="22" t="s">
        <v>508</v>
      </c>
      <c r="J284" s="22" t="s">
        <v>99</v>
      </c>
      <c r="K284" s="519" t="s">
        <v>1340</v>
      </c>
      <c r="L284" s="521" t="s">
        <v>1383</v>
      </c>
      <c r="M284" s="521" t="s">
        <v>1384</v>
      </c>
      <c r="N284" s="521" t="s">
        <v>885</v>
      </c>
      <c r="O284" s="22" t="s">
        <v>495</v>
      </c>
      <c r="P284" s="69">
        <v>2017</v>
      </c>
      <c r="Q284" s="414">
        <f t="shared" ca="1" si="17"/>
        <v>2.7640315056798817</v>
      </c>
      <c r="R284" s="335">
        <f t="shared" ca="1" si="18"/>
        <v>0</v>
      </c>
      <c r="S284" s="335">
        <f t="shared" ca="1" si="19"/>
        <v>0</v>
      </c>
      <c r="T284" s="429" t="s">
        <v>48</v>
      </c>
      <c r="U284" s="22" t="s">
        <v>49</v>
      </c>
      <c r="V284" s="24"/>
      <c r="W284" s="21"/>
      <c r="Y284" s="490"/>
    </row>
    <row r="285" spans="1:25" s="13" customFormat="1" ht="60">
      <c r="A285" s="31">
        <v>282</v>
      </c>
      <c r="B285" s="22" t="s">
        <v>39</v>
      </c>
      <c r="C285" s="22" t="s">
        <v>509</v>
      </c>
      <c r="D285" s="22" t="s">
        <v>510</v>
      </c>
      <c r="E285" s="23" t="s">
        <v>51</v>
      </c>
      <c r="F285" s="22" t="s">
        <v>511</v>
      </c>
      <c r="G285" s="22" t="s">
        <v>53</v>
      </c>
      <c r="H285" s="22" t="s">
        <v>30</v>
      </c>
      <c r="I285" s="22" t="s">
        <v>512</v>
      </c>
      <c r="J285" s="22" t="s">
        <v>513</v>
      </c>
      <c r="K285" s="519" t="s">
        <v>1385</v>
      </c>
      <c r="L285" s="521" t="s">
        <v>1386</v>
      </c>
      <c r="M285" s="521" t="s">
        <v>1387</v>
      </c>
      <c r="N285" s="521" t="s">
        <v>815</v>
      </c>
      <c r="O285" s="22" t="s">
        <v>514</v>
      </c>
      <c r="P285" s="69">
        <v>2017</v>
      </c>
      <c r="Q285" s="414">
        <f t="shared" ref="Q285:Q297" ca="1" si="20">SUMIF(INDIRECT("'"&amp;K285&amp;"'!a:a"),A285,INDIRECT("'"&amp;K285&amp;"'!e:e"))</f>
        <v>1402</v>
      </c>
      <c r="R285" s="335" t="str">
        <f t="shared" ca="1" si="18"/>
        <v>N/A</v>
      </c>
      <c r="S285" s="335" t="str">
        <f t="shared" ca="1" si="19"/>
        <v>N/A</v>
      </c>
      <c r="T285" s="429" t="s">
        <v>515</v>
      </c>
      <c r="U285" s="22" t="s">
        <v>516</v>
      </c>
      <c r="V285" s="24"/>
      <c r="W285" s="21"/>
      <c r="X285" s="427"/>
      <c r="Y285" s="490"/>
    </row>
    <row r="286" spans="1:25" s="13" customFormat="1" ht="60">
      <c r="A286" s="31">
        <v>283</v>
      </c>
      <c r="B286" s="22" t="s">
        <v>39</v>
      </c>
      <c r="C286" s="22" t="s">
        <v>509</v>
      </c>
      <c r="D286" s="22" t="s">
        <v>510</v>
      </c>
      <c r="E286" s="23" t="s">
        <v>51</v>
      </c>
      <c r="F286" s="22" t="s">
        <v>517</v>
      </c>
      <c r="G286" s="22" t="s">
        <v>53</v>
      </c>
      <c r="H286" s="22" t="s">
        <v>30</v>
      </c>
      <c r="I286" s="22" t="s">
        <v>512</v>
      </c>
      <c r="J286" s="22" t="s">
        <v>518</v>
      </c>
      <c r="K286" s="519" t="s">
        <v>1385</v>
      </c>
      <c r="L286" s="521" t="s">
        <v>1388</v>
      </c>
      <c r="M286" s="521" t="s">
        <v>1389</v>
      </c>
      <c r="N286" s="521" t="s">
        <v>815</v>
      </c>
      <c r="O286" s="22" t="s">
        <v>514</v>
      </c>
      <c r="P286" s="69">
        <v>2017</v>
      </c>
      <c r="Q286" s="414">
        <f t="shared" ca="1" si="20"/>
        <v>29</v>
      </c>
      <c r="R286" s="335" t="str">
        <f t="shared" ca="1" si="18"/>
        <v>N/A</v>
      </c>
      <c r="S286" s="335" t="str">
        <f t="shared" ca="1" si="19"/>
        <v>N/A</v>
      </c>
      <c r="T286" s="429" t="s">
        <v>515</v>
      </c>
      <c r="U286" s="22" t="s">
        <v>519</v>
      </c>
      <c r="V286" s="24"/>
      <c r="W286" s="21"/>
      <c r="X286" s="427"/>
      <c r="Y286" s="490"/>
    </row>
    <row r="287" spans="1:25" s="13" customFormat="1" ht="60">
      <c r="A287" s="31">
        <v>284</v>
      </c>
      <c r="B287" s="22" t="s">
        <v>39</v>
      </c>
      <c r="C287" s="22" t="s">
        <v>509</v>
      </c>
      <c r="D287" s="22" t="s">
        <v>510</v>
      </c>
      <c r="E287" s="23" t="s">
        <v>51</v>
      </c>
      <c r="F287" s="22" t="s">
        <v>520</v>
      </c>
      <c r="G287" s="22" t="s">
        <v>53</v>
      </c>
      <c r="H287" s="22" t="s">
        <v>30</v>
      </c>
      <c r="I287" s="22" t="s">
        <v>512</v>
      </c>
      <c r="J287" s="22" t="s">
        <v>521</v>
      </c>
      <c r="K287" s="519" t="s">
        <v>1385</v>
      </c>
      <c r="L287" s="521" t="s">
        <v>1390</v>
      </c>
      <c r="M287" s="521" t="s">
        <v>1391</v>
      </c>
      <c r="N287" s="521" t="s">
        <v>815</v>
      </c>
      <c r="O287" s="22" t="s">
        <v>514</v>
      </c>
      <c r="P287" s="69">
        <v>2017</v>
      </c>
      <c r="Q287" s="414">
        <f t="shared" ca="1" si="20"/>
        <v>272</v>
      </c>
      <c r="R287" s="335" t="str">
        <f t="shared" ca="1" si="18"/>
        <v>N/A</v>
      </c>
      <c r="S287" s="335" t="str">
        <f t="shared" ca="1" si="19"/>
        <v>N/A</v>
      </c>
      <c r="T287" s="429" t="s">
        <v>515</v>
      </c>
      <c r="U287" s="22" t="s">
        <v>516</v>
      </c>
      <c r="V287" s="24"/>
      <c r="W287" s="21"/>
      <c r="X287" s="427"/>
      <c r="Y287" s="490"/>
    </row>
    <row r="288" spans="1:25" s="13" customFormat="1" ht="45">
      <c r="A288" s="31">
        <v>285</v>
      </c>
      <c r="B288" s="22" t="s">
        <v>39</v>
      </c>
      <c r="C288" s="22" t="s">
        <v>509</v>
      </c>
      <c r="D288" s="22" t="s">
        <v>522</v>
      </c>
      <c r="E288" s="23">
        <v>1</v>
      </c>
      <c r="F288" s="22" t="s">
        <v>523</v>
      </c>
      <c r="G288" s="22" t="s">
        <v>524</v>
      </c>
      <c r="H288" s="22" t="s">
        <v>30</v>
      </c>
      <c r="I288" s="22" t="s">
        <v>525</v>
      </c>
      <c r="J288" s="22" t="s">
        <v>525</v>
      </c>
      <c r="K288" s="519" t="s">
        <v>1385</v>
      </c>
      <c r="L288" s="521" t="s">
        <v>1392</v>
      </c>
      <c r="M288" s="521" t="s">
        <v>1393</v>
      </c>
      <c r="N288" s="521" t="s">
        <v>815</v>
      </c>
      <c r="O288" s="22" t="s">
        <v>514</v>
      </c>
      <c r="P288" s="69">
        <v>2017</v>
      </c>
      <c r="Q288" s="414">
        <f t="shared" ca="1" si="20"/>
        <v>12</v>
      </c>
      <c r="R288" s="335" t="str">
        <f t="shared" ca="1" si="18"/>
        <v>N/A</v>
      </c>
      <c r="S288" s="335" t="str">
        <f t="shared" ca="1" si="19"/>
        <v>N/A</v>
      </c>
      <c r="T288" s="429" t="s">
        <v>526</v>
      </c>
      <c r="U288" s="22" t="s">
        <v>527</v>
      </c>
      <c r="V288" s="24"/>
      <c r="W288" s="21"/>
      <c r="X288" s="427"/>
      <c r="Y288" s="490"/>
    </row>
    <row r="289" spans="1:25" s="13" customFormat="1" ht="45">
      <c r="A289" s="31">
        <v>286</v>
      </c>
      <c r="B289" s="22" t="s">
        <v>39</v>
      </c>
      <c r="C289" s="22" t="s">
        <v>509</v>
      </c>
      <c r="D289" s="22" t="s">
        <v>522</v>
      </c>
      <c r="E289" s="23">
        <v>2</v>
      </c>
      <c r="F289" s="22" t="s">
        <v>523</v>
      </c>
      <c r="G289" s="22" t="s">
        <v>524</v>
      </c>
      <c r="H289" s="22" t="s">
        <v>30</v>
      </c>
      <c r="I289" s="22" t="s">
        <v>528</v>
      </c>
      <c r="J289" s="22" t="s">
        <v>528</v>
      </c>
      <c r="K289" s="519" t="s">
        <v>1385</v>
      </c>
      <c r="L289" s="521" t="s">
        <v>1394</v>
      </c>
      <c r="M289" s="521" t="s">
        <v>1395</v>
      </c>
      <c r="N289" s="521" t="s">
        <v>815</v>
      </c>
      <c r="O289" s="22" t="s">
        <v>514</v>
      </c>
      <c r="P289" s="69">
        <v>2017</v>
      </c>
      <c r="Q289" s="414">
        <f t="shared" ca="1" si="20"/>
        <v>12</v>
      </c>
      <c r="R289" s="335" t="str">
        <f t="shared" ca="1" si="18"/>
        <v>N/A</v>
      </c>
      <c r="S289" s="335" t="str">
        <f t="shared" ca="1" si="19"/>
        <v>N/A</v>
      </c>
      <c r="T289" s="429" t="s">
        <v>529</v>
      </c>
      <c r="U289" s="22" t="s">
        <v>527</v>
      </c>
      <c r="V289" s="24"/>
      <c r="W289" s="21"/>
      <c r="X289" s="427"/>
      <c r="Y289" s="490"/>
    </row>
    <row r="290" spans="1:25" s="13" customFormat="1" ht="45">
      <c r="A290" s="31">
        <v>287</v>
      </c>
      <c r="B290" s="22" t="s">
        <v>39</v>
      </c>
      <c r="C290" s="22" t="s">
        <v>509</v>
      </c>
      <c r="D290" s="22" t="s">
        <v>530</v>
      </c>
      <c r="E290" s="23">
        <v>1</v>
      </c>
      <c r="F290" s="22" t="s">
        <v>523</v>
      </c>
      <c r="G290" s="22" t="s">
        <v>531</v>
      </c>
      <c r="H290" s="22" t="s">
        <v>30</v>
      </c>
      <c r="I290" s="22" t="s">
        <v>532</v>
      </c>
      <c r="J290" s="22" t="s">
        <v>532</v>
      </c>
      <c r="K290" s="519" t="s">
        <v>1385</v>
      </c>
      <c r="L290" s="521" t="s">
        <v>1396</v>
      </c>
      <c r="M290" s="521" t="s">
        <v>1397</v>
      </c>
      <c r="N290" s="521" t="s">
        <v>815</v>
      </c>
      <c r="O290" s="22" t="s">
        <v>514</v>
      </c>
      <c r="P290" s="69">
        <v>2017</v>
      </c>
      <c r="Q290" s="414">
        <f t="shared" ca="1" si="20"/>
        <v>5</v>
      </c>
      <c r="R290" s="335" t="str">
        <f t="shared" ca="1" si="18"/>
        <v>N/A</v>
      </c>
      <c r="S290" s="335" t="str">
        <f t="shared" ca="1" si="19"/>
        <v>N/A</v>
      </c>
      <c r="T290" s="429" t="s">
        <v>533</v>
      </c>
      <c r="U290" s="22" t="s">
        <v>534</v>
      </c>
      <c r="V290" s="24"/>
      <c r="W290" s="21"/>
      <c r="X290" s="427"/>
      <c r="Y290" s="490"/>
    </row>
    <row r="291" spans="1:25" ht="30">
      <c r="A291" s="31">
        <v>288</v>
      </c>
      <c r="B291" s="22" t="s">
        <v>39</v>
      </c>
      <c r="C291" s="22" t="s">
        <v>509</v>
      </c>
      <c r="D291" s="22" t="s">
        <v>530</v>
      </c>
      <c r="E291" s="23">
        <v>2</v>
      </c>
      <c r="F291" s="22" t="s">
        <v>523</v>
      </c>
      <c r="G291" s="22" t="s">
        <v>531</v>
      </c>
      <c r="H291" s="22" t="s">
        <v>30</v>
      </c>
      <c r="I291" s="22" t="s">
        <v>535</v>
      </c>
      <c r="J291" s="22" t="s">
        <v>535</v>
      </c>
      <c r="K291" s="519" t="s">
        <v>1385</v>
      </c>
      <c r="L291" s="521" t="s">
        <v>1398</v>
      </c>
      <c r="M291" s="521" t="s">
        <v>1399</v>
      </c>
      <c r="N291" s="521" t="s">
        <v>815</v>
      </c>
      <c r="O291" s="22" t="s">
        <v>514</v>
      </c>
      <c r="P291" s="69">
        <v>2017</v>
      </c>
      <c r="Q291" s="414">
        <f t="shared" ca="1" si="20"/>
        <v>4</v>
      </c>
      <c r="R291" s="335" t="str">
        <f t="shared" ca="1" si="18"/>
        <v>N/A</v>
      </c>
      <c r="S291" s="335" t="str">
        <f t="shared" ca="1" si="19"/>
        <v>N/A</v>
      </c>
      <c r="T291" s="429" t="s">
        <v>529</v>
      </c>
      <c r="U291" s="22" t="s">
        <v>536</v>
      </c>
      <c r="V291" s="24"/>
      <c r="W291" s="21"/>
      <c r="Y291" s="490"/>
    </row>
    <row r="292" spans="1:25" ht="60">
      <c r="A292" s="31">
        <v>289</v>
      </c>
      <c r="B292" s="22" t="s">
        <v>39</v>
      </c>
      <c r="C292" s="22" t="s">
        <v>509</v>
      </c>
      <c r="D292" s="22" t="s">
        <v>537</v>
      </c>
      <c r="E292" s="23">
        <v>1</v>
      </c>
      <c r="F292" s="22" t="s">
        <v>523</v>
      </c>
      <c r="G292" s="22" t="s">
        <v>538</v>
      </c>
      <c r="H292" s="22" t="s">
        <v>30</v>
      </c>
      <c r="I292" s="22" t="s">
        <v>539</v>
      </c>
      <c r="J292" s="22" t="s">
        <v>539</v>
      </c>
      <c r="K292" s="519" t="s">
        <v>1385</v>
      </c>
      <c r="L292" s="521" t="s">
        <v>1400</v>
      </c>
      <c r="M292" s="521" t="s">
        <v>1401</v>
      </c>
      <c r="N292" s="521" t="s">
        <v>815</v>
      </c>
      <c r="O292" s="22" t="s">
        <v>514</v>
      </c>
      <c r="P292" s="69">
        <v>2017</v>
      </c>
      <c r="Q292" s="414">
        <f t="shared" ca="1" si="20"/>
        <v>22</v>
      </c>
      <c r="R292" s="335" t="str">
        <f t="shared" ca="1" si="18"/>
        <v>N/A</v>
      </c>
      <c r="S292" s="335" t="str">
        <f t="shared" ca="1" si="19"/>
        <v>N/A</v>
      </c>
      <c r="T292" s="429" t="s">
        <v>540</v>
      </c>
      <c r="U292" s="22" t="s">
        <v>541</v>
      </c>
      <c r="V292" s="24"/>
      <c r="W292" s="21"/>
      <c r="Y292" s="490"/>
    </row>
    <row r="293" spans="1:25" ht="60">
      <c r="A293" s="31">
        <v>290</v>
      </c>
      <c r="B293" s="22" t="s">
        <v>39</v>
      </c>
      <c r="C293" s="22" t="s">
        <v>509</v>
      </c>
      <c r="D293" s="22" t="s">
        <v>537</v>
      </c>
      <c r="E293" s="23">
        <v>2</v>
      </c>
      <c r="F293" s="22" t="s">
        <v>523</v>
      </c>
      <c r="G293" s="22" t="s">
        <v>538</v>
      </c>
      <c r="H293" s="22" t="s">
        <v>30</v>
      </c>
      <c r="I293" s="22" t="s">
        <v>542</v>
      </c>
      <c r="J293" s="22" t="s">
        <v>542</v>
      </c>
      <c r="K293" s="519" t="s">
        <v>1385</v>
      </c>
      <c r="L293" s="521" t="s">
        <v>1402</v>
      </c>
      <c r="M293" s="521" t="s">
        <v>1403</v>
      </c>
      <c r="N293" s="521" t="s">
        <v>815</v>
      </c>
      <c r="O293" s="22" t="s">
        <v>514</v>
      </c>
      <c r="P293" s="69">
        <v>2017</v>
      </c>
      <c r="Q293" s="414">
        <f t="shared" ca="1" si="20"/>
        <v>1</v>
      </c>
      <c r="R293" s="335" t="str">
        <f t="shared" ca="1" si="18"/>
        <v>N/A</v>
      </c>
      <c r="S293" s="335" t="str">
        <f t="shared" ca="1" si="19"/>
        <v>N/A</v>
      </c>
      <c r="T293" s="429" t="s">
        <v>543</v>
      </c>
      <c r="U293" s="22" t="s">
        <v>544</v>
      </c>
      <c r="V293" s="24"/>
      <c r="W293" s="21"/>
      <c r="Y293" s="490"/>
    </row>
    <row r="294" spans="1:25" ht="90">
      <c r="A294" s="31">
        <v>291</v>
      </c>
      <c r="B294" s="22" t="s">
        <v>39</v>
      </c>
      <c r="C294" s="22" t="s">
        <v>509</v>
      </c>
      <c r="D294" s="22" t="s">
        <v>545</v>
      </c>
      <c r="E294" s="23">
        <v>1</v>
      </c>
      <c r="F294" s="22" t="s">
        <v>523</v>
      </c>
      <c r="G294" s="22" t="s">
        <v>546</v>
      </c>
      <c r="H294" s="22" t="s">
        <v>30</v>
      </c>
      <c r="I294" s="22" t="s">
        <v>547</v>
      </c>
      <c r="J294" s="22" t="s">
        <v>547</v>
      </c>
      <c r="K294" s="519" t="s">
        <v>1385</v>
      </c>
      <c r="L294" s="521" t="s">
        <v>1404</v>
      </c>
      <c r="M294" s="521" t="s">
        <v>1405</v>
      </c>
      <c r="N294" s="521" t="s">
        <v>815</v>
      </c>
      <c r="O294" s="22" t="s">
        <v>514</v>
      </c>
      <c r="P294" s="69">
        <v>2017</v>
      </c>
      <c r="Q294" s="414">
        <f t="shared" ca="1" si="20"/>
        <v>6</v>
      </c>
      <c r="R294" s="335" t="str">
        <f t="shared" ca="1" si="18"/>
        <v>N/A</v>
      </c>
      <c r="S294" s="335" t="str">
        <f t="shared" ca="1" si="19"/>
        <v>N/A</v>
      </c>
      <c r="T294" s="429" t="s">
        <v>548</v>
      </c>
      <c r="U294" s="22" t="s">
        <v>549</v>
      </c>
      <c r="V294" s="24"/>
      <c r="W294" s="21"/>
      <c r="Y294" s="490"/>
    </row>
    <row r="295" spans="1:25" ht="120">
      <c r="A295" s="31">
        <v>292</v>
      </c>
      <c r="B295" s="22" t="s">
        <v>39</v>
      </c>
      <c r="C295" s="22" t="s">
        <v>550</v>
      </c>
      <c r="D295" s="22" t="s">
        <v>551</v>
      </c>
      <c r="E295" s="23">
        <v>1</v>
      </c>
      <c r="F295" s="22" t="s">
        <v>523</v>
      </c>
      <c r="G295" s="22" t="s">
        <v>552</v>
      </c>
      <c r="H295" s="22" t="s">
        <v>30</v>
      </c>
      <c r="I295" s="22" t="s">
        <v>553</v>
      </c>
      <c r="J295" s="22" t="s">
        <v>553</v>
      </c>
      <c r="K295" s="519" t="s">
        <v>1385</v>
      </c>
      <c r="L295" s="521" t="s">
        <v>1406</v>
      </c>
      <c r="M295" s="521" t="s">
        <v>1407</v>
      </c>
      <c r="N295" s="521" t="s">
        <v>815</v>
      </c>
      <c r="O295" s="22" t="s">
        <v>514</v>
      </c>
      <c r="P295" s="69">
        <v>2017</v>
      </c>
      <c r="Q295" s="414">
        <f t="shared" ca="1" si="20"/>
        <v>138</v>
      </c>
      <c r="R295" s="335" t="str">
        <f t="shared" ca="1" si="18"/>
        <v>N/A</v>
      </c>
      <c r="S295" s="335" t="str">
        <f t="shared" ca="1" si="19"/>
        <v>N/A</v>
      </c>
      <c r="T295" s="429" t="s">
        <v>554</v>
      </c>
      <c r="U295" s="22" t="s">
        <v>555</v>
      </c>
      <c r="V295" s="24"/>
      <c r="W295" s="21"/>
      <c r="Y295" s="490"/>
    </row>
    <row r="296" spans="1:25" ht="120">
      <c r="A296" s="31">
        <v>293</v>
      </c>
      <c r="B296" s="22" t="s">
        <v>39</v>
      </c>
      <c r="C296" s="22" t="s">
        <v>550</v>
      </c>
      <c r="D296" s="22" t="s">
        <v>551</v>
      </c>
      <c r="E296" s="23">
        <v>2</v>
      </c>
      <c r="F296" s="22" t="s">
        <v>523</v>
      </c>
      <c r="G296" s="22" t="s">
        <v>552</v>
      </c>
      <c r="H296" s="22" t="s">
        <v>30</v>
      </c>
      <c r="I296" s="22" t="s">
        <v>556</v>
      </c>
      <c r="J296" s="22" t="s">
        <v>556</v>
      </c>
      <c r="K296" s="519" t="s">
        <v>1385</v>
      </c>
      <c r="L296" s="521" t="s">
        <v>1408</v>
      </c>
      <c r="M296" s="521" t="s">
        <v>1409</v>
      </c>
      <c r="N296" s="521" t="s">
        <v>815</v>
      </c>
      <c r="O296" s="22" t="s">
        <v>514</v>
      </c>
      <c r="P296" s="69">
        <v>2017</v>
      </c>
      <c r="Q296" s="414">
        <f t="shared" ca="1" si="20"/>
        <v>3600</v>
      </c>
      <c r="R296" s="335" t="str">
        <f t="shared" ca="1" si="18"/>
        <v>N/A</v>
      </c>
      <c r="S296" s="335" t="str">
        <f t="shared" ca="1" si="19"/>
        <v>N/A</v>
      </c>
      <c r="T296" s="429" t="s">
        <v>557</v>
      </c>
      <c r="U296" s="22" t="s">
        <v>558</v>
      </c>
      <c r="V296" s="24"/>
      <c r="W296" s="21"/>
      <c r="Y296" s="490"/>
    </row>
    <row r="297" spans="1:25" ht="90">
      <c r="A297" s="31">
        <v>294</v>
      </c>
      <c r="B297" s="22" t="s">
        <v>39</v>
      </c>
      <c r="C297" s="22" t="s">
        <v>550</v>
      </c>
      <c r="D297" s="22" t="s">
        <v>551</v>
      </c>
      <c r="E297" s="23">
        <v>3</v>
      </c>
      <c r="F297" s="22" t="s">
        <v>559</v>
      </c>
      <c r="G297" s="22" t="s">
        <v>552</v>
      </c>
      <c r="H297" s="22" t="s">
        <v>30</v>
      </c>
      <c r="I297" s="22" t="s">
        <v>560</v>
      </c>
      <c r="J297" s="22" t="s">
        <v>560</v>
      </c>
      <c r="K297" s="519" t="s">
        <v>1385</v>
      </c>
      <c r="L297" s="521" t="s">
        <v>1410</v>
      </c>
      <c r="M297" s="521" t="s">
        <v>1411</v>
      </c>
      <c r="N297" s="521" t="s">
        <v>815</v>
      </c>
      <c r="O297" s="22" t="s">
        <v>514</v>
      </c>
      <c r="P297" s="69">
        <v>2017</v>
      </c>
      <c r="Q297" s="414">
        <f t="shared" ca="1" si="20"/>
        <v>0.2</v>
      </c>
      <c r="R297" s="335" t="str">
        <f t="shared" ca="1" si="18"/>
        <v>N/A</v>
      </c>
      <c r="S297" s="335" t="str">
        <f t="shared" ca="1" si="19"/>
        <v>N/A</v>
      </c>
      <c r="T297" s="429" t="s">
        <v>561</v>
      </c>
      <c r="U297" s="22" t="s">
        <v>562</v>
      </c>
      <c r="V297" s="24"/>
      <c r="W297" s="21"/>
      <c r="Y297" s="490"/>
    </row>
    <row r="298" spans="1:25" ht="60">
      <c r="A298" s="31">
        <v>295</v>
      </c>
      <c r="B298" s="22" t="s">
        <v>563</v>
      </c>
      <c r="C298" s="22" t="s">
        <v>550</v>
      </c>
      <c r="D298" s="22" t="s">
        <v>564</v>
      </c>
      <c r="E298" s="23">
        <v>1</v>
      </c>
      <c r="F298" s="22" t="s">
        <v>142</v>
      </c>
      <c r="G298" s="22" t="s">
        <v>552</v>
      </c>
      <c r="H298" s="22" t="s">
        <v>30</v>
      </c>
      <c r="I298" s="22" t="s">
        <v>565</v>
      </c>
      <c r="J298" s="22" t="s">
        <v>565</v>
      </c>
      <c r="K298" s="519" t="s">
        <v>1385</v>
      </c>
      <c r="L298" s="521" t="s">
        <v>1412</v>
      </c>
      <c r="M298" s="521" t="s">
        <v>1413</v>
      </c>
      <c r="N298" s="521" t="s">
        <v>815</v>
      </c>
      <c r="O298" s="22" t="s">
        <v>514</v>
      </c>
      <c r="P298" s="69">
        <v>2017</v>
      </c>
      <c r="Q298" s="529" t="s">
        <v>1414</v>
      </c>
      <c r="R298" s="335" t="str">
        <f t="shared" ca="1" si="18"/>
        <v>N/A</v>
      </c>
      <c r="S298" s="335" t="str">
        <f t="shared" ca="1" si="19"/>
        <v>N/A</v>
      </c>
      <c r="T298" s="429" t="s">
        <v>566</v>
      </c>
      <c r="U298" s="22" t="s">
        <v>566</v>
      </c>
      <c r="V298" s="24"/>
      <c r="W298" s="21"/>
      <c r="Y298" s="490"/>
    </row>
    <row r="299" spans="1:25" ht="60">
      <c r="A299" s="31">
        <v>296</v>
      </c>
      <c r="B299" s="22" t="s">
        <v>563</v>
      </c>
      <c r="C299" s="22" t="s">
        <v>550</v>
      </c>
      <c r="D299" s="22" t="s">
        <v>567</v>
      </c>
      <c r="E299" s="23">
        <v>1</v>
      </c>
      <c r="F299" s="22" t="s">
        <v>523</v>
      </c>
      <c r="G299" s="22" t="s">
        <v>552</v>
      </c>
      <c r="H299" s="22" t="s">
        <v>164</v>
      </c>
      <c r="I299" s="22" t="s">
        <v>568</v>
      </c>
      <c r="J299" s="22" t="s">
        <v>568</v>
      </c>
      <c r="K299" s="519" t="s">
        <v>1385</v>
      </c>
      <c r="L299" s="521" t="s">
        <v>1415</v>
      </c>
      <c r="M299" s="521" t="s">
        <v>1416</v>
      </c>
      <c r="N299" s="521" t="s">
        <v>815</v>
      </c>
      <c r="O299" s="22" t="s">
        <v>514</v>
      </c>
      <c r="P299" s="69">
        <v>2017</v>
      </c>
      <c r="Q299" s="529" t="s">
        <v>1414</v>
      </c>
      <c r="R299" s="335" t="str">
        <f t="shared" ca="1" si="18"/>
        <v>N/A</v>
      </c>
      <c r="S299" s="335" t="str">
        <f t="shared" ca="1" si="19"/>
        <v>N/A</v>
      </c>
      <c r="T299" s="429" t="s">
        <v>569</v>
      </c>
      <c r="U299" s="22" t="s">
        <v>569</v>
      </c>
      <c r="V299" s="24"/>
      <c r="W299" s="21"/>
      <c r="Y299" s="490"/>
    </row>
    <row r="300" spans="1:25" ht="60">
      <c r="A300" s="31">
        <v>297</v>
      </c>
      <c r="B300" s="22" t="s">
        <v>563</v>
      </c>
      <c r="C300" s="22" t="s">
        <v>550</v>
      </c>
      <c r="D300" s="22" t="s">
        <v>567</v>
      </c>
      <c r="E300" s="23">
        <v>1</v>
      </c>
      <c r="F300" s="22" t="s">
        <v>142</v>
      </c>
      <c r="G300" s="22" t="s">
        <v>552</v>
      </c>
      <c r="H300" s="22" t="s">
        <v>164</v>
      </c>
      <c r="I300" s="22" t="s">
        <v>568</v>
      </c>
      <c r="J300" s="22" t="s">
        <v>568</v>
      </c>
      <c r="K300" s="519" t="s">
        <v>1385</v>
      </c>
      <c r="L300" s="521" t="s">
        <v>1417</v>
      </c>
      <c r="M300" s="521" t="s">
        <v>1418</v>
      </c>
      <c r="N300" s="521" t="s">
        <v>815</v>
      </c>
      <c r="O300" s="22" t="s">
        <v>514</v>
      </c>
      <c r="P300" s="69">
        <v>2017</v>
      </c>
      <c r="Q300" s="529" t="s">
        <v>1414</v>
      </c>
      <c r="R300" s="335" t="str">
        <f t="shared" ca="1" si="18"/>
        <v>N/A</v>
      </c>
      <c r="S300" s="335" t="str">
        <f t="shared" ca="1" si="19"/>
        <v>N/A</v>
      </c>
      <c r="T300" s="429" t="s">
        <v>569</v>
      </c>
      <c r="U300" s="22" t="s">
        <v>569</v>
      </c>
      <c r="V300" s="24"/>
      <c r="W300" s="21"/>
      <c r="Y300" s="490"/>
    </row>
    <row r="301" spans="1:25" ht="45">
      <c r="A301" s="31">
        <v>298</v>
      </c>
      <c r="B301" s="22" t="s">
        <v>563</v>
      </c>
      <c r="C301" s="22" t="s">
        <v>550</v>
      </c>
      <c r="D301" s="22" t="s">
        <v>567</v>
      </c>
      <c r="E301" s="23">
        <v>2</v>
      </c>
      <c r="F301" s="22" t="s">
        <v>523</v>
      </c>
      <c r="G301" s="22" t="s">
        <v>552</v>
      </c>
      <c r="H301" s="22" t="s">
        <v>164</v>
      </c>
      <c r="I301" s="22" t="s">
        <v>570</v>
      </c>
      <c r="J301" s="22" t="s">
        <v>570</v>
      </c>
      <c r="K301" s="519" t="s">
        <v>1385</v>
      </c>
      <c r="L301" s="521" t="s">
        <v>1419</v>
      </c>
      <c r="M301" s="521" t="s">
        <v>1420</v>
      </c>
      <c r="N301" s="521" t="s">
        <v>815</v>
      </c>
      <c r="O301" s="22" t="s">
        <v>514</v>
      </c>
      <c r="P301" s="69">
        <v>2017</v>
      </c>
      <c r="Q301" s="529" t="s">
        <v>1414</v>
      </c>
      <c r="R301" s="335" t="str">
        <f t="shared" ca="1" si="18"/>
        <v>N/A</v>
      </c>
      <c r="S301" s="335" t="str">
        <f t="shared" ca="1" si="19"/>
        <v>N/A</v>
      </c>
      <c r="T301" s="429" t="s">
        <v>569</v>
      </c>
      <c r="U301" s="22" t="s">
        <v>569</v>
      </c>
      <c r="V301" s="24"/>
      <c r="W301" s="21"/>
      <c r="Y301" s="490"/>
    </row>
    <row r="302" spans="1:25" ht="45">
      <c r="A302" s="31">
        <v>299</v>
      </c>
      <c r="B302" s="22" t="s">
        <v>563</v>
      </c>
      <c r="C302" s="22" t="s">
        <v>550</v>
      </c>
      <c r="D302" s="22" t="s">
        <v>567</v>
      </c>
      <c r="E302" s="23">
        <v>2</v>
      </c>
      <c r="F302" s="22" t="s">
        <v>142</v>
      </c>
      <c r="G302" s="22" t="s">
        <v>552</v>
      </c>
      <c r="H302" s="22" t="s">
        <v>164</v>
      </c>
      <c r="I302" s="22" t="s">
        <v>570</v>
      </c>
      <c r="J302" s="22" t="s">
        <v>570</v>
      </c>
      <c r="K302" s="519" t="s">
        <v>1385</v>
      </c>
      <c r="L302" s="521" t="s">
        <v>1421</v>
      </c>
      <c r="M302" s="521" t="s">
        <v>1422</v>
      </c>
      <c r="N302" s="521" t="s">
        <v>815</v>
      </c>
      <c r="O302" s="22" t="s">
        <v>514</v>
      </c>
      <c r="P302" s="69">
        <v>2017</v>
      </c>
      <c r="Q302" s="529" t="s">
        <v>1414</v>
      </c>
      <c r="R302" s="335" t="str">
        <f t="shared" ca="1" si="18"/>
        <v>N/A</v>
      </c>
      <c r="S302" s="335" t="str">
        <f t="shared" ca="1" si="19"/>
        <v>N/A</v>
      </c>
      <c r="T302" s="429" t="s">
        <v>569</v>
      </c>
      <c r="U302" s="22" t="s">
        <v>569</v>
      </c>
      <c r="V302" s="24"/>
      <c r="W302" s="21"/>
      <c r="Y302" s="490"/>
    </row>
    <row r="303" spans="1:25" ht="60">
      <c r="A303" s="31">
        <v>300</v>
      </c>
      <c r="B303" s="22" t="s">
        <v>563</v>
      </c>
      <c r="C303" s="22" t="s">
        <v>550</v>
      </c>
      <c r="D303" s="22" t="s">
        <v>567</v>
      </c>
      <c r="E303" s="23">
        <v>3</v>
      </c>
      <c r="F303" s="22" t="s">
        <v>523</v>
      </c>
      <c r="G303" s="22" t="s">
        <v>552</v>
      </c>
      <c r="H303" s="22" t="s">
        <v>164</v>
      </c>
      <c r="I303" s="22" t="s">
        <v>571</v>
      </c>
      <c r="J303" s="22" t="s">
        <v>571</v>
      </c>
      <c r="K303" s="519" t="s">
        <v>1385</v>
      </c>
      <c r="L303" s="521" t="s">
        <v>1423</v>
      </c>
      <c r="M303" s="521" t="s">
        <v>1424</v>
      </c>
      <c r="N303" s="521" t="s">
        <v>815</v>
      </c>
      <c r="O303" s="22" t="s">
        <v>514</v>
      </c>
      <c r="P303" s="69">
        <v>2017</v>
      </c>
      <c r="Q303" s="530" t="s">
        <v>1414</v>
      </c>
      <c r="R303" s="335" t="str">
        <f t="shared" ca="1" si="18"/>
        <v>N/A</v>
      </c>
      <c r="S303" s="335" t="str">
        <f t="shared" ca="1" si="19"/>
        <v>N/A</v>
      </c>
      <c r="T303" s="429" t="s">
        <v>569</v>
      </c>
      <c r="U303" s="22" t="s">
        <v>569</v>
      </c>
      <c r="V303" s="24"/>
      <c r="W303" s="21"/>
      <c r="Y303" s="490"/>
    </row>
    <row r="304" spans="1:25" ht="60">
      <c r="A304" s="31">
        <v>301</v>
      </c>
      <c r="B304" s="22" t="s">
        <v>39</v>
      </c>
      <c r="C304" s="22" t="s">
        <v>572</v>
      </c>
      <c r="D304" s="22" t="s">
        <v>573</v>
      </c>
      <c r="E304" s="23">
        <v>1</v>
      </c>
      <c r="F304" s="22" t="s">
        <v>523</v>
      </c>
      <c r="G304" s="22" t="s">
        <v>574</v>
      </c>
      <c r="H304" s="22" t="s">
        <v>30</v>
      </c>
      <c r="I304" s="22" t="s">
        <v>575</v>
      </c>
      <c r="J304" s="22" t="s">
        <v>575</v>
      </c>
      <c r="K304" s="519" t="s">
        <v>1425</v>
      </c>
      <c r="L304" s="521" t="s">
        <v>1426</v>
      </c>
      <c r="M304" s="521" t="s">
        <v>1427</v>
      </c>
      <c r="N304" s="521" t="s">
        <v>815</v>
      </c>
      <c r="O304" s="22" t="s">
        <v>576</v>
      </c>
      <c r="P304" s="69">
        <v>2017</v>
      </c>
      <c r="Q304" s="530" t="s">
        <v>382</v>
      </c>
      <c r="R304" s="335" t="str">
        <f t="shared" ca="1" si="18"/>
        <v>N/A</v>
      </c>
      <c r="S304" s="335" t="str">
        <f t="shared" ca="1" si="19"/>
        <v>N/A</v>
      </c>
      <c r="T304" s="429" t="s">
        <v>577</v>
      </c>
      <c r="U304" s="22" t="s">
        <v>578</v>
      </c>
      <c r="V304" s="24"/>
      <c r="W304" s="21"/>
      <c r="Y304" s="490"/>
    </row>
    <row r="305" spans="1:25" ht="180">
      <c r="A305" s="100">
        <v>302</v>
      </c>
      <c r="B305" s="101" t="s">
        <v>39</v>
      </c>
      <c r="C305" s="101" t="s">
        <v>572</v>
      </c>
      <c r="D305" s="101" t="s">
        <v>579</v>
      </c>
      <c r="E305" s="411">
        <v>1</v>
      </c>
      <c r="F305" s="101" t="s">
        <v>523</v>
      </c>
      <c r="G305" s="101" t="s">
        <v>580</v>
      </c>
      <c r="H305" s="101" t="s">
        <v>30</v>
      </c>
      <c r="I305" s="101" t="s">
        <v>581</v>
      </c>
      <c r="J305" s="101" t="s">
        <v>581</v>
      </c>
      <c r="K305" s="519" t="s">
        <v>1425</v>
      </c>
      <c r="L305" s="521" t="s">
        <v>1428</v>
      </c>
      <c r="M305" s="521" t="s">
        <v>1429</v>
      </c>
      <c r="N305" s="521" t="s">
        <v>815</v>
      </c>
      <c r="O305" s="101" t="s">
        <v>576</v>
      </c>
      <c r="P305" s="69">
        <v>2017</v>
      </c>
      <c r="Q305" s="530" t="s">
        <v>382</v>
      </c>
      <c r="R305" s="335" t="str">
        <f t="shared" ca="1" si="18"/>
        <v>N/A</v>
      </c>
      <c r="S305" s="335" t="str">
        <f t="shared" ca="1" si="19"/>
        <v>N/A</v>
      </c>
      <c r="T305" s="429" t="s">
        <v>582</v>
      </c>
      <c r="U305" s="101" t="s">
        <v>583</v>
      </c>
      <c r="V305" s="24"/>
      <c r="W305" s="21"/>
      <c r="Y305" s="490"/>
    </row>
    <row r="306" spans="1:25" ht="180">
      <c r="A306" s="31">
        <v>303</v>
      </c>
      <c r="B306" s="22" t="s">
        <v>39</v>
      </c>
      <c r="C306" s="22" t="s">
        <v>572</v>
      </c>
      <c r="D306" s="22" t="s">
        <v>579</v>
      </c>
      <c r="E306" s="23">
        <v>1</v>
      </c>
      <c r="F306" s="22" t="s">
        <v>584</v>
      </c>
      <c r="G306" s="22" t="s">
        <v>580</v>
      </c>
      <c r="H306" s="22" t="s">
        <v>30</v>
      </c>
      <c r="I306" s="22" t="s">
        <v>585</v>
      </c>
      <c r="J306" s="22" t="s">
        <v>585</v>
      </c>
      <c r="K306" s="519" t="s">
        <v>1425</v>
      </c>
      <c r="L306" s="521" t="s">
        <v>1430</v>
      </c>
      <c r="M306" s="521" t="s">
        <v>1431</v>
      </c>
      <c r="N306" s="521" t="s">
        <v>815</v>
      </c>
      <c r="O306" s="22" t="s">
        <v>576</v>
      </c>
      <c r="P306" s="69">
        <v>2017</v>
      </c>
      <c r="Q306" s="534">
        <f>R306/S306</f>
        <v>9.7934085711071955E-2</v>
      </c>
      <c r="R306" s="335">
        <v>2612</v>
      </c>
      <c r="S306" s="335">
        <v>26671</v>
      </c>
      <c r="T306" s="429" t="s">
        <v>586</v>
      </c>
      <c r="U306" s="22" t="s">
        <v>587</v>
      </c>
      <c r="V306" s="24"/>
      <c r="W306" s="21"/>
      <c r="Y306" s="490"/>
    </row>
    <row r="307" spans="1:25" ht="195">
      <c r="A307" s="31">
        <v>304</v>
      </c>
      <c r="B307" s="22" t="s">
        <v>39</v>
      </c>
      <c r="C307" s="22" t="s">
        <v>572</v>
      </c>
      <c r="D307" s="22" t="s">
        <v>588</v>
      </c>
      <c r="E307" s="23">
        <v>1</v>
      </c>
      <c r="F307" s="22" t="s">
        <v>584</v>
      </c>
      <c r="G307" s="22" t="s">
        <v>589</v>
      </c>
      <c r="H307" s="22" t="s">
        <v>30</v>
      </c>
      <c r="I307" s="22" t="s">
        <v>590</v>
      </c>
      <c r="J307" s="22" t="s">
        <v>590</v>
      </c>
      <c r="K307" s="519" t="s">
        <v>1425</v>
      </c>
      <c r="L307" s="521" t="s">
        <v>1432</v>
      </c>
      <c r="M307" s="521" t="s">
        <v>1433</v>
      </c>
      <c r="N307" s="521" t="s">
        <v>815</v>
      </c>
      <c r="O307" s="22" t="s">
        <v>576</v>
      </c>
      <c r="P307" s="69" t="s">
        <v>59</v>
      </c>
      <c r="Q307" s="534">
        <f>R307/S307</f>
        <v>3.6986673918955673E-2</v>
      </c>
      <c r="R307" s="335">
        <v>136</v>
      </c>
      <c r="S307" s="335">
        <v>3677</v>
      </c>
      <c r="T307" s="429" t="s">
        <v>591</v>
      </c>
      <c r="U307" s="22" t="s">
        <v>592</v>
      </c>
      <c r="V307" s="24"/>
      <c r="W307" s="21"/>
      <c r="Y307" s="490"/>
    </row>
    <row r="308" spans="1:25" ht="255">
      <c r="A308" s="31">
        <v>305</v>
      </c>
      <c r="B308" s="22" t="s">
        <v>39</v>
      </c>
      <c r="C308" s="22" t="s">
        <v>572</v>
      </c>
      <c r="D308" s="22" t="s">
        <v>588</v>
      </c>
      <c r="E308" s="23">
        <v>1</v>
      </c>
      <c r="F308" s="22" t="s">
        <v>584</v>
      </c>
      <c r="G308" s="22" t="s">
        <v>589</v>
      </c>
      <c r="H308" s="22" t="s">
        <v>30</v>
      </c>
      <c r="I308" s="22" t="s">
        <v>593</v>
      </c>
      <c r="J308" s="22" t="s">
        <v>593</v>
      </c>
      <c r="K308" s="519" t="s">
        <v>1425</v>
      </c>
      <c r="L308" s="521" t="s">
        <v>1434</v>
      </c>
      <c r="M308" s="521" t="s">
        <v>1435</v>
      </c>
      <c r="N308" s="521" t="s">
        <v>815</v>
      </c>
      <c r="O308" s="22" t="s">
        <v>576</v>
      </c>
      <c r="P308" s="69" t="s">
        <v>59</v>
      </c>
      <c r="Q308" s="530" t="s">
        <v>59</v>
      </c>
      <c r="R308" s="335" t="str">
        <f t="shared" ref="R308:R316" ca="1" si="21">IF($N308 = "N","N/A",SUMIF(INDIRECT("'"&amp;K308&amp;"'!i:i"),L308,INDIRECT("'"&amp;K308&amp;"'!l:l")))</f>
        <v>N/A</v>
      </c>
      <c r="S308" s="335" t="str">
        <f t="shared" ref="S308:S332" ca="1" si="22">IF($N308 = "N","N/A",SUMIF(INDIRECT("'"&amp;K308&amp;"'!i:i"),M308,INDIRECT("'"&amp;K308&amp;"'!l:l")))</f>
        <v>N/A</v>
      </c>
      <c r="T308" s="429" t="s">
        <v>594</v>
      </c>
      <c r="U308" s="22" t="s">
        <v>595</v>
      </c>
      <c r="V308" s="24"/>
      <c r="W308" s="21"/>
      <c r="Y308" s="490"/>
    </row>
    <row r="309" spans="1:25" ht="60">
      <c r="A309" s="31">
        <v>306</v>
      </c>
      <c r="B309" s="22" t="s">
        <v>39</v>
      </c>
      <c r="C309" s="22" t="s">
        <v>572</v>
      </c>
      <c r="D309" s="22" t="s">
        <v>596</v>
      </c>
      <c r="E309" s="23">
        <v>1</v>
      </c>
      <c r="F309" s="22" t="s">
        <v>523</v>
      </c>
      <c r="G309" s="22" t="s">
        <v>589</v>
      </c>
      <c r="H309" s="22" t="s">
        <v>164</v>
      </c>
      <c r="I309" s="22" t="s">
        <v>597</v>
      </c>
      <c r="J309" s="22" t="s">
        <v>597</v>
      </c>
      <c r="K309" s="519" t="s">
        <v>1425</v>
      </c>
      <c r="L309" s="521" t="s">
        <v>1436</v>
      </c>
      <c r="M309" s="521" t="s">
        <v>1437</v>
      </c>
      <c r="N309" s="521" t="s">
        <v>815</v>
      </c>
      <c r="O309" s="22" t="s">
        <v>576</v>
      </c>
      <c r="P309" s="69" t="s">
        <v>167</v>
      </c>
      <c r="Q309" s="529" t="s">
        <v>167</v>
      </c>
      <c r="R309" s="335" t="str">
        <f t="shared" ca="1" si="21"/>
        <v>N/A</v>
      </c>
      <c r="S309" s="335" t="str">
        <f t="shared" ca="1" si="22"/>
        <v>N/A</v>
      </c>
      <c r="T309" s="429" t="s">
        <v>598</v>
      </c>
      <c r="U309" s="22" t="s">
        <v>59</v>
      </c>
      <c r="V309" s="24"/>
      <c r="W309" s="21"/>
      <c r="Y309" s="490"/>
    </row>
    <row r="310" spans="1:25" ht="60">
      <c r="A310" s="31">
        <v>307</v>
      </c>
      <c r="B310" s="22" t="s">
        <v>39</v>
      </c>
      <c r="C310" s="22" t="s">
        <v>599</v>
      </c>
      <c r="D310" s="22" t="s">
        <v>600</v>
      </c>
      <c r="E310" s="23">
        <v>1</v>
      </c>
      <c r="F310" s="22" t="s">
        <v>523</v>
      </c>
      <c r="G310" s="22" t="s">
        <v>601</v>
      </c>
      <c r="H310" s="22" t="s">
        <v>30</v>
      </c>
      <c r="I310" s="22" t="s">
        <v>602</v>
      </c>
      <c r="J310" s="22" t="s">
        <v>603</v>
      </c>
      <c r="K310" s="519" t="s">
        <v>1438</v>
      </c>
      <c r="L310" s="521" t="s">
        <v>1439</v>
      </c>
      <c r="M310" s="521" t="s">
        <v>1440</v>
      </c>
      <c r="N310" s="521" t="s">
        <v>815</v>
      </c>
      <c r="O310" s="22" t="s">
        <v>604</v>
      </c>
      <c r="P310" s="69" t="s">
        <v>59</v>
      </c>
      <c r="Q310" s="535" t="s">
        <v>1438</v>
      </c>
      <c r="R310" s="335" t="str">
        <f t="shared" ca="1" si="21"/>
        <v>N/A</v>
      </c>
      <c r="S310" s="335" t="str">
        <f t="shared" ca="1" si="22"/>
        <v>N/A</v>
      </c>
      <c r="T310" s="429" t="s">
        <v>608</v>
      </c>
      <c r="U310" s="22" t="s">
        <v>609</v>
      </c>
      <c r="V310" s="24"/>
      <c r="W310" s="21"/>
      <c r="Y310" s="490"/>
    </row>
    <row r="311" spans="1:25" ht="45">
      <c r="A311" s="31">
        <v>308</v>
      </c>
      <c r="B311" s="22" t="s">
        <v>39</v>
      </c>
      <c r="C311" s="22" t="s">
        <v>599</v>
      </c>
      <c r="D311" s="22" t="s">
        <v>610</v>
      </c>
      <c r="E311" s="23">
        <v>1</v>
      </c>
      <c r="F311" s="22" t="s">
        <v>611</v>
      </c>
      <c r="G311" s="22" t="s">
        <v>601</v>
      </c>
      <c r="H311" s="22" t="s">
        <v>30</v>
      </c>
      <c r="I311" s="22" t="s">
        <v>612</v>
      </c>
      <c r="J311" s="22" t="s">
        <v>613</v>
      </c>
      <c r="K311" s="519" t="s">
        <v>1438</v>
      </c>
      <c r="L311" s="521" t="s">
        <v>1441</v>
      </c>
      <c r="M311" s="521" t="s">
        <v>1442</v>
      </c>
      <c r="N311" s="521" t="s">
        <v>815</v>
      </c>
      <c r="O311" s="22" t="s">
        <v>604</v>
      </c>
      <c r="P311" s="69" t="s">
        <v>59</v>
      </c>
      <c r="Q311" s="529" t="s">
        <v>1438</v>
      </c>
      <c r="R311" s="335" t="str">
        <f t="shared" ca="1" si="21"/>
        <v>N/A</v>
      </c>
      <c r="S311" s="335" t="str">
        <f t="shared" ca="1" si="22"/>
        <v>N/A</v>
      </c>
      <c r="T311" s="429" t="s">
        <v>608</v>
      </c>
      <c r="U311" s="22" t="s">
        <v>614</v>
      </c>
      <c r="V311" s="24"/>
      <c r="W311" s="21"/>
      <c r="Y311" s="490"/>
    </row>
    <row r="312" spans="1:25" ht="45">
      <c r="A312" s="31">
        <v>309</v>
      </c>
      <c r="B312" s="22" t="s">
        <v>39</v>
      </c>
      <c r="C312" s="22" t="s">
        <v>599</v>
      </c>
      <c r="D312" s="22" t="s">
        <v>615</v>
      </c>
      <c r="E312" s="23">
        <v>1</v>
      </c>
      <c r="F312" s="22" t="s">
        <v>616</v>
      </c>
      <c r="G312" s="22" t="s">
        <v>617</v>
      </c>
      <c r="H312" s="22" t="s">
        <v>30</v>
      </c>
      <c r="I312" s="22" t="s">
        <v>618</v>
      </c>
      <c r="J312" s="22" t="s">
        <v>619</v>
      </c>
      <c r="K312" s="519" t="s">
        <v>1438</v>
      </c>
      <c r="L312" s="521" t="s">
        <v>1443</v>
      </c>
      <c r="M312" s="521" t="s">
        <v>1444</v>
      </c>
      <c r="N312" s="521" t="s">
        <v>815</v>
      </c>
      <c r="O312" s="22" t="s">
        <v>604</v>
      </c>
      <c r="P312" s="69" t="s">
        <v>620</v>
      </c>
      <c r="Q312" s="529" t="s">
        <v>1438</v>
      </c>
      <c r="R312" s="335" t="str">
        <f t="shared" ca="1" si="21"/>
        <v>N/A</v>
      </c>
      <c r="S312" s="335" t="str">
        <f t="shared" ca="1" si="22"/>
        <v>N/A</v>
      </c>
      <c r="T312" s="429" t="s">
        <v>608</v>
      </c>
      <c r="U312" s="22" t="s">
        <v>622</v>
      </c>
      <c r="V312" s="24"/>
      <c r="W312" s="21"/>
      <c r="Y312" s="490"/>
    </row>
    <row r="313" spans="1:25" ht="90">
      <c r="A313" s="31">
        <v>310</v>
      </c>
      <c r="B313" s="22" t="s">
        <v>39</v>
      </c>
      <c r="C313" s="22" t="s">
        <v>599</v>
      </c>
      <c r="D313" s="22" t="s">
        <v>623</v>
      </c>
      <c r="E313" s="23">
        <v>1</v>
      </c>
      <c r="F313" s="22" t="s">
        <v>624</v>
      </c>
      <c r="G313" s="22" t="s">
        <v>625</v>
      </c>
      <c r="H313" s="22" t="s">
        <v>30</v>
      </c>
      <c r="I313" s="22" t="s">
        <v>626</v>
      </c>
      <c r="J313" s="22" t="s">
        <v>627</v>
      </c>
      <c r="K313" s="519" t="s">
        <v>1438</v>
      </c>
      <c r="L313" s="521" t="s">
        <v>1445</v>
      </c>
      <c r="M313" s="521" t="s">
        <v>1446</v>
      </c>
      <c r="N313" s="521" t="s">
        <v>815</v>
      </c>
      <c r="O313" s="22" t="s">
        <v>604</v>
      </c>
      <c r="P313" s="69">
        <v>2017</v>
      </c>
      <c r="Q313" s="529" t="s">
        <v>1438</v>
      </c>
      <c r="R313" s="335" t="str">
        <f t="shared" ca="1" si="21"/>
        <v>N/A</v>
      </c>
      <c r="S313" s="335" t="str">
        <f t="shared" ca="1" si="22"/>
        <v>N/A</v>
      </c>
      <c r="T313" s="429" t="s">
        <v>1447</v>
      </c>
      <c r="U313" s="22" t="s">
        <v>630</v>
      </c>
      <c r="V313" s="24"/>
      <c r="W313" s="21"/>
      <c r="Y313" s="490"/>
    </row>
    <row r="314" spans="1:25" ht="90">
      <c r="A314" s="31">
        <v>311</v>
      </c>
      <c r="B314" s="22" t="s">
        <v>39</v>
      </c>
      <c r="C314" s="22" t="s">
        <v>599</v>
      </c>
      <c r="D314" s="22" t="s">
        <v>631</v>
      </c>
      <c r="E314" s="23">
        <v>1</v>
      </c>
      <c r="F314" s="22" t="s">
        <v>624</v>
      </c>
      <c r="G314" s="22" t="s">
        <v>625</v>
      </c>
      <c r="H314" s="22" t="s">
        <v>30</v>
      </c>
      <c r="I314" s="22" t="s">
        <v>632</v>
      </c>
      <c r="J314" s="22" t="s">
        <v>633</v>
      </c>
      <c r="K314" s="519" t="s">
        <v>1438</v>
      </c>
      <c r="L314" s="521" t="s">
        <v>1448</v>
      </c>
      <c r="M314" s="521" t="s">
        <v>1449</v>
      </c>
      <c r="N314" s="521" t="s">
        <v>815</v>
      </c>
      <c r="O314" s="22" t="s">
        <v>604</v>
      </c>
      <c r="P314" s="69" t="s">
        <v>634</v>
      </c>
      <c r="Q314" s="529" t="s">
        <v>1438</v>
      </c>
      <c r="R314" s="335" t="str">
        <f t="shared" ca="1" si="21"/>
        <v>N/A</v>
      </c>
      <c r="S314" s="335" t="str">
        <f t="shared" ca="1" si="22"/>
        <v>N/A</v>
      </c>
      <c r="T314" s="429" t="s">
        <v>1450</v>
      </c>
      <c r="U314" s="22" t="s">
        <v>636</v>
      </c>
      <c r="V314" s="24"/>
      <c r="W314" s="21"/>
      <c r="Y314" s="490"/>
    </row>
    <row r="315" spans="1:25" ht="75">
      <c r="A315" s="31">
        <v>312</v>
      </c>
      <c r="B315" s="22" t="s">
        <v>39</v>
      </c>
      <c r="C315" s="22" t="s">
        <v>637</v>
      </c>
      <c r="D315" s="22" t="s">
        <v>638</v>
      </c>
      <c r="E315" s="23">
        <v>1</v>
      </c>
      <c r="F315" s="22" t="s">
        <v>639</v>
      </c>
      <c r="G315" s="22" t="s">
        <v>640</v>
      </c>
      <c r="H315" s="22" t="s">
        <v>30</v>
      </c>
      <c r="I315" s="22" t="s">
        <v>641</v>
      </c>
      <c r="J315" s="22" t="s">
        <v>642</v>
      </c>
      <c r="K315" s="519" t="s">
        <v>1438</v>
      </c>
      <c r="L315" s="521" t="s">
        <v>1451</v>
      </c>
      <c r="M315" s="521" t="s">
        <v>1452</v>
      </c>
      <c r="N315" s="521" t="s">
        <v>815</v>
      </c>
      <c r="O315" s="22" t="s">
        <v>604</v>
      </c>
      <c r="P315" s="69" t="s">
        <v>59</v>
      </c>
      <c r="Q315" s="529" t="s">
        <v>1438</v>
      </c>
      <c r="R315" s="335" t="str">
        <f t="shared" ca="1" si="21"/>
        <v>N/A</v>
      </c>
      <c r="S315" s="335" t="str">
        <f t="shared" ca="1" si="22"/>
        <v>N/A</v>
      </c>
      <c r="T315" s="429" t="s">
        <v>645</v>
      </c>
      <c r="U315" s="22" t="s">
        <v>646</v>
      </c>
      <c r="V315" s="24"/>
      <c r="W315" s="21"/>
      <c r="Y315" s="490"/>
    </row>
    <row r="316" spans="1:25" ht="120">
      <c r="A316" s="31">
        <v>313</v>
      </c>
      <c r="B316" s="22" t="s">
        <v>39</v>
      </c>
      <c r="C316" s="22" t="s">
        <v>637</v>
      </c>
      <c r="D316" s="22" t="s">
        <v>647</v>
      </c>
      <c r="E316" s="23">
        <v>1</v>
      </c>
      <c r="F316" s="22" t="s">
        <v>639</v>
      </c>
      <c r="G316" s="22" t="s">
        <v>640</v>
      </c>
      <c r="H316" s="22" t="s">
        <v>30</v>
      </c>
      <c r="I316" s="22" t="s">
        <v>648</v>
      </c>
      <c r="J316" s="22" t="s">
        <v>649</v>
      </c>
      <c r="K316" s="519" t="s">
        <v>1438</v>
      </c>
      <c r="L316" s="521" t="s">
        <v>1453</v>
      </c>
      <c r="M316" s="521" t="s">
        <v>1454</v>
      </c>
      <c r="N316" s="521" t="s">
        <v>815</v>
      </c>
      <c r="O316" s="22" t="s">
        <v>604</v>
      </c>
      <c r="P316" s="69" t="s">
        <v>59</v>
      </c>
      <c r="Q316" s="529" t="s">
        <v>1438</v>
      </c>
      <c r="R316" s="335" t="str">
        <f t="shared" ca="1" si="21"/>
        <v>N/A</v>
      </c>
      <c r="S316" s="335" t="str">
        <f t="shared" ca="1" si="22"/>
        <v>N/A</v>
      </c>
      <c r="T316" s="429" t="s">
        <v>608</v>
      </c>
      <c r="U316" s="22" t="s">
        <v>650</v>
      </c>
      <c r="V316" s="24"/>
      <c r="W316" s="21"/>
      <c r="Y316" s="490"/>
    </row>
    <row r="317" spans="1:25" ht="135">
      <c r="A317" s="31">
        <v>314</v>
      </c>
      <c r="B317" s="22" t="s">
        <v>39</v>
      </c>
      <c r="C317" s="22" t="s">
        <v>651</v>
      </c>
      <c r="D317" s="22" t="s">
        <v>652</v>
      </c>
      <c r="E317" s="23">
        <v>1</v>
      </c>
      <c r="F317" s="22" t="s">
        <v>653</v>
      </c>
      <c r="G317" s="22" t="s">
        <v>654</v>
      </c>
      <c r="H317" s="22" t="s">
        <v>30</v>
      </c>
      <c r="I317" s="22" t="s">
        <v>655</v>
      </c>
      <c r="J317" s="22" t="s">
        <v>656</v>
      </c>
      <c r="K317" s="519" t="s">
        <v>1438</v>
      </c>
      <c r="L317" s="521" t="s">
        <v>1455</v>
      </c>
      <c r="M317" s="521" t="s">
        <v>1456</v>
      </c>
      <c r="N317" s="521" t="s">
        <v>815</v>
      </c>
      <c r="O317" s="22" t="s">
        <v>604</v>
      </c>
      <c r="P317" s="69" t="s">
        <v>59</v>
      </c>
      <c r="Q317" s="529" t="s">
        <v>657</v>
      </c>
      <c r="R317" s="414" t="s">
        <v>657</v>
      </c>
      <c r="S317" s="335" t="str">
        <f t="shared" ca="1" si="22"/>
        <v>N/A</v>
      </c>
      <c r="T317" s="429" t="s">
        <v>658</v>
      </c>
      <c r="U317" s="22" t="s">
        <v>659</v>
      </c>
      <c r="V317" s="24"/>
      <c r="W317" s="21"/>
      <c r="Y317" s="490"/>
    </row>
    <row r="318" spans="1:25" ht="120">
      <c r="A318" s="31">
        <v>315</v>
      </c>
      <c r="B318" s="22" t="s">
        <v>39</v>
      </c>
      <c r="C318" s="22" t="s">
        <v>651</v>
      </c>
      <c r="D318" s="22" t="s">
        <v>660</v>
      </c>
      <c r="E318" s="23">
        <v>1</v>
      </c>
      <c r="F318" s="22" t="s">
        <v>661</v>
      </c>
      <c r="G318" s="22" t="s">
        <v>654</v>
      </c>
      <c r="H318" s="22" t="s">
        <v>30</v>
      </c>
      <c r="I318" s="22" t="s">
        <v>662</v>
      </c>
      <c r="J318" s="22" t="s">
        <v>663</v>
      </c>
      <c r="K318" s="519" t="s">
        <v>1438</v>
      </c>
      <c r="L318" s="521" t="s">
        <v>1457</v>
      </c>
      <c r="M318" s="521" t="s">
        <v>1458</v>
      </c>
      <c r="N318" s="521" t="s">
        <v>815</v>
      </c>
      <c r="O318" s="22" t="s">
        <v>604</v>
      </c>
      <c r="P318" s="69" t="s">
        <v>59</v>
      </c>
      <c r="Q318" s="529" t="s">
        <v>657</v>
      </c>
      <c r="R318" s="67" t="s">
        <v>59</v>
      </c>
      <c r="S318" s="335" t="str">
        <f t="shared" ca="1" si="22"/>
        <v>N/A</v>
      </c>
      <c r="T318" s="429" t="s">
        <v>664</v>
      </c>
      <c r="U318" s="22" t="s">
        <v>659</v>
      </c>
      <c r="V318" s="24"/>
      <c r="W318" s="21"/>
      <c r="Y318" s="490"/>
    </row>
    <row r="319" spans="1:25" ht="105">
      <c r="A319" s="31">
        <v>316</v>
      </c>
      <c r="B319" s="22" t="s">
        <v>39</v>
      </c>
      <c r="C319" s="22" t="s">
        <v>651</v>
      </c>
      <c r="D319" s="22" t="s">
        <v>665</v>
      </c>
      <c r="E319" s="23">
        <v>1</v>
      </c>
      <c r="F319" s="22" t="s">
        <v>142</v>
      </c>
      <c r="G319" s="22" t="s">
        <v>654</v>
      </c>
      <c r="H319" s="22" t="s">
        <v>30</v>
      </c>
      <c r="I319" s="22" t="s">
        <v>666</v>
      </c>
      <c r="J319" s="22" t="s">
        <v>667</v>
      </c>
      <c r="K319" s="519" t="s">
        <v>1438</v>
      </c>
      <c r="L319" s="521" t="s">
        <v>1459</v>
      </c>
      <c r="M319" s="521" t="s">
        <v>1460</v>
      </c>
      <c r="N319" s="521" t="s">
        <v>815</v>
      </c>
      <c r="O319" s="22" t="s">
        <v>604</v>
      </c>
      <c r="P319" s="69" t="s">
        <v>59</v>
      </c>
      <c r="Q319" s="529" t="s">
        <v>657</v>
      </c>
      <c r="R319" s="414" t="s">
        <v>657</v>
      </c>
      <c r="S319" s="335" t="str">
        <f t="shared" ca="1" si="22"/>
        <v>N/A</v>
      </c>
      <c r="T319" s="429" t="s">
        <v>668</v>
      </c>
      <c r="U319" s="22" t="s">
        <v>659</v>
      </c>
      <c r="V319" s="24"/>
      <c r="W319" s="21"/>
      <c r="Y319" s="490"/>
    </row>
    <row r="320" spans="1:25" ht="135">
      <c r="A320" s="31">
        <v>317</v>
      </c>
      <c r="B320" s="22" t="s">
        <v>39</v>
      </c>
      <c r="C320" s="22" t="s">
        <v>651</v>
      </c>
      <c r="D320" s="22" t="s">
        <v>669</v>
      </c>
      <c r="E320" s="23">
        <v>1</v>
      </c>
      <c r="F320" s="22" t="s">
        <v>523</v>
      </c>
      <c r="G320" s="22" t="s">
        <v>654</v>
      </c>
      <c r="H320" s="22" t="s">
        <v>30</v>
      </c>
      <c r="I320" s="22" t="s">
        <v>670</v>
      </c>
      <c r="J320" s="22" t="s">
        <v>671</v>
      </c>
      <c r="K320" s="519" t="s">
        <v>1438</v>
      </c>
      <c r="L320" s="521" t="s">
        <v>1461</v>
      </c>
      <c r="M320" s="521" t="s">
        <v>1462</v>
      </c>
      <c r="N320" s="521" t="s">
        <v>815</v>
      </c>
      <c r="O320" s="22" t="s">
        <v>604</v>
      </c>
      <c r="P320" s="69" t="s">
        <v>59</v>
      </c>
      <c r="Q320" s="529" t="s">
        <v>657</v>
      </c>
      <c r="R320" s="67" t="s">
        <v>59</v>
      </c>
      <c r="S320" s="335" t="str">
        <f t="shared" ca="1" si="22"/>
        <v>N/A</v>
      </c>
      <c r="T320" s="429" t="s">
        <v>672</v>
      </c>
      <c r="U320" s="22" t="s">
        <v>673</v>
      </c>
      <c r="V320" s="24"/>
      <c r="W320" s="21"/>
      <c r="Y320" s="490"/>
    </row>
    <row r="321" spans="1:25" ht="120">
      <c r="A321" s="31">
        <v>318</v>
      </c>
      <c r="B321" s="22" t="s">
        <v>39</v>
      </c>
      <c r="C321" s="22" t="s">
        <v>651</v>
      </c>
      <c r="D321" s="22" t="s">
        <v>674</v>
      </c>
      <c r="E321" s="23">
        <v>1</v>
      </c>
      <c r="F321" s="22" t="s">
        <v>675</v>
      </c>
      <c r="G321" s="22" t="s">
        <v>676</v>
      </c>
      <c r="H321" s="22" t="s">
        <v>30</v>
      </c>
      <c r="I321" s="22" t="s">
        <v>677</v>
      </c>
      <c r="J321" s="22" t="s">
        <v>678</v>
      </c>
      <c r="K321" s="519" t="s">
        <v>1438</v>
      </c>
      <c r="L321" s="521" t="s">
        <v>1463</v>
      </c>
      <c r="M321" s="521" t="s">
        <v>1464</v>
      </c>
      <c r="N321" s="521" t="s">
        <v>815</v>
      </c>
      <c r="O321" s="22" t="s">
        <v>604</v>
      </c>
      <c r="P321" s="69" t="s">
        <v>59</v>
      </c>
      <c r="Q321" s="529" t="s">
        <v>657</v>
      </c>
      <c r="R321" s="67" t="s">
        <v>59</v>
      </c>
      <c r="S321" s="335" t="str">
        <f t="shared" ca="1" si="22"/>
        <v>N/A</v>
      </c>
      <c r="T321" s="429" t="s">
        <v>679</v>
      </c>
      <c r="U321" s="22" t="s">
        <v>680</v>
      </c>
      <c r="V321" s="24"/>
      <c r="W321" s="21"/>
      <c r="Y321" s="490"/>
    </row>
    <row r="322" spans="1:25" ht="120">
      <c r="A322" s="31">
        <v>319</v>
      </c>
      <c r="B322" s="22" t="s">
        <v>39</v>
      </c>
      <c r="C322" s="22" t="s">
        <v>651</v>
      </c>
      <c r="D322" s="22" t="s">
        <v>681</v>
      </c>
      <c r="E322" s="23">
        <v>1</v>
      </c>
      <c r="F322" s="22" t="s">
        <v>682</v>
      </c>
      <c r="G322" s="22" t="s">
        <v>676</v>
      </c>
      <c r="H322" s="22" t="s">
        <v>30</v>
      </c>
      <c r="I322" s="22" t="s">
        <v>683</v>
      </c>
      <c r="J322" s="22" t="s">
        <v>684</v>
      </c>
      <c r="K322" s="519" t="s">
        <v>1438</v>
      </c>
      <c r="L322" s="521" t="s">
        <v>1465</v>
      </c>
      <c r="M322" s="521" t="s">
        <v>1466</v>
      </c>
      <c r="N322" s="521" t="s">
        <v>815</v>
      </c>
      <c r="O322" s="22" t="s">
        <v>604</v>
      </c>
      <c r="P322" s="69" t="s">
        <v>59</v>
      </c>
      <c r="Q322" s="529" t="s">
        <v>657</v>
      </c>
      <c r="R322" s="67" t="s">
        <v>59</v>
      </c>
      <c r="S322" s="335" t="str">
        <f t="shared" ca="1" si="22"/>
        <v>N/A</v>
      </c>
      <c r="T322" s="429" t="s">
        <v>679</v>
      </c>
      <c r="U322" s="22" t="s">
        <v>680</v>
      </c>
      <c r="V322" s="24"/>
      <c r="W322" s="21"/>
      <c r="Y322" s="490"/>
    </row>
    <row r="323" spans="1:25" ht="120">
      <c r="A323" s="31">
        <v>320</v>
      </c>
      <c r="B323" s="22" t="s">
        <v>39</v>
      </c>
      <c r="C323" s="22" t="s">
        <v>651</v>
      </c>
      <c r="D323" s="22" t="s">
        <v>685</v>
      </c>
      <c r="E323" s="23">
        <v>1</v>
      </c>
      <c r="F323" s="22" t="s">
        <v>686</v>
      </c>
      <c r="G323" s="22" t="s">
        <v>676</v>
      </c>
      <c r="H323" s="22" t="s">
        <v>30</v>
      </c>
      <c r="I323" s="22" t="s">
        <v>687</v>
      </c>
      <c r="J323" s="22" t="s">
        <v>688</v>
      </c>
      <c r="K323" s="519" t="s">
        <v>1438</v>
      </c>
      <c r="L323" s="521" t="s">
        <v>1467</v>
      </c>
      <c r="M323" s="521" t="s">
        <v>1468</v>
      </c>
      <c r="N323" s="521" t="s">
        <v>815</v>
      </c>
      <c r="O323" s="22" t="s">
        <v>604</v>
      </c>
      <c r="P323" s="69" t="s">
        <v>59</v>
      </c>
      <c r="Q323" s="529" t="s">
        <v>657</v>
      </c>
      <c r="R323" s="67" t="s">
        <v>59</v>
      </c>
      <c r="S323" s="335" t="str">
        <f t="shared" ca="1" si="22"/>
        <v>N/A</v>
      </c>
      <c r="T323" s="429" t="s">
        <v>679</v>
      </c>
      <c r="U323" s="22" t="s">
        <v>680</v>
      </c>
      <c r="V323" s="24"/>
      <c r="W323" s="21"/>
      <c r="Y323" s="490"/>
    </row>
    <row r="324" spans="1:25" ht="195">
      <c r="A324" s="31">
        <v>321</v>
      </c>
      <c r="B324" s="22" t="s">
        <v>39</v>
      </c>
      <c r="C324" s="22" t="s">
        <v>651</v>
      </c>
      <c r="D324" s="22" t="s">
        <v>689</v>
      </c>
      <c r="E324" s="23">
        <v>1</v>
      </c>
      <c r="F324" s="22" t="s">
        <v>690</v>
      </c>
      <c r="G324" s="22" t="s">
        <v>691</v>
      </c>
      <c r="H324" s="22" t="s">
        <v>30</v>
      </c>
      <c r="I324" s="22" t="s">
        <v>692</v>
      </c>
      <c r="J324" s="22" t="s">
        <v>693</v>
      </c>
      <c r="K324" s="519" t="s">
        <v>1438</v>
      </c>
      <c r="L324" s="521" t="s">
        <v>1469</v>
      </c>
      <c r="M324" s="521" t="s">
        <v>1470</v>
      </c>
      <c r="N324" s="521" t="s">
        <v>815</v>
      </c>
      <c r="O324" s="22" t="s">
        <v>604</v>
      </c>
      <c r="P324" s="69" t="s">
        <v>59</v>
      </c>
      <c r="Q324" s="529" t="s">
        <v>657</v>
      </c>
      <c r="R324" s="67" t="s">
        <v>59</v>
      </c>
      <c r="S324" s="335" t="str">
        <f t="shared" ca="1" si="22"/>
        <v>N/A</v>
      </c>
      <c r="T324" s="429" t="s">
        <v>694</v>
      </c>
      <c r="U324" s="22" t="s">
        <v>695</v>
      </c>
      <c r="V324" s="24"/>
      <c r="W324" s="21"/>
      <c r="Y324" s="490"/>
    </row>
    <row r="325" spans="1:25" ht="195">
      <c r="A325" s="31">
        <v>322</v>
      </c>
      <c r="B325" s="22" t="s">
        <v>39</v>
      </c>
      <c r="C325" s="22" t="s">
        <v>651</v>
      </c>
      <c r="D325" s="22" t="s">
        <v>696</v>
      </c>
      <c r="E325" s="23">
        <v>1</v>
      </c>
      <c r="F325" s="22" t="s">
        <v>697</v>
      </c>
      <c r="G325" s="22" t="s">
        <v>691</v>
      </c>
      <c r="H325" s="22" t="s">
        <v>30</v>
      </c>
      <c r="I325" s="22" t="s">
        <v>698</v>
      </c>
      <c r="J325" s="22" t="s">
        <v>699</v>
      </c>
      <c r="K325" s="519" t="s">
        <v>1438</v>
      </c>
      <c r="L325" s="521" t="s">
        <v>1471</v>
      </c>
      <c r="M325" s="521" t="s">
        <v>1472</v>
      </c>
      <c r="N325" s="521" t="s">
        <v>815</v>
      </c>
      <c r="O325" s="22" t="s">
        <v>604</v>
      </c>
      <c r="P325" s="69" t="s">
        <v>59</v>
      </c>
      <c r="Q325" s="529" t="s">
        <v>1438</v>
      </c>
      <c r="R325" s="67" t="s">
        <v>59</v>
      </c>
      <c r="S325" s="335" t="str">
        <f t="shared" ca="1" si="22"/>
        <v>N/A</v>
      </c>
      <c r="T325" s="429" t="s">
        <v>694</v>
      </c>
      <c r="U325" s="22" t="s">
        <v>695</v>
      </c>
      <c r="V325" s="24"/>
      <c r="W325" s="21"/>
      <c r="Y325" s="490"/>
    </row>
    <row r="326" spans="1:25" ht="195">
      <c r="A326" s="31">
        <v>323</v>
      </c>
      <c r="B326" s="22" t="s">
        <v>39</v>
      </c>
      <c r="C326" s="22" t="s">
        <v>651</v>
      </c>
      <c r="D326" s="22" t="s">
        <v>700</v>
      </c>
      <c r="E326" s="23">
        <v>1</v>
      </c>
      <c r="F326" s="22" t="s">
        <v>701</v>
      </c>
      <c r="G326" s="22" t="s">
        <v>691</v>
      </c>
      <c r="H326" s="22" t="s">
        <v>30</v>
      </c>
      <c r="I326" s="22" t="s">
        <v>702</v>
      </c>
      <c r="J326" s="22" t="s">
        <v>703</v>
      </c>
      <c r="K326" s="519" t="s">
        <v>1438</v>
      </c>
      <c r="L326" s="521" t="s">
        <v>1473</v>
      </c>
      <c r="M326" s="521" t="s">
        <v>1474</v>
      </c>
      <c r="N326" s="521" t="s">
        <v>815</v>
      </c>
      <c r="O326" s="22" t="s">
        <v>604</v>
      </c>
      <c r="P326" s="69" t="s">
        <v>59</v>
      </c>
      <c r="Q326" s="529" t="s">
        <v>1438</v>
      </c>
      <c r="R326" s="67" t="s">
        <v>59</v>
      </c>
      <c r="S326" s="335" t="str">
        <f t="shared" ca="1" si="22"/>
        <v>N/A</v>
      </c>
      <c r="T326" s="429" t="s">
        <v>694</v>
      </c>
      <c r="U326" s="22" t="s">
        <v>695</v>
      </c>
      <c r="V326" s="24"/>
      <c r="W326" s="21"/>
      <c r="Y326" s="490"/>
    </row>
    <row r="327" spans="1:25" ht="195">
      <c r="A327" s="31">
        <v>324</v>
      </c>
      <c r="B327" s="22" t="s">
        <v>39</v>
      </c>
      <c r="C327" s="22" t="s">
        <v>651</v>
      </c>
      <c r="D327" s="22" t="s">
        <v>704</v>
      </c>
      <c r="E327" s="23">
        <v>1</v>
      </c>
      <c r="F327" s="22" t="s">
        <v>705</v>
      </c>
      <c r="G327" s="22" t="s">
        <v>691</v>
      </c>
      <c r="H327" s="22" t="s">
        <v>30</v>
      </c>
      <c r="I327" s="22" t="s">
        <v>706</v>
      </c>
      <c r="J327" s="22" t="s">
        <v>707</v>
      </c>
      <c r="K327" s="519" t="s">
        <v>1438</v>
      </c>
      <c r="L327" s="521" t="s">
        <v>1475</v>
      </c>
      <c r="M327" s="521" t="s">
        <v>1476</v>
      </c>
      <c r="N327" s="521" t="s">
        <v>815</v>
      </c>
      <c r="O327" s="22" t="s">
        <v>604</v>
      </c>
      <c r="P327" s="69" t="s">
        <v>59</v>
      </c>
      <c r="Q327" s="529" t="s">
        <v>1438</v>
      </c>
      <c r="R327" s="67" t="s">
        <v>59</v>
      </c>
      <c r="S327" s="335" t="str">
        <f t="shared" ca="1" si="22"/>
        <v>N/A</v>
      </c>
      <c r="T327" s="429" t="s">
        <v>694</v>
      </c>
      <c r="U327" s="22" t="s">
        <v>708</v>
      </c>
      <c r="V327" s="24"/>
      <c r="W327" s="21"/>
      <c r="Y327" s="490"/>
    </row>
    <row r="328" spans="1:25" ht="195">
      <c r="A328" s="31">
        <v>325</v>
      </c>
      <c r="B328" s="22" t="s">
        <v>39</v>
      </c>
      <c r="C328" s="22" t="s">
        <v>651</v>
      </c>
      <c r="D328" s="22" t="s">
        <v>709</v>
      </c>
      <c r="E328" s="23">
        <v>1</v>
      </c>
      <c r="F328" s="22" t="s">
        <v>690</v>
      </c>
      <c r="G328" s="22" t="s">
        <v>691</v>
      </c>
      <c r="H328" s="22" t="s">
        <v>30</v>
      </c>
      <c r="I328" s="22" t="s">
        <v>710</v>
      </c>
      <c r="J328" s="22" t="s">
        <v>711</v>
      </c>
      <c r="K328" s="519" t="s">
        <v>1438</v>
      </c>
      <c r="L328" s="521" t="s">
        <v>1477</v>
      </c>
      <c r="M328" s="521" t="s">
        <v>1478</v>
      </c>
      <c r="N328" s="521" t="s">
        <v>815</v>
      </c>
      <c r="O328" s="22" t="s">
        <v>604</v>
      </c>
      <c r="P328" s="69" t="s">
        <v>59</v>
      </c>
      <c r="Q328" s="529" t="s">
        <v>1438</v>
      </c>
      <c r="R328" s="67" t="s">
        <v>59</v>
      </c>
      <c r="S328" s="335" t="str">
        <f t="shared" ca="1" si="22"/>
        <v>N/A</v>
      </c>
      <c r="T328" s="429" t="s">
        <v>712</v>
      </c>
      <c r="U328" s="22" t="s">
        <v>695</v>
      </c>
      <c r="V328" s="24"/>
      <c r="W328" s="21"/>
      <c r="Y328" s="490"/>
    </row>
    <row r="329" spans="1:25" ht="195">
      <c r="A329" s="31">
        <v>326</v>
      </c>
      <c r="B329" s="22" t="s">
        <v>39</v>
      </c>
      <c r="C329" s="22" t="s">
        <v>651</v>
      </c>
      <c r="D329" s="22" t="s">
        <v>713</v>
      </c>
      <c r="E329" s="23">
        <v>1</v>
      </c>
      <c r="F329" s="22" t="s">
        <v>697</v>
      </c>
      <c r="G329" s="22" t="s">
        <v>691</v>
      </c>
      <c r="H329" s="22" t="s">
        <v>30</v>
      </c>
      <c r="I329" s="22" t="s">
        <v>714</v>
      </c>
      <c r="J329" s="22" t="s">
        <v>715</v>
      </c>
      <c r="K329" s="519" t="s">
        <v>1438</v>
      </c>
      <c r="L329" s="521" t="s">
        <v>1479</v>
      </c>
      <c r="M329" s="521" t="s">
        <v>1480</v>
      </c>
      <c r="N329" s="521" t="s">
        <v>815</v>
      </c>
      <c r="O329" s="22" t="s">
        <v>604</v>
      </c>
      <c r="P329" s="69" t="s">
        <v>59</v>
      </c>
      <c r="Q329" s="529" t="s">
        <v>1438</v>
      </c>
      <c r="R329" s="67" t="s">
        <v>59</v>
      </c>
      <c r="S329" s="335" t="str">
        <f t="shared" ca="1" si="22"/>
        <v>N/A</v>
      </c>
      <c r="T329" s="429" t="s">
        <v>712</v>
      </c>
      <c r="U329" s="22" t="s">
        <v>695</v>
      </c>
      <c r="V329" s="24"/>
      <c r="W329" s="21"/>
      <c r="Y329" s="490"/>
    </row>
    <row r="330" spans="1:25" ht="195">
      <c r="A330" s="31">
        <v>327</v>
      </c>
      <c r="B330" s="22" t="s">
        <v>39</v>
      </c>
      <c r="C330" s="22" t="s">
        <v>651</v>
      </c>
      <c r="D330" s="22" t="s">
        <v>716</v>
      </c>
      <c r="E330" s="23">
        <v>1</v>
      </c>
      <c r="F330" s="22" t="s">
        <v>701</v>
      </c>
      <c r="G330" s="22" t="s">
        <v>691</v>
      </c>
      <c r="H330" s="22" t="s">
        <v>30</v>
      </c>
      <c r="I330" s="22" t="s">
        <v>717</v>
      </c>
      <c r="J330" s="22" t="s">
        <v>718</v>
      </c>
      <c r="K330" s="519" t="s">
        <v>1438</v>
      </c>
      <c r="L330" s="521" t="s">
        <v>1481</v>
      </c>
      <c r="M330" s="521" t="s">
        <v>1482</v>
      </c>
      <c r="N330" s="521" t="s">
        <v>815</v>
      </c>
      <c r="O330" s="22" t="s">
        <v>604</v>
      </c>
      <c r="P330" s="69" t="s">
        <v>59</v>
      </c>
      <c r="Q330" s="529" t="s">
        <v>1438</v>
      </c>
      <c r="R330" s="67" t="s">
        <v>59</v>
      </c>
      <c r="S330" s="335" t="str">
        <f t="shared" ca="1" si="22"/>
        <v>N/A</v>
      </c>
      <c r="T330" s="429" t="s">
        <v>712</v>
      </c>
      <c r="U330" s="22" t="s">
        <v>695</v>
      </c>
      <c r="V330" s="24"/>
      <c r="W330" s="21"/>
      <c r="Y330" s="490"/>
    </row>
    <row r="331" spans="1:25" ht="195">
      <c r="A331" s="31">
        <v>328</v>
      </c>
      <c r="B331" s="22" t="s">
        <v>39</v>
      </c>
      <c r="C331" s="22" t="s">
        <v>651</v>
      </c>
      <c r="D331" s="22" t="s">
        <v>719</v>
      </c>
      <c r="E331" s="23">
        <v>1</v>
      </c>
      <c r="F331" s="22" t="s">
        <v>705</v>
      </c>
      <c r="G331" s="22" t="s">
        <v>691</v>
      </c>
      <c r="H331" s="22" t="s">
        <v>30</v>
      </c>
      <c r="I331" s="22" t="s">
        <v>720</v>
      </c>
      <c r="J331" s="22" t="s">
        <v>721</v>
      </c>
      <c r="K331" s="519" t="s">
        <v>1438</v>
      </c>
      <c r="L331" s="521" t="s">
        <v>1483</v>
      </c>
      <c r="M331" s="521" t="s">
        <v>1484</v>
      </c>
      <c r="N331" s="521" t="s">
        <v>815</v>
      </c>
      <c r="O331" s="22" t="s">
        <v>604</v>
      </c>
      <c r="P331" s="69" t="s">
        <v>59</v>
      </c>
      <c r="Q331" s="529" t="s">
        <v>1438</v>
      </c>
      <c r="R331" s="67" t="s">
        <v>59</v>
      </c>
      <c r="S331" s="335" t="str">
        <f t="shared" ca="1" si="22"/>
        <v>N/A</v>
      </c>
      <c r="T331" s="429" t="s">
        <v>712</v>
      </c>
      <c r="U331" s="22" t="s">
        <v>695</v>
      </c>
      <c r="V331" s="24"/>
      <c r="W331" s="21"/>
      <c r="Y331" s="490"/>
    </row>
    <row r="332" spans="1:25" ht="165">
      <c r="A332" s="32">
        <v>329</v>
      </c>
      <c r="B332" s="25" t="s">
        <v>39</v>
      </c>
      <c r="C332" s="25" t="s">
        <v>722</v>
      </c>
      <c r="D332" s="25" t="s">
        <v>723</v>
      </c>
      <c r="E332" s="26">
        <v>1</v>
      </c>
      <c r="F332" s="25" t="s">
        <v>724</v>
      </c>
      <c r="G332" s="25" t="s">
        <v>725</v>
      </c>
      <c r="H332" s="25" t="s">
        <v>30</v>
      </c>
      <c r="I332" s="25" t="s">
        <v>726</v>
      </c>
      <c r="J332" s="25" t="s">
        <v>727</v>
      </c>
      <c r="K332" s="519" t="s">
        <v>1438</v>
      </c>
      <c r="L332" s="521" t="s">
        <v>1485</v>
      </c>
      <c r="M332" s="521" t="s">
        <v>1486</v>
      </c>
      <c r="N332" s="523" t="s">
        <v>815</v>
      </c>
      <c r="O332" s="25" t="s">
        <v>604</v>
      </c>
      <c r="P332" s="69" t="s">
        <v>59</v>
      </c>
      <c r="Q332" s="536" t="s">
        <v>1438</v>
      </c>
      <c r="R332" s="526" t="s">
        <v>59</v>
      </c>
      <c r="S332" s="335" t="str">
        <f t="shared" ca="1" si="22"/>
        <v>N/A</v>
      </c>
      <c r="T332" s="27" t="s">
        <v>730</v>
      </c>
      <c r="U332" s="25" t="s">
        <v>731</v>
      </c>
      <c r="V332" s="28"/>
      <c r="W332" s="27"/>
      <c r="Y332" s="490"/>
    </row>
  </sheetData>
  <autoFilter ref="A2:W332" xr:uid="{DBF9CB31-CDA7-429E-AD0F-4469299D3D09}"/>
  <mergeCells count="2">
    <mergeCell ref="A1:A2"/>
    <mergeCell ref="P1:S1"/>
  </mergeCells>
  <printOptions horizontalCentered="1"/>
  <pageMargins left="0.2" right="0.2" top="0.75" bottom="0.75" header="0.3" footer="0.3"/>
  <pageSetup scale="28" fitToHeight="0" orientation="landscape" r:id="rId1"/>
  <headerFooter>
    <oddFooter>&amp;RMay 1, 2019</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6900-42CE-40DD-8F09-F332A152ADA4}">
  <sheetPr>
    <tabColor rgb="FF00B0F0"/>
    <pageSetUpPr fitToPage="1"/>
  </sheetPr>
  <dimension ref="A1:Y332"/>
  <sheetViews>
    <sheetView showGridLines="0" zoomScale="80" zoomScaleNormal="80" zoomScaleSheetLayoutView="70" workbookViewId="0">
      <pane xSplit="9" ySplit="2" topLeftCell="K3" activePane="bottomRight" state="frozen"/>
      <selection activeCell="Q4" sqref="Q4"/>
      <selection pane="topRight" activeCell="Q4" sqref="Q4"/>
      <selection pane="bottomLeft" activeCell="Q4" sqref="Q4"/>
      <selection pane="bottomRight" activeCell="Q4" sqref="Q4"/>
    </sheetView>
  </sheetViews>
  <sheetFormatPr defaultColWidth="49.7109375" defaultRowHeight="15"/>
  <cols>
    <col min="1" max="1" width="5.28515625" style="15" bestFit="1" customWidth="1"/>
    <col min="2" max="2" width="9.28515625" style="13" bestFit="1" customWidth="1"/>
    <col min="3" max="3" width="10.85546875" style="13" bestFit="1" customWidth="1"/>
    <col min="4" max="4" width="12" style="13" bestFit="1" customWidth="1"/>
    <col min="5" max="5" width="12.85546875" style="15" bestFit="1" customWidth="1"/>
    <col min="6" max="6" width="19.28515625" style="15" bestFit="1" customWidth="1"/>
    <col min="7" max="7" width="22.140625" style="13" bestFit="1" customWidth="1"/>
    <col min="8" max="8" width="14.5703125" style="13" bestFit="1" customWidth="1"/>
    <col min="9" max="9" width="53.85546875" style="13" bestFit="1" customWidth="1"/>
    <col min="10" max="10" width="37.28515625" style="13" bestFit="1" customWidth="1"/>
    <col min="11" max="11" width="17.140625" style="516" bestFit="1" customWidth="1"/>
    <col min="12" max="12" width="13.140625" style="520" bestFit="1" customWidth="1"/>
    <col min="13" max="13" width="12.42578125" style="520" bestFit="1" customWidth="1"/>
    <col min="14" max="14" width="13.42578125" style="520" bestFit="1" customWidth="1"/>
    <col min="15" max="15" width="21.85546875" style="13" customWidth="1"/>
    <col min="16" max="16" width="21.5703125" style="427" bestFit="1" customWidth="1"/>
    <col min="17" max="17" width="23.140625" style="528" bestFit="1" customWidth="1"/>
    <col min="18" max="18" width="17.42578125" style="428" bestFit="1" customWidth="1"/>
    <col min="19" max="19" width="18.5703125" style="428" bestFit="1" customWidth="1"/>
    <col min="20" max="20" width="50.140625" style="16" bestFit="1" customWidth="1"/>
    <col min="21" max="21" width="63.85546875" style="13" bestFit="1" customWidth="1"/>
    <col min="22" max="22" width="17.28515625" style="13" bestFit="1" customWidth="1"/>
    <col min="23" max="23" width="11.5703125" style="13" bestFit="1" customWidth="1"/>
    <col min="24" max="24" width="15.42578125" style="488" hidden="1" customWidth="1"/>
    <col min="25" max="25" width="17.5703125" style="14" customWidth="1"/>
    <col min="26" max="16384" width="49.7109375" style="14"/>
  </cols>
  <sheetData>
    <row r="1" spans="1:25">
      <c r="A1" s="834" t="s">
        <v>16</v>
      </c>
      <c r="P1" s="845"/>
      <c r="Q1" s="846"/>
      <c r="R1" s="847"/>
      <c r="S1" s="848"/>
    </row>
    <row r="2" spans="1:25" s="18" customFormat="1" ht="50.45" customHeight="1">
      <c r="A2" s="834"/>
      <c r="B2" s="554" t="s">
        <v>22</v>
      </c>
      <c r="C2" s="554" t="s">
        <v>23</v>
      </c>
      <c r="D2" s="554" t="s">
        <v>24</v>
      </c>
      <c r="E2" s="333" t="s">
        <v>25</v>
      </c>
      <c r="F2" s="333" t="s">
        <v>26</v>
      </c>
      <c r="G2" s="333" t="s">
        <v>27</v>
      </c>
      <c r="H2" s="333" t="s">
        <v>28</v>
      </c>
      <c r="I2" s="333" t="s">
        <v>29</v>
      </c>
      <c r="J2" s="333" t="s">
        <v>30</v>
      </c>
      <c r="K2" s="581" t="s">
        <v>807</v>
      </c>
      <c r="L2" s="517" t="s">
        <v>808</v>
      </c>
      <c r="M2" s="517" t="s">
        <v>809</v>
      </c>
      <c r="N2" s="581" t="s">
        <v>810</v>
      </c>
      <c r="O2" s="413" t="s">
        <v>31</v>
      </c>
      <c r="P2" s="555" t="s">
        <v>32</v>
      </c>
      <c r="Q2" s="524" t="s">
        <v>811</v>
      </c>
      <c r="R2" s="370" t="s">
        <v>33</v>
      </c>
      <c r="S2" s="556" t="s">
        <v>34</v>
      </c>
      <c r="T2" s="333" t="s">
        <v>35</v>
      </c>
      <c r="U2" s="333" t="s">
        <v>36</v>
      </c>
      <c r="V2" s="333" t="s">
        <v>37</v>
      </c>
      <c r="W2" s="334" t="s">
        <v>38</v>
      </c>
      <c r="X2" s="489"/>
    </row>
    <row r="3" spans="1:25" s="18" customFormat="1" ht="30">
      <c r="A3" s="30">
        <v>0</v>
      </c>
      <c r="B3" s="19" t="s">
        <v>39</v>
      </c>
      <c r="C3" s="19" t="s">
        <v>40</v>
      </c>
      <c r="D3" s="19" t="s">
        <v>41</v>
      </c>
      <c r="E3" s="20" t="s">
        <v>42</v>
      </c>
      <c r="F3" s="19" t="s">
        <v>43</v>
      </c>
      <c r="G3" s="19" t="s">
        <v>44</v>
      </c>
      <c r="H3" s="19" t="s">
        <v>30</v>
      </c>
      <c r="I3" s="19" t="s">
        <v>45</v>
      </c>
      <c r="J3" s="19" t="s">
        <v>46</v>
      </c>
      <c r="K3" s="518" t="s">
        <v>812</v>
      </c>
      <c r="L3" s="521" t="s">
        <v>813</v>
      </c>
      <c r="M3" s="521" t="s">
        <v>814</v>
      </c>
      <c r="N3" s="521" t="s">
        <v>815</v>
      </c>
      <c r="O3" s="19" t="s">
        <v>47</v>
      </c>
      <c r="P3" s="426">
        <v>2018</v>
      </c>
      <c r="Q3" s="414">
        <f ca="1">SUMIF(INDIRECT("'"&amp;K3&amp;"'!c:c"),A3,INDIRECT("'"&amp;K3&amp;"'!f:f"))</f>
        <v>314738.79214771045</v>
      </c>
      <c r="R3" s="335" t="str">
        <f t="shared" ref="R3:R66" ca="1" si="0">IF($N3 = "N","N/A",SUMIF(INDIRECT("'"&amp;K3&amp;"'!i:i"),L3,INDIRECT("'"&amp;K3&amp;"'!m:m")))</f>
        <v>N/A</v>
      </c>
      <c r="S3" s="335" t="str">
        <f t="shared" ref="S3:S66" ca="1" si="1">IF($N3 = "N","N/A",SUMIF(INDIRECT("'"&amp;K3&amp;"'!i:i"),M3,INDIRECT("'"&amp;K3&amp;"'!m:m")))</f>
        <v>N/A</v>
      </c>
      <c r="T3" s="21" t="s">
        <v>48</v>
      </c>
      <c r="U3" s="19" t="s">
        <v>49</v>
      </c>
      <c r="V3" s="29"/>
      <c r="W3" s="21"/>
      <c r="X3" s="489"/>
      <c r="Y3" s="490"/>
    </row>
    <row r="4" spans="1:25" ht="45">
      <c r="A4" s="30">
        <v>1</v>
      </c>
      <c r="B4" s="19" t="s">
        <v>39</v>
      </c>
      <c r="C4" s="19" t="s">
        <v>50</v>
      </c>
      <c r="D4" s="19" t="s">
        <v>41</v>
      </c>
      <c r="E4" s="20" t="s">
        <v>51</v>
      </c>
      <c r="F4" s="19" t="s">
        <v>52</v>
      </c>
      <c r="G4" s="19" t="s">
        <v>53</v>
      </c>
      <c r="H4" s="19" t="s">
        <v>30</v>
      </c>
      <c r="I4" s="19" t="s">
        <v>54</v>
      </c>
      <c r="J4" s="22" t="s">
        <v>52</v>
      </c>
      <c r="K4" s="518" t="s">
        <v>812</v>
      </c>
      <c r="L4" s="521" t="s">
        <v>368</v>
      </c>
      <c r="M4" s="521" t="s">
        <v>816</v>
      </c>
      <c r="N4" s="521" t="s">
        <v>815</v>
      </c>
      <c r="O4" s="19" t="s">
        <v>47</v>
      </c>
      <c r="P4" s="426">
        <v>2018</v>
      </c>
      <c r="Q4" s="414">
        <f t="shared" ref="Q4:Q67" ca="1" si="2">SUMIF(INDIRECT("'"&amp;K4&amp;"'!c:c"),A4,INDIRECT("'"&amp;K4&amp;"'!f:f"))</f>
        <v>132022.27971599301</v>
      </c>
      <c r="R4" s="335" t="str">
        <f t="shared" ca="1" si="0"/>
        <v>N/A</v>
      </c>
      <c r="S4" s="335" t="str">
        <f t="shared" ca="1" si="1"/>
        <v>N/A</v>
      </c>
      <c r="T4" s="429" t="s">
        <v>48</v>
      </c>
      <c r="U4" s="19"/>
      <c r="V4" s="29"/>
      <c r="W4" s="21"/>
      <c r="Y4" s="490"/>
    </row>
    <row r="5" spans="1:25" ht="45">
      <c r="A5" s="31">
        <v>2</v>
      </c>
      <c r="B5" s="22" t="s">
        <v>39</v>
      </c>
      <c r="C5" s="22" t="s">
        <v>50</v>
      </c>
      <c r="D5" s="22" t="s">
        <v>41</v>
      </c>
      <c r="E5" s="23" t="s">
        <v>51</v>
      </c>
      <c r="F5" s="22" t="s">
        <v>55</v>
      </c>
      <c r="G5" s="22" t="s">
        <v>53</v>
      </c>
      <c r="H5" s="22" t="s">
        <v>30</v>
      </c>
      <c r="I5" s="22" t="s">
        <v>54</v>
      </c>
      <c r="J5" s="22" t="s">
        <v>55</v>
      </c>
      <c r="K5" s="518" t="s">
        <v>812</v>
      </c>
      <c r="L5" s="521" t="s">
        <v>373</v>
      </c>
      <c r="M5" s="521" t="s">
        <v>316</v>
      </c>
      <c r="N5" s="521" t="s">
        <v>815</v>
      </c>
      <c r="O5" s="22" t="s">
        <v>47</v>
      </c>
      <c r="P5" s="426">
        <v>2018</v>
      </c>
      <c r="Q5" s="414">
        <f t="shared" ca="1" si="2"/>
        <v>129587.916603294</v>
      </c>
      <c r="R5" s="335" t="str">
        <f t="shared" ca="1" si="0"/>
        <v>N/A</v>
      </c>
      <c r="S5" s="335" t="str">
        <f t="shared" ca="1" si="1"/>
        <v>N/A</v>
      </c>
      <c r="T5" s="429" t="s">
        <v>48</v>
      </c>
      <c r="U5" s="22"/>
      <c r="V5" s="24"/>
      <c r="W5" s="21"/>
      <c r="Y5" s="490"/>
    </row>
    <row r="6" spans="1:25" ht="45">
      <c r="A6" s="31">
        <v>3</v>
      </c>
      <c r="B6" s="22" t="s">
        <v>39</v>
      </c>
      <c r="C6" s="22" t="s">
        <v>50</v>
      </c>
      <c r="D6" s="22" t="s">
        <v>41</v>
      </c>
      <c r="E6" s="23" t="s">
        <v>51</v>
      </c>
      <c r="F6" s="22" t="s">
        <v>56</v>
      </c>
      <c r="G6" s="22" t="s">
        <v>53</v>
      </c>
      <c r="H6" s="22" t="s">
        <v>30</v>
      </c>
      <c r="I6" s="22" t="s">
        <v>54</v>
      </c>
      <c r="J6" s="22" t="s">
        <v>56</v>
      </c>
      <c r="K6" s="518" t="s">
        <v>812</v>
      </c>
      <c r="L6" s="521" t="s">
        <v>817</v>
      </c>
      <c r="M6" s="521" t="s">
        <v>818</v>
      </c>
      <c r="N6" s="521" t="s">
        <v>815</v>
      </c>
      <c r="O6" s="22" t="s">
        <v>47</v>
      </c>
      <c r="P6" s="426">
        <v>2018</v>
      </c>
      <c r="Q6" s="414">
        <f t="shared" ca="1" si="2"/>
        <v>460021010.46108401</v>
      </c>
      <c r="R6" s="335" t="str">
        <f t="shared" ca="1" si="0"/>
        <v>N/A</v>
      </c>
      <c r="S6" s="335" t="str">
        <f t="shared" ca="1" si="1"/>
        <v>N/A</v>
      </c>
      <c r="T6" s="429" t="s">
        <v>48</v>
      </c>
      <c r="U6" s="22"/>
      <c r="V6" s="24"/>
      <c r="W6" s="21"/>
      <c r="Y6" s="490"/>
    </row>
    <row r="7" spans="1:25" ht="45">
      <c r="A7" s="31">
        <v>4</v>
      </c>
      <c r="B7" s="22" t="s">
        <v>39</v>
      </c>
      <c r="C7" s="22" t="s">
        <v>50</v>
      </c>
      <c r="D7" s="22" t="s">
        <v>41</v>
      </c>
      <c r="E7" s="23" t="s">
        <v>51</v>
      </c>
      <c r="F7" s="22" t="s">
        <v>57</v>
      </c>
      <c r="G7" s="22" t="s">
        <v>53</v>
      </c>
      <c r="H7" s="22" t="s">
        <v>30</v>
      </c>
      <c r="I7" s="22" t="s">
        <v>54</v>
      </c>
      <c r="J7" s="22" t="s">
        <v>57</v>
      </c>
      <c r="K7" s="518" t="s">
        <v>812</v>
      </c>
      <c r="L7" s="521" t="s">
        <v>819</v>
      </c>
      <c r="M7" s="521" t="s">
        <v>226</v>
      </c>
      <c r="N7" s="521" t="s">
        <v>815</v>
      </c>
      <c r="O7" s="22" t="s">
        <v>47</v>
      </c>
      <c r="P7" s="426">
        <v>2018</v>
      </c>
      <c r="Q7" s="414">
        <f t="shared" ca="1" si="2"/>
        <v>436447653.89927298</v>
      </c>
      <c r="R7" s="335" t="str">
        <f t="shared" ca="1" si="0"/>
        <v>N/A</v>
      </c>
      <c r="S7" s="335" t="str">
        <f t="shared" ca="1" si="1"/>
        <v>N/A</v>
      </c>
      <c r="T7" s="429" t="s">
        <v>48</v>
      </c>
      <c r="U7" s="22"/>
      <c r="V7" s="24"/>
      <c r="W7" s="21"/>
      <c r="Y7" s="490"/>
    </row>
    <row r="8" spans="1:25" ht="45">
      <c r="A8" s="31">
        <v>5</v>
      </c>
      <c r="B8" s="22" t="s">
        <v>39</v>
      </c>
      <c r="C8" s="22" t="s">
        <v>50</v>
      </c>
      <c r="D8" s="22" t="s">
        <v>41</v>
      </c>
      <c r="E8" s="23" t="s">
        <v>51</v>
      </c>
      <c r="F8" s="22" t="s">
        <v>58</v>
      </c>
      <c r="G8" s="22" t="s">
        <v>53</v>
      </c>
      <c r="H8" s="22" t="s">
        <v>30</v>
      </c>
      <c r="I8" s="22" t="s">
        <v>54</v>
      </c>
      <c r="J8" s="22" t="s">
        <v>58</v>
      </c>
      <c r="K8" s="518" t="s">
        <v>812</v>
      </c>
      <c r="L8" s="521" t="s">
        <v>820</v>
      </c>
      <c r="M8" s="521" t="s">
        <v>234</v>
      </c>
      <c r="N8" s="521" t="s">
        <v>815</v>
      </c>
      <c r="O8" s="22" t="s">
        <v>47</v>
      </c>
      <c r="P8" s="426">
        <v>2018</v>
      </c>
      <c r="Q8" s="414">
        <f t="shared" ca="1" si="2"/>
        <v>1471491.05953998</v>
      </c>
      <c r="R8" s="335" t="str">
        <f t="shared" ca="1" si="0"/>
        <v>N/A</v>
      </c>
      <c r="S8" s="335" t="str">
        <f t="shared" ca="1" si="1"/>
        <v>N/A</v>
      </c>
      <c r="T8" s="429" t="s">
        <v>48</v>
      </c>
      <c r="U8" s="22" t="s">
        <v>49</v>
      </c>
      <c r="V8" s="24"/>
      <c r="W8" s="21"/>
      <c r="Y8" s="490"/>
    </row>
    <row r="9" spans="1:25" ht="45">
      <c r="A9" s="31">
        <v>6</v>
      </c>
      <c r="B9" s="22" t="s">
        <v>39</v>
      </c>
      <c r="C9" s="22" t="s">
        <v>50</v>
      </c>
      <c r="D9" s="22" t="s">
        <v>41</v>
      </c>
      <c r="E9" s="23" t="s">
        <v>51</v>
      </c>
      <c r="F9" s="22" t="s">
        <v>60</v>
      </c>
      <c r="G9" s="22" t="s">
        <v>53</v>
      </c>
      <c r="H9" s="22" t="s">
        <v>30</v>
      </c>
      <c r="I9" s="22" t="s">
        <v>54</v>
      </c>
      <c r="J9" s="22" t="s">
        <v>60</v>
      </c>
      <c r="K9" s="518" t="s">
        <v>812</v>
      </c>
      <c r="L9" s="521" t="s">
        <v>821</v>
      </c>
      <c r="M9" s="521" t="s">
        <v>822</v>
      </c>
      <c r="N9" s="521" t="s">
        <v>815</v>
      </c>
      <c r="O9" s="22" t="s">
        <v>47</v>
      </c>
      <c r="P9" s="426">
        <v>2018</v>
      </c>
      <c r="Q9" s="414">
        <f t="shared" ca="1" si="2"/>
        <v>1164207.7058348099</v>
      </c>
      <c r="R9" s="335" t="str">
        <f t="shared" ca="1" si="0"/>
        <v>N/A</v>
      </c>
      <c r="S9" s="335" t="str">
        <f t="shared" ca="1" si="1"/>
        <v>N/A</v>
      </c>
      <c r="T9" s="429" t="s">
        <v>48</v>
      </c>
      <c r="U9" s="22" t="s">
        <v>49</v>
      </c>
      <c r="V9" s="24"/>
      <c r="W9" s="21"/>
      <c r="Y9" s="490"/>
    </row>
    <row r="10" spans="1:25" ht="45">
      <c r="A10" s="31">
        <v>7</v>
      </c>
      <c r="B10" s="22" t="s">
        <v>39</v>
      </c>
      <c r="C10" s="22" t="s">
        <v>50</v>
      </c>
      <c r="D10" s="22" t="s">
        <v>41</v>
      </c>
      <c r="E10" s="23" t="s">
        <v>51</v>
      </c>
      <c r="F10" s="22" t="s">
        <v>61</v>
      </c>
      <c r="G10" s="22" t="s">
        <v>53</v>
      </c>
      <c r="H10" s="22" t="s">
        <v>30</v>
      </c>
      <c r="I10" s="22" t="s">
        <v>54</v>
      </c>
      <c r="J10" s="22" t="s">
        <v>61</v>
      </c>
      <c r="K10" s="518" t="s">
        <v>812</v>
      </c>
      <c r="L10" s="521" t="s">
        <v>823</v>
      </c>
      <c r="M10" s="521" t="s">
        <v>824</v>
      </c>
      <c r="N10" s="521" t="s">
        <v>815</v>
      </c>
      <c r="O10" s="22" t="s">
        <v>47</v>
      </c>
      <c r="P10" s="426">
        <v>2018</v>
      </c>
      <c r="Q10" s="414">
        <f t="shared" ca="1" si="2"/>
        <v>1093888.81717404</v>
      </c>
      <c r="R10" s="335" t="str">
        <f t="shared" ca="1" si="0"/>
        <v>N/A</v>
      </c>
      <c r="S10" s="335" t="str">
        <f t="shared" ca="1" si="1"/>
        <v>N/A</v>
      </c>
      <c r="T10" s="429" t="s">
        <v>48</v>
      </c>
      <c r="U10" s="22"/>
      <c r="V10" s="24"/>
      <c r="W10" s="21"/>
      <c r="Y10" s="490"/>
    </row>
    <row r="11" spans="1:25" ht="45">
      <c r="A11" s="31">
        <v>8</v>
      </c>
      <c r="B11" s="22" t="s">
        <v>39</v>
      </c>
      <c r="C11" s="22" t="s">
        <v>50</v>
      </c>
      <c r="D11" s="22" t="s">
        <v>41</v>
      </c>
      <c r="E11" s="23" t="s">
        <v>51</v>
      </c>
      <c r="F11" s="22" t="s">
        <v>62</v>
      </c>
      <c r="G11" s="22" t="s">
        <v>53</v>
      </c>
      <c r="H11" s="22" t="s">
        <v>30</v>
      </c>
      <c r="I11" s="22" t="s">
        <v>54</v>
      </c>
      <c r="J11" s="22" t="s">
        <v>62</v>
      </c>
      <c r="K11" s="518" t="s">
        <v>812</v>
      </c>
      <c r="L11" s="521" t="s">
        <v>825</v>
      </c>
      <c r="M11" s="521" t="s">
        <v>826</v>
      </c>
      <c r="N11" s="521" t="s">
        <v>815</v>
      </c>
      <c r="O11" s="22" t="s">
        <v>47</v>
      </c>
      <c r="P11" s="426">
        <v>2018</v>
      </c>
      <c r="Q11" s="414">
        <f t="shared" ca="1" si="2"/>
        <v>1054949.8861460399</v>
      </c>
      <c r="R11" s="335" t="str">
        <f t="shared" ca="1" si="0"/>
        <v>N/A</v>
      </c>
      <c r="S11" s="335" t="str">
        <f t="shared" ca="1" si="1"/>
        <v>N/A</v>
      </c>
      <c r="T11" s="429" t="s">
        <v>48</v>
      </c>
      <c r="U11" s="22"/>
      <c r="V11" s="24"/>
      <c r="W11" s="21"/>
      <c r="Y11" s="490"/>
    </row>
    <row r="12" spans="1:25" ht="45">
      <c r="A12" s="31">
        <v>9</v>
      </c>
      <c r="B12" s="22" t="s">
        <v>39</v>
      </c>
      <c r="C12" s="22" t="s">
        <v>50</v>
      </c>
      <c r="D12" s="22" t="s">
        <v>41</v>
      </c>
      <c r="E12" s="23" t="s">
        <v>51</v>
      </c>
      <c r="F12" s="22" t="s">
        <v>63</v>
      </c>
      <c r="G12" s="22" t="s">
        <v>53</v>
      </c>
      <c r="H12" s="22" t="s">
        <v>30</v>
      </c>
      <c r="I12" s="22" t="s">
        <v>54</v>
      </c>
      <c r="J12" s="22" t="s">
        <v>63</v>
      </c>
      <c r="K12" s="518" t="s">
        <v>812</v>
      </c>
      <c r="L12" s="521" t="s">
        <v>827</v>
      </c>
      <c r="M12" s="521" t="s">
        <v>828</v>
      </c>
      <c r="N12" s="521" t="s">
        <v>815</v>
      </c>
      <c r="O12" s="22" t="s">
        <v>47</v>
      </c>
      <c r="P12" s="426">
        <v>2018</v>
      </c>
      <c r="Q12" s="414">
        <f t="shared" ca="1" si="2"/>
        <v>5629792057.8726797</v>
      </c>
      <c r="R12" s="335" t="str">
        <f t="shared" ca="1" si="0"/>
        <v>N/A</v>
      </c>
      <c r="S12" s="335" t="str">
        <f t="shared" ca="1" si="1"/>
        <v>N/A</v>
      </c>
      <c r="T12" s="429" t="s">
        <v>48</v>
      </c>
      <c r="U12" s="22"/>
      <c r="V12" s="24"/>
      <c r="W12" s="21"/>
      <c r="Y12" s="490"/>
    </row>
    <row r="13" spans="1:25" ht="45">
      <c r="A13" s="31">
        <v>10</v>
      </c>
      <c r="B13" s="22" t="s">
        <v>39</v>
      </c>
      <c r="C13" s="22" t="s">
        <v>50</v>
      </c>
      <c r="D13" s="22" t="s">
        <v>41</v>
      </c>
      <c r="E13" s="23" t="s">
        <v>51</v>
      </c>
      <c r="F13" s="22" t="s">
        <v>64</v>
      </c>
      <c r="G13" s="22" t="s">
        <v>53</v>
      </c>
      <c r="H13" s="22" t="s">
        <v>30</v>
      </c>
      <c r="I13" s="22" t="s">
        <v>54</v>
      </c>
      <c r="J13" s="22" t="s">
        <v>64</v>
      </c>
      <c r="K13" s="518" t="s">
        <v>812</v>
      </c>
      <c r="L13" s="521" t="s">
        <v>829</v>
      </c>
      <c r="M13" s="521" t="s">
        <v>830</v>
      </c>
      <c r="N13" s="521" t="s">
        <v>815</v>
      </c>
      <c r="O13" s="22" t="s">
        <v>47</v>
      </c>
      <c r="P13" s="426">
        <v>2018</v>
      </c>
      <c r="Q13" s="414">
        <f t="shared" ca="1" si="2"/>
        <v>5376922452.5547895</v>
      </c>
      <c r="R13" s="335" t="str">
        <f t="shared" ca="1" si="0"/>
        <v>N/A</v>
      </c>
      <c r="S13" s="335" t="str">
        <f t="shared" ca="1" si="1"/>
        <v>N/A</v>
      </c>
      <c r="T13" s="429" t="s">
        <v>48</v>
      </c>
      <c r="U13" s="22"/>
      <c r="V13" s="24"/>
      <c r="W13" s="21"/>
      <c r="Y13" s="490"/>
    </row>
    <row r="14" spans="1:25" ht="45">
      <c r="A14" s="31">
        <v>11</v>
      </c>
      <c r="B14" s="22" t="s">
        <v>39</v>
      </c>
      <c r="C14" s="22" t="s">
        <v>50</v>
      </c>
      <c r="D14" s="22" t="s">
        <v>41</v>
      </c>
      <c r="E14" s="23" t="s">
        <v>51</v>
      </c>
      <c r="F14" s="22" t="s">
        <v>65</v>
      </c>
      <c r="G14" s="22" t="s">
        <v>53</v>
      </c>
      <c r="H14" s="22" t="s">
        <v>30</v>
      </c>
      <c r="I14" s="22" t="s">
        <v>54</v>
      </c>
      <c r="J14" s="22" t="s">
        <v>65</v>
      </c>
      <c r="K14" s="518" t="s">
        <v>812</v>
      </c>
      <c r="L14" s="521" t="s">
        <v>831</v>
      </c>
      <c r="M14" s="521" t="s">
        <v>832</v>
      </c>
      <c r="N14" s="521" t="s">
        <v>815</v>
      </c>
      <c r="O14" s="22" t="s">
        <v>47</v>
      </c>
      <c r="P14" s="426">
        <v>2018</v>
      </c>
      <c r="Q14" s="414">
        <f t="shared" ca="1" si="2"/>
        <v>4011449.3759458102</v>
      </c>
      <c r="R14" s="335" t="str">
        <f t="shared" ca="1" si="0"/>
        <v>N/A</v>
      </c>
      <c r="S14" s="335" t="str">
        <f t="shared" ca="1" si="1"/>
        <v>N/A</v>
      </c>
      <c r="T14" s="429" t="s">
        <v>48</v>
      </c>
      <c r="U14" s="22" t="s">
        <v>49</v>
      </c>
      <c r="V14" s="24"/>
      <c r="W14" s="21"/>
      <c r="Y14" s="490"/>
    </row>
    <row r="15" spans="1:25" ht="45">
      <c r="A15" s="31">
        <v>12</v>
      </c>
      <c r="B15" s="22" t="s">
        <v>39</v>
      </c>
      <c r="C15" s="22" t="s">
        <v>50</v>
      </c>
      <c r="D15" s="22" t="s">
        <v>41</v>
      </c>
      <c r="E15" s="23" t="s">
        <v>51</v>
      </c>
      <c r="F15" s="22" t="s">
        <v>66</v>
      </c>
      <c r="G15" s="22" t="s">
        <v>53</v>
      </c>
      <c r="H15" s="22" t="s">
        <v>30</v>
      </c>
      <c r="I15" s="22" t="s">
        <v>54</v>
      </c>
      <c r="J15" s="22" t="s">
        <v>66</v>
      </c>
      <c r="K15" s="518" t="s">
        <v>812</v>
      </c>
      <c r="L15" s="521" t="s">
        <v>833</v>
      </c>
      <c r="M15" s="521" t="s">
        <v>834</v>
      </c>
      <c r="N15" s="521" t="s">
        <v>815</v>
      </c>
      <c r="O15" s="22" t="s">
        <v>47</v>
      </c>
      <c r="P15" s="426">
        <v>2018</v>
      </c>
      <c r="Q15" s="414">
        <f t="shared" ca="1" si="2"/>
        <v>34955.128006145897</v>
      </c>
      <c r="R15" s="335" t="str">
        <f t="shared" ca="1" si="0"/>
        <v>N/A</v>
      </c>
      <c r="S15" s="335" t="str">
        <f t="shared" ca="1" si="1"/>
        <v>N/A</v>
      </c>
      <c r="T15" s="429" t="s">
        <v>48</v>
      </c>
      <c r="U15" s="22" t="s">
        <v>49</v>
      </c>
      <c r="V15" s="24"/>
      <c r="W15" s="21"/>
      <c r="Y15" s="490"/>
    </row>
    <row r="16" spans="1:25" ht="45">
      <c r="A16" s="31">
        <v>13</v>
      </c>
      <c r="B16" s="22" t="s">
        <v>39</v>
      </c>
      <c r="C16" s="22" t="s">
        <v>50</v>
      </c>
      <c r="D16" s="22" t="s">
        <v>67</v>
      </c>
      <c r="E16" s="23" t="s">
        <v>68</v>
      </c>
      <c r="F16" s="22" t="s">
        <v>52</v>
      </c>
      <c r="G16" s="22" t="s">
        <v>69</v>
      </c>
      <c r="H16" s="22" t="s">
        <v>30</v>
      </c>
      <c r="I16" s="22" t="s">
        <v>70</v>
      </c>
      <c r="J16" s="22" t="s">
        <v>71</v>
      </c>
      <c r="K16" s="518" t="s">
        <v>812</v>
      </c>
      <c r="L16" s="521" t="s">
        <v>835</v>
      </c>
      <c r="M16" s="521" t="s">
        <v>836</v>
      </c>
      <c r="N16" s="521" t="s">
        <v>815</v>
      </c>
      <c r="O16" s="22" t="s">
        <v>47</v>
      </c>
      <c r="P16" s="426">
        <v>2018</v>
      </c>
      <c r="Q16" s="414">
        <f t="shared" ca="1" si="2"/>
        <v>4655.59873506039</v>
      </c>
      <c r="R16" s="335" t="str">
        <f t="shared" ca="1" si="0"/>
        <v>N/A</v>
      </c>
      <c r="S16" s="335" t="str">
        <f t="shared" ca="1" si="1"/>
        <v>N/A</v>
      </c>
      <c r="T16" s="429"/>
      <c r="U16" s="22"/>
      <c r="V16" s="24"/>
      <c r="W16" s="21"/>
      <c r="Y16" s="490"/>
    </row>
    <row r="17" spans="1:25" ht="45">
      <c r="A17" s="31">
        <v>14</v>
      </c>
      <c r="B17" s="22" t="s">
        <v>39</v>
      </c>
      <c r="C17" s="22" t="s">
        <v>50</v>
      </c>
      <c r="D17" s="22" t="s">
        <v>67</v>
      </c>
      <c r="E17" s="23" t="s">
        <v>68</v>
      </c>
      <c r="F17" s="22" t="s">
        <v>55</v>
      </c>
      <c r="G17" s="22" t="s">
        <v>69</v>
      </c>
      <c r="H17" s="22" t="s">
        <v>30</v>
      </c>
      <c r="I17" s="22" t="s">
        <v>70</v>
      </c>
      <c r="J17" s="22" t="s">
        <v>72</v>
      </c>
      <c r="K17" s="518" t="s">
        <v>812</v>
      </c>
      <c r="L17" s="521" t="s">
        <v>837</v>
      </c>
      <c r="M17" s="521" t="s">
        <v>838</v>
      </c>
      <c r="N17" s="521" t="s">
        <v>815</v>
      </c>
      <c r="O17" s="22" t="s">
        <v>47</v>
      </c>
      <c r="P17" s="426">
        <v>2018</v>
      </c>
      <c r="Q17" s="414">
        <f t="shared" ca="1" si="2"/>
        <v>4344.5602905471906</v>
      </c>
      <c r="R17" s="335" t="str">
        <f t="shared" ca="1" si="0"/>
        <v>N/A</v>
      </c>
      <c r="S17" s="335" t="str">
        <f t="shared" ca="1" si="1"/>
        <v>N/A</v>
      </c>
      <c r="T17" s="429"/>
      <c r="U17" s="22"/>
      <c r="V17" s="24"/>
      <c r="W17" s="21"/>
      <c r="Y17" s="490"/>
    </row>
    <row r="18" spans="1:25" ht="45">
      <c r="A18" s="31">
        <v>15</v>
      </c>
      <c r="B18" s="22" t="s">
        <v>39</v>
      </c>
      <c r="C18" s="22" t="s">
        <v>50</v>
      </c>
      <c r="D18" s="22" t="s">
        <v>67</v>
      </c>
      <c r="E18" s="23" t="s">
        <v>68</v>
      </c>
      <c r="F18" s="22" t="s">
        <v>56</v>
      </c>
      <c r="G18" s="22" t="s">
        <v>69</v>
      </c>
      <c r="H18" s="22" t="s">
        <v>30</v>
      </c>
      <c r="I18" s="22" t="s">
        <v>70</v>
      </c>
      <c r="J18" s="22" t="s">
        <v>73</v>
      </c>
      <c r="K18" s="518" t="s">
        <v>812</v>
      </c>
      <c r="L18" s="521" t="s">
        <v>839</v>
      </c>
      <c r="M18" s="521" t="s">
        <v>840</v>
      </c>
      <c r="N18" s="521" t="s">
        <v>815</v>
      </c>
      <c r="O18" s="22" t="s">
        <v>47</v>
      </c>
      <c r="P18" s="426">
        <v>2018</v>
      </c>
      <c r="Q18" s="414">
        <f t="shared" ca="1" si="2"/>
        <v>30697436.501324888</v>
      </c>
      <c r="R18" s="335" t="str">
        <f t="shared" ca="1" si="0"/>
        <v>N/A</v>
      </c>
      <c r="S18" s="335" t="str">
        <f t="shared" ca="1" si="1"/>
        <v>N/A</v>
      </c>
      <c r="T18" s="429"/>
      <c r="U18" s="22"/>
      <c r="V18" s="24"/>
      <c r="W18" s="21"/>
      <c r="Y18" s="490"/>
    </row>
    <row r="19" spans="1:25" ht="45">
      <c r="A19" s="31">
        <v>16</v>
      </c>
      <c r="B19" s="22" t="s">
        <v>39</v>
      </c>
      <c r="C19" s="22" t="s">
        <v>50</v>
      </c>
      <c r="D19" s="22" t="s">
        <v>67</v>
      </c>
      <c r="E19" s="23" t="s">
        <v>68</v>
      </c>
      <c r="F19" s="22" t="s">
        <v>57</v>
      </c>
      <c r="G19" s="22" t="s">
        <v>69</v>
      </c>
      <c r="H19" s="22" t="s">
        <v>30</v>
      </c>
      <c r="I19" s="22" t="s">
        <v>70</v>
      </c>
      <c r="J19" s="22" t="s">
        <v>74</v>
      </c>
      <c r="K19" s="518" t="s">
        <v>812</v>
      </c>
      <c r="L19" s="521" t="s">
        <v>841</v>
      </c>
      <c r="M19" s="521" t="s">
        <v>842</v>
      </c>
      <c r="N19" s="521" t="s">
        <v>815</v>
      </c>
      <c r="O19" s="22" t="s">
        <v>47</v>
      </c>
      <c r="P19" s="426">
        <v>2018</v>
      </c>
      <c r="Q19" s="414">
        <f t="shared" ca="1" si="2"/>
        <v>28907099.594247304</v>
      </c>
      <c r="R19" s="335" t="str">
        <f t="shared" ca="1" si="0"/>
        <v>N/A</v>
      </c>
      <c r="S19" s="335" t="str">
        <f t="shared" ca="1" si="1"/>
        <v>N/A</v>
      </c>
      <c r="T19" s="429"/>
      <c r="U19" s="22"/>
      <c r="V19" s="24"/>
      <c r="W19" s="21"/>
      <c r="Y19" s="490"/>
    </row>
    <row r="20" spans="1:25" ht="45">
      <c r="A20" s="31">
        <v>17</v>
      </c>
      <c r="B20" s="22" t="s">
        <v>39</v>
      </c>
      <c r="C20" s="22" t="s">
        <v>50</v>
      </c>
      <c r="D20" s="22" t="s">
        <v>67</v>
      </c>
      <c r="E20" s="23" t="s">
        <v>68</v>
      </c>
      <c r="F20" s="22" t="s">
        <v>58</v>
      </c>
      <c r="G20" s="22" t="s">
        <v>69</v>
      </c>
      <c r="H20" s="22" t="s">
        <v>30</v>
      </c>
      <c r="I20" s="22" t="s">
        <v>70</v>
      </c>
      <c r="J20" s="22" t="s">
        <v>75</v>
      </c>
      <c r="K20" s="518" t="s">
        <v>812</v>
      </c>
      <c r="L20" s="521" t="s">
        <v>843</v>
      </c>
      <c r="M20" s="521" t="s">
        <v>844</v>
      </c>
      <c r="N20" s="521" t="s">
        <v>815</v>
      </c>
      <c r="O20" s="22" t="s">
        <v>47</v>
      </c>
      <c r="P20" s="426">
        <v>2018</v>
      </c>
      <c r="Q20" s="414">
        <f t="shared" ca="1" si="2"/>
        <v>-326056.87371524813</v>
      </c>
      <c r="R20" s="335" t="str">
        <f t="shared" ca="1" si="0"/>
        <v>N/A</v>
      </c>
      <c r="S20" s="335" t="str">
        <f t="shared" ca="1" si="1"/>
        <v>N/A</v>
      </c>
      <c r="T20" s="429" t="s">
        <v>59</v>
      </c>
      <c r="U20" s="22" t="str">
        <f>Definitions!C$7</f>
        <v>D.18-05-041: DAC = Bill accounts in census tracts corresponding to census tracts in the top quartile of CalEnviroScreen 3.0 scores.</v>
      </c>
      <c r="V20" s="24"/>
      <c r="W20" s="21"/>
      <c r="Y20" s="490"/>
    </row>
    <row r="21" spans="1:25" ht="45">
      <c r="A21" s="31">
        <v>18</v>
      </c>
      <c r="B21" s="22" t="s">
        <v>39</v>
      </c>
      <c r="C21" s="22" t="s">
        <v>50</v>
      </c>
      <c r="D21" s="22" t="s">
        <v>67</v>
      </c>
      <c r="E21" s="23" t="s">
        <v>68</v>
      </c>
      <c r="F21" s="22" t="s">
        <v>60</v>
      </c>
      <c r="G21" s="22" t="s">
        <v>69</v>
      </c>
      <c r="H21" s="22" t="s">
        <v>30</v>
      </c>
      <c r="I21" s="22" t="s">
        <v>70</v>
      </c>
      <c r="J21" s="22" t="s">
        <v>76</v>
      </c>
      <c r="K21" s="518" t="s">
        <v>812</v>
      </c>
      <c r="L21" s="521" t="s">
        <v>845</v>
      </c>
      <c r="M21" s="521" t="s">
        <v>846</v>
      </c>
      <c r="N21" s="521" t="s">
        <v>815</v>
      </c>
      <c r="O21" s="22" t="s">
        <v>47</v>
      </c>
      <c r="P21" s="426">
        <v>2018</v>
      </c>
      <c r="Q21" s="414">
        <f t="shared" ca="1" si="2"/>
        <v>-318889.49424054869</v>
      </c>
      <c r="R21" s="335" t="str">
        <f t="shared" ca="1" si="0"/>
        <v>N/A</v>
      </c>
      <c r="S21" s="335" t="str">
        <f t="shared" ca="1" si="1"/>
        <v>N/A</v>
      </c>
      <c r="T21" s="429" t="s">
        <v>59</v>
      </c>
      <c r="U21" s="22" t="str">
        <f>Definitions!C$7</f>
        <v>D.18-05-041: DAC = Bill accounts in census tracts corresponding to census tracts in the top quartile of CalEnviroScreen 3.0 scores.</v>
      </c>
      <c r="V21" s="24"/>
      <c r="W21" s="21"/>
      <c r="Y21" s="490"/>
    </row>
    <row r="22" spans="1:25" ht="45">
      <c r="A22" s="31">
        <v>19</v>
      </c>
      <c r="B22" s="22" t="s">
        <v>39</v>
      </c>
      <c r="C22" s="22" t="s">
        <v>50</v>
      </c>
      <c r="D22" s="22" t="s">
        <v>67</v>
      </c>
      <c r="E22" s="23" t="s">
        <v>68</v>
      </c>
      <c r="F22" s="22" t="s">
        <v>61</v>
      </c>
      <c r="G22" s="22" t="s">
        <v>69</v>
      </c>
      <c r="H22" s="22" t="s">
        <v>30</v>
      </c>
      <c r="I22" s="22" t="s">
        <v>70</v>
      </c>
      <c r="J22" s="22" t="s">
        <v>77</v>
      </c>
      <c r="K22" s="518" t="s">
        <v>812</v>
      </c>
      <c r="L22" s="521" t="s">
        <v>847</v>
      </c>
      <c r="M22" s="521" t="s">
        <v>848</v>
      </c>
      <c r="N22" s="521" t="s">
        <v>815</v>
      </c>
      <c r="O22" s="22" t="s">
        <v>47</v>
      </c>
      <c r="P22" s="426">
        <v>2018</v>
      </c>
      <c r="Q22" s="414">
        <f t="shared" ca="1" si="2"/>
        <v>57204.262518091404</v>
      </c>
      <c r="R22" s="335" t="str">
        <f t="shared" ca="1" si="0"/>
        <v>N/A</v>
      </c>
      <c r="S22" s="335" t="str">
        <f t="shared" ca="1" si="1"/>
        <v>N/A</v>
      </c>
      <c r="T22" s="429"/>
      <c r="U22" s="22"/>
      <c r="V22" s="24"/>
      <c r="W22" s="21"/>
      <c r="Y22" s="490"/>
    </row>
    <row r="23" spans="1:25" ht="45">
      <c r="A23" s="31">
        <v>20</v>
      </c>
      <c r="B23" s="22" t="s">
        <v>39</v>
      </c>
      <c r="C23" s="22" t="s">
        <v>50</v>
      </c>
      <c r="D23" s="22" t="s">
        <v>67</v>
      </c>
      <c r="E23" s="23" t="s">
        <v>68</v>
      </c>
      <c r="F23" s="22" t="s">
        <v>62</v>
      </c>
      <c r="G23" s="22" t="s">
        <v>69</v>
      </c>
      <c r="H23" s="22" t="s">
        <v>30</v>
      </c>
      <c r="I23" s="22" t="s">
        <v>70</v>
      </c>
      <c r="J23" s="22" t="s">
        <v>78</v>
      </c>
      <c r="K23" s="518" t="s">
        <v>812</v>
      </c>
      <c r="L23" s="521" t="s">
        <v>849</v>
      </c>
      <c r="M23" s="521" t="s">
        <v>850</v>
      </c>
      <c r="N23" s="521" t="s">
        <v>815</v>
      </c>
      <c r="O23" s="22" t="s">
        <v>47</v>
      </c>
      <c r="P23" s="426">
        <v>2018</v>
      </c>
      <c r="Q23" s="414">
        <f t="shared" ca="1" si="2"/>
        <v>54188.848009123576</v>
      </c>
      <c r="R23" s="335" t="str">
        <f t="shared" ca="1" si="0"/>
        <v>N/A</v>
      </c>
      <c r="S23" s="335" t="str">
        <f t="shared" ca="1" si="1"/>
        <v>N/A</v>
      </c>
      <c r="T23" s="429"/>
      <c r="U23" s="22"/>
      <c r="V23" s="24"/>
      <c r="W23" s="21"/>
      <c r="Y23" s="490"/>
    </row>
    <row r="24" spans="1:25" ht="45">
      <c r="A24" s="31">
        <v>21</v>
      </c>
      <c r="B24" s="22" t="s">
        <v>39</v>
      </c>
      <c r="C24" s="22" t="s">
        <v>50</v>
      </c>
      <c r="D24" s="22" t="s">
        <v>67</v>
      </c>
      <c r="E24" s="23" t="s">
        <v>68</v>
      </c>
      <c r="F24" s="22" t="s">
        <v>63</v>
      </c>
      <c r="G24" s="22" t="s">
        <v>69</v>
      </c>
      <c r="H24" s="22" t="s">
        <v>30</v>
      </c>
      <c r="I24" s="22" t="s">
        <v>70</v>
      </c>
      <c r="J24" s="22" t="s">
        <v>79</v>
      </c>
      <c r="K24" s="518" t="s">
        <v>812</v>
      </c>
      <c r="L24" s="521" t="s">
        <v>851</v>
      </c>
      <c r="M24" s="521" t="s">
        <v>852</v>
      </c>
      <c r="N24" s="521" t="s">
        <v>815</v>
      </c>
      <c r="O24" s="22" t="s">
        <v>47</v>
      </c>
      <c r="P24" s="426">
        <v>2018</v>
      </c>
      <c r="Q24" s="414">
        <f t="shared" ca="1" si="2"/>
        <v>421316669.03513592</v>
      </c>
      <c r="R24" s="335" t="str">
        <f t="shared" ca="1" si="0"/>
        <v>N/A</v>
      </c>
      <c r="S24" s="335" t="str">
        <f t="shared" ca="1" si="1"/>
        <v>N/A</v>
      </c>
      <c r="T24" s="429"/>
      <c r="U24" s="22"/>
      <c r="V24" s="24"/>
      <c r="W24" s="21"/>
      <c r="Y24" s="490"/>
    </row>
    <row r="25" spans="1:25" ht="45">
      <c r="A25" s="31">
        <v>22</v>
      </c>
      <c r="B25" s="22" t="s">
        <v>39</v>
      </c>
      <c r="C25" s="22" t="s">
        <v>50</v>
      </c>
      <c r="D25" s="22" t="s">
        <v>67</v>
      </c>
      <c r="E25" s="23" t="s">
        <v>68</v>
      </c>
      <c r="F25" s="22" t="s">
        <v>64</v>
      </c>
      <c r="G25" s="22" t="s">
        <v>69</v>
      </c>
      <c r="H25" s="22" t="s">
        <v>30</v>
      </c>
      <c r="I25" s="22" t="s">
        <v>70</v>
      </c>
      <c r="J25" s="22" t="s">
        <v>80</v>
      </c>
      <c r="K25" s="518" t="s">
        <v>812</v>
      </c>
      <c r="L25" s="521" t="s">
        <v>853</v>
      </c>
      <c r="M25" s="521" t="s">
        <v>854</v>
      </c>
      <c r="N25" s="521" t="s">
        <v>815</v>
      </c>
      <c r="O25" s="22" t="s">
        <v>47</v>
      </c>
      <c r="P25" s="426">
        <v>2018</v>
      </c>
      <c r="Q25" s="414">
        <f t="shared" ca="1" si="2"/>
        <v>400887693.57401937</v>
      </c>
      <c r="R25" s="335" t="str">
        <f t="shared" ca="1" si="0"/>
        <v>N/A</v>
      </c>
      <c r="S25" s="335" t="str">
        <f t="shared" ca="1" si="1"/>
        <v>N/A</v>
      </c>
      <c r="T25" s="429"/>
      <c r="U25" s="22"/>
      <c r="V25" s="24"/>
      <c r="W25" s="21"/>
      <c r="Y25" s="490"/>
    </row>
    <row r="26" spans="1:25" ht="45">
      <c r="A26" s="31">
        <v>23</v>
      </c>
      <c r="B26" s="22" t="s">
        <v>39</v>
      </c>
      <c r="C26" s="22" t="s">
        <v>50</v>
      </c>
      <c r="D26" s="22" t="s">
        <v>67</v>
      </c>
      <c r="E26" s="23" t="s">
        <v>68</v>
      </c>
      <c r="F26" s="22" t="s">
        <v>65</v>
      </c>
      <c r="G26" s="22" t="s">
        <v>69</v>
      </c>
      <c r="H26" s="22" t="s">
        <v>30</v>
      </c>
      <c r="I26" s="22" t="s">
        <v>70</v>
      </c>
      <c r="J26" s="22" t="s">
        <v>81</v>
      </c>
      <c r="K26" s="518" t="s">
        <v>812</v>
      </c>
      <c r="L26" s="521" t="s">
        <v>855</v>
      </c>
      <c r="M26" s="521" t="s">
        <v>856</v>
      </c>
      <c r="N26" s="521" t="s">
        <v>815</v>
      </c>
      <c r="O26" s="22" t="s">
        <v>47</v>
      </c>
      <c r="P26" s="426">
        <v>2018</v>
      </c>
      <c r="Q26" s="414">
        <f t="shared" ca="1" si="2"/>
        <v>-5059196.4952959334</v>
      </c>
      <c r="R26" s="335" t="str">
        <f t="shared" ca="1" si="0"/>
        <v>N/A</v>
      </c>
      <c r="S26" s="335" t="str">
        <f t="shared" ca="1" si="1"/>
        <v>N/A</v>
      </c>
      <c r="T26" s="429" t="s">
        <v>59</v>
      </c>
      <c r="U26" s="22" t="str">
        <f>Definitions!C$7</f>
        <v>D.18-05-041: DAC = Bill accounts in census tracts corresponding to census tracts in the top quartile of CalEnviroScreen 3.0 scores.</v>
      </c>
      <c r="V26" s="24"/>
      <c r="W26" s="21"/>
      <c r="Y26" s="490"/>
    </row>
    <row r="27" spans="1:25" ht="45">
      <c r="A27" s="31">
        <v>24</v>
      </c>
      <c r="B27" s="22" t="s">
        <v>39</v>
      </c>
      <c r="C27" s="22" t="s">
        <v>50</v>
      </c>
      <c r="D27" s="22" t="s">
        <v>67</v>
      </c>
      <c r="E27" s="23" t="s">
        <v>68</v>
      </c>
      <c r="F27" s="22" t="s">
        <v>66</v>
      </c>
      <c r="G27" s="22" t="s">
        <v>69</v>
      </c>
      <c r="H27" s="22" t="s">
        <v>30</v>
      </c>
      <c r="I27" s="22" t="s">
        <v>70</v>
      </c>
      <c r="J27" s="22" t="s">
        <v>82</v>
      </c>
      <c r="K27" s="518" t="s">
        <v>812</v>
      </c>
      <c r="L27" s="521" t="s">
        <v>857</v>
      </c>
      <c r="M27" s="521" t="s">
        <v>858</v>
      </c>
      <c r="N27" s="521" t="s">
        <v>815</v>
      </c>
      <c r="O27" s="22" t="s">
        <v>47</v>
      </c>
      <c r="P27" s="426">
        <v>2018</v>
      </c>
      <c r="Q27" s="414">
        <f t="shared" ca="1" si="2"/>
        <v>-4936595.3158479817</v>
      </c>
      <c r="R27" s="335" t="str">
        <f t="shared" ca="1" si="0"/>
        <v>N/A</v>
      </c>
      <c r="S27" s="335" t="str">
        <f t="shared" ca="1" si="1"/>
        <v>N/A</v>
      </c>
      <c r="T27" s="429" t="s">
        <v>59</v>
      </c>
      <c r="U27" s="22" t="str">
        <f>Definitions!C$7</f>
        <v>D.18-05-041: DAC = Bill accounts in census tracts corresponding to census tracts in the top quartile of CalEnviroScreen 3.0 scores.</v>
      </c>
      <c r="V27" s="24"/>
      <c r="W27" s="21"/>
      <c r="Y27" s="490"/>
    </row>
    <row r="28" spans="1:25" ht="45">
      <c r="A28" s="31">
        <v>25</v>
      </c>
      <c r="B28" s="22" t="s">
        <v>39</v>
      </c>
      <c r="C28" s="22" t="s">
        <v>50</v>
      </c>
      <c r="D28" s="22" t="s">
        <v>83</v>
      </c>
      <c r="E28" s="23" t="s">
        <v>84</v>
      </c>
      <c r="F28" s="22" t="s">
        <v>52</v>
      </c>
      <c r="G28" s="22" t="s">
        <v>85</v>
      </c>
      <c r="H28" s="22" t="s">
        <v>30</v>
      </c>
      <c r="I28" s="22" t="s">
        <v>86</v>
      </c>
      <c r="J28" s="22" t="s">
        <v>87</v>
      </c>
      <c r="K28" s="518" t="s">
        <v>812</v>
      </c>
      <c r="L28" s="521" t="s">
        <v>859</v>
      </c>
      <c r="M28" s="521" t="s">
        <v>860</v>
      </c>
      <c r="N28" s="521" t="s">
        <v>815</v>
      </c>
      <c r="O28" s="22" t="s">
        <v>47</v>
      </c>
      <c r="P28" s="426">
        <v>2018</v>
      </c>
      <c r="Q28" s="414">
        <f t="shared" ca="1" si="2"/>
        <v>203.68568231666202</v>
      </c>
      <c r="R28" s="335" t="str">
        <f t="shared" ca="1" si="0"/>
        <v>N/A</v>
      </c>
      <c r="S28" s="335" t="str">
        <f t="shared" ca="1" si="1"/>
        <v>N/A</v>
      </c>
      <c r="T28" s="429"/>
      <c r="U28" s="22"/>
      <c r="V28" s="24"/>
      <c r="W28" s="21"/>
      <c r="Y28" s="490"/>
    </row>
    <row r="29" spans="1:25" ht="45">
      <c r="A29" s="31">
        <v>26</v>
      </c>
      <c r="B29" s="22" t="s">
        <v>39</v>
      </c>
      <c r="C29" s="22" t="s">
        <v>50</v>
      </c>
      <c r="D29" s="22" t="s">
        <v>83</v>
      </c>
      <c r="E29" s="23" t="s">
        <v>84</v>
      </c>
      <c r="F29" s="22" t="s">
        <v>55</v>
      </c>
      <c r="G29" s="22" t="s">
        <v>85</v>
      </c>
      <c r="H29" s="22" t="s">
        <v>30</v>
      </c>
      <c r="I29" s="22" t="s">
        <v>86</v>
      </c>
      <c r="J29" s="22" t="s">
        <v>88</v>
      </c>
      <c r="K29" s="518" t="s">
        <v>812</v>
      </c>
      <c r="L29" s="521" t="s">
        <v>861</v>
      </c>
      <c r="M29" s="521" t="s">
        <v>862</v>
      </c>
      <c r="N29" s="521" t="s">
        <v>815</v>
      </c>
      <c r="O29" s="22" t="s">
        <v>47</v>
      </c>
      <c r="P29" s="426">
        <v>2018</v>
      </c>
      <c r="Q29" s="414">
        <f t="shared" ca="1" si="2"/>
        <v>183.31711894124086</v>
      </c>
      <c r="R29" s="335" t="str">
        <f t="shared" ca="1" si="0"/>
        <v>N/A</v>
      </c>
      <c r="S29" s="335" t="str">
        <f t="shared" ca="1" si="1"/>
        <v>N/A</v>
      </c>
      <c r="T29" s="429"/>
      <c r="U29" s="22"/>
      <c r="V29" s="24"/>
      <c r="W29" s="21"/>
      <c r="Y29" s="490"/>
    </row>
    <row r="30" spans="1:25" ht="45">
      <c r="A30" s="31">
        <v>27</v>
      </c>
      <c r="B30" s="22" t="s">
        <v>39</v>
      </c>
      <c r="C30" s="22" t="s">
        <v>50</v>
      </c>
      <c r="D30" s="22" t="s">
        <v>83</v>
      </c>
      <c r="E30" s="23" t="s">
        <v>84</v>
      </c>
      <c r="F30" s="22" t="s">
        <v>56</v>
      </c>
      <c r="G30" s="22" t="s">
        <v>85</v>
      </c>
      <c r="H30" s="22" t="s">
        <v>30</v>
      </c>
      <c r="I30" s="22" t="s">
        <v>86</v>
      </c>
      <c r="J30" s="22" t="s">
        <v>89</v>
      </c>
      <c r="K30" s="518" t="s">
        <v>812</v>
      </c>
      <c r="L30" s="521" t="s">
        <v>863</v>
      </c>
      <c r="M30" s="521" t="s">
        <v>864</v>
      </c>
      <c r="N30" s="521" t="s">
        <v>815</v>
      </c>
      <c r="O30" s="22" t="s">
        <v>47</v>
      </c>
      <c r="P30" s="426">
        <v>2018</v>
      </c>
      <c r="Q30" s="414">
        <f t="shared" ca="1" si="2"/>
        <v>869801.07254393562</v>
      </c>
      <c r="R30" s="335" t="str">
        <f t="shared" ca="1" si="0"/>
        <v>N/A</v>
      </c>
      <c r="S30" s="335" t="str">
        <f t="shared" ca="1" si="1"/>
        <v>N/A</v>
      </c>
      <c r="T30" s="429"/>
      <c r="U30" s="22"/>
      <c r="V30" s="24"/>
      <c r="W30" s="21"/>
      <c r="Y30" s="490"/>
    </row>
    <row r="31" spans="1:25" ht="45">
      <c r="A31" s="31">
        <v>28</v>
      </c>
      <c r="B31" s="22" t="s">
        <v>39</v>
      </c>
      <c r="C31" s="22" t="s">
        <v>50</v>
      </c>
      <c r="D31" s="22" t="s">
        <v>83</v>
      </c>
      <c r="E31" s="23" t="s">
        <v>84</v>
      </c>
      <c r="F31" s="22" t="s">
        <v>57</v>
      </c>
      <c r="G31" s="22" t="s">
        <v>85</v>
      </c>
      <c r="H31" s="22" t="s">
        <v>30</v>
      </c>
      <c r="I31" s="22" t="s">
        <v>86</v>
      </c>
      <c r="J31" s="22" t="s">
        <v>57</v>
      </c>
      <c r="K31" s="518" t="s">
        <v>812</v>
      </c>
      <c r="L31" s="521" t="s">
        <v>865</v>
      </c>
      <c r="M31" s="521" t="s">
        <v>866</v>
      </c>
      <c r="N31" s="521" t="s">
        <v>815</v>
      </c>
      <c r="O31" s="22" t="s">
        <v>47</v>
      </c>
      <c r="P31" s="426">
        <v>2018</v>
      </c>
      <c r="Q31" s="414">
        <f t="shared" ca="1" si="2"/>
        <v>782820.98602721537</v>
      </c>
      <c r="R31" s="335" t="str">
        <f t="shared" ca="1" si="0"/>
        <v>N/A</v>
      </c>
      <c r="S31" s="335" t="str">
        <f t="shared" ca="1" si="1"/>
        <v>N/A</v>
      </c>
      <c r="T31" s="429"/>
      <c r="U31" s="22"/>
      <c r="V31" s="24"/>
      <c r="W31" s="21"/>
      <c r="Y31" s="490"/>
    </row>
    <row r="32" spans="1:25" ht="90">
      <c r="A32" s="31">
        <v>29</v>
      </c>
      <c r="B32" s="22" t="s">
        <v>39</v>
      </c>
      <c r="C32" s="22" t="s">
        <v>50</v>
      </c>
      <c r="D32" s="22" t="s">
        <v>83</v>
      </c>
      <c r="E32" s="23" t="s">
        <v>84</v>
      </c>
      <c r="F32" s="22" t="s">
        <v>58</v>
      </c>
      <c r="G32" s="22" t="s">
        <v>85</v>
      </c>
      <c r="H32" s="22" t="s">
        <v>30</v>
      </c>
      <c r="I32" s="22" t="s">
        <v>86</v>
      </c>
      <c r="J32" s="22" t="s">
        <v>58</v>
      </c>
      <c r="K32" s="518" t="s">
        <v>812</v>
      </c>
      <c r="L32" s="521" t="s">
        <v>867</v>
      </c>
      <c r="M32" s="521" t="s">
        <v>868</v>
      </c>
      <c r="N32" s="521" t="s">
        <v>815</v>
      </c>
      <c r="O32" s="22" t="s">
        <v>47</v>
      </c>
      <c r="P32" s="426">
        <v>2018</v>
      </c>
      <c r="Q32" s="414">
        <f t="shared" ca="1" si="2"/>
        <v>-524.44432420719932</v>
      </c>
      <c r="R32" s="335" t="str">
        <f t="shared" ca="1" si="0"/>
        <v>N/A</v>
      </c>
      <c r="S32" s="335" t="str">
        <f t="shared" ca="1" si="1"/>
        <v>N/A</v>
      </c>
      <c r="T32" s="429" t="s">
        <v>59</v>
      </c>
      <c r="U32"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2" s="24"/>
      <c r="W32" s="21"/>
      <c r="Y32" s="490"/>
    </row>
    <row r="33" spans="1:25" ht="90">
      <c r="A33" s="31">
        <v>30</v>
      </c>
      <c r="B33" s="22" t="s">
        <v>39</v>
      </c>
      <c r="C33" s="22" t="s">
        <v>50</v>
      </c>
      <c r="D33" s="22" t="s">
        <v>83</v>
      </c>
      <c r="E33" s="23" t="s">
        <v>84</v>
      </c>
      <c r="F33" s="22" t="s">
        <v>60</v>
      </c>
      <c r="G33" s="22" t="s">
        <v>85</v>
      </c>
      <c r="H33" s="22" t="s">
        <v>30</v>
      </c>
      <c r="I33" s="22" t="s">
        <v>86</v>
      </c>
      <c r="J33" s="22" t="s">
        <v>60</v>
      </c>
      <c r="K33" s="518" t="s">
        <v>812</v>
      </c>
      <c r="L33" s="521" t="s">
        <v>869</v>
      </c>
      <c r="M33" s="521" t="s">
        <v>870</v>
      </c>
      <c r="N33" s="521" t="s">
        <v>815</v>
      </c>
      <c r="O33" s="22" t="s">
        <v>47</v>
      </c>
      <c r="P33" s="426">
        <v>2018</v>
      </c>
      <c r="Q33" s="414">
        <f t="shared" ca="1" si="2"/>
        <v>-471.99990429023001</v>
      </c>
      <c r="R33" s="335" t="str">
        <f t="shared" ca="1" si="0"/>
        <v>N/A</v>
      </c>
      <c r="S33" s="335" t="str">
        <f t="shared" ca="1" si="1"/>
        <v>N/A</v>
      </c>
      <c r="T33" s="429" t="s">
        <v>59</v>
      </c>
      <c r="U3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3" s="24"/>
      <c r="W33" s="21"/>
      <c r="Y33" s="490"/>
    </row>
    <row r="34" spans="1:25" ht="45">
      <c r="A34" s="31">
        <v>31</v>
      </c>
      <c r="B34" s="22" t="s">
        <v>39</v>
      </c>
      <c r="C34" s="22" t="s">
        <v>50</v>
      </c>
      <c r="D34" s="22" t="s">
        <v>83</v>
      </c>
      <c r="E34" s="23" t="s">
        <v>84</v>
      </c>
      <c r="F34" s="22" t="s">
        <v>61</v>
      </c>
      <c r="G34" s="22" t="s">
        <v>85</v>
      </c>
      <c r="H34" s="22" t="s">
        <v>30</v>
      </c>
      <c r="I34" s="22" t="s">
        <v>86</v>
      </c>
      <c r="J34" s="22" t="s">
        <v>61</v>
      </c>
      <c r="K34" s="518" t="s">
        <v>812</v>
      </c>
      <c r="L34" s="521" t="s">
        <v>871</v>
      </c>
      <c r="M34" s="521" t="s">
        <v>872</v>
      </c>
      <c r="N34" s="521" t="s">
        <v>815</v>
      </c>
      <c r="O34" s="22" t="s">
        <v>47</v>
      </c>
      <c r="P34" s="426">
        <v>2018</v>
      </c>
      <c r="Q34" s="414">
        <f t="shared" ca="1" si="2"/>
        <v>1123.4651062340597</v>
      </c>
      <c r="R34" s="335" t="str">
        <f t="shared" ca="1" si="0"/>
        <v>N/A</v>
      </c>
      <c r="S34" s="335" t="str">
        <f t="shared" ca="1" si="1"/>
        <v>N/A</v>
      </c>
      <c r="T34" s="429"/>
      <c r="U34" s="22"/>
      <c r="V34" s="24"/>
      <c r="W34" s="21"/>
      <c r="Y34" s="490"/>
    </row>
    <row r="35" spans="1:25" ht="45">
      <c r="A35" s="31">
        <v>32</v>
      </c>
      <c r="B35" s="22" t="s">
        <v>39</v>
      </c>
      <c r="C35" s="22" t="s">
        <v>50</v>
      </c>
      <c r="D35" s="22" t="s">
        <v>83</v>
      </c>
      <c r="E35" s="23" t="s">
        <v>84</v>
      </c>
      <c r="F35" s="22" t="s">
        <v>62</v>
      </c>
      <c r="G35" s="22" t="s">
        <v>85</v>
      </c>
      <c r="H35" s="22" t="s">
        <v>30</v>
      </c>
      <c r="I35" s="22" t="s">
        <v>86</v>
      </c>
      <c r="J35" s="22" t="s">
        <v>62</v>
      </c>
      <c r="K35" s="518" t="s">
        <v>812</v>
      </c>
      <c r="L35" s="521" t="s">
        <v>873</v>
      </c>
      <c r="M35" s="521" t="s">
        <v>874</v>
      </c>
      <c r="N35" s="521" t="s">
        <v>815</v>
      </c>
      <c r="O35" s="22" t="s">
        <v>47</v>
      </c>
      <c r="P35" s="426">
        <v>2018</v>
      </c>
      <c r="Q35" s="414">
        <f t="shared" ca="1" si="2"/>
        <v>1011.1186223961486</v>
      </c>
      <c r="R35" s="335" t="str">
        <f t="shared" ca="1" si="0"/>
        <v>N/A</v>
      </c>
      <c r="S35" s="335" t="str">
        <f t="shared" ca="1" si="1"/>
        <v>N/A</v>
      </c>
      <c r="T35" s="429"/>
      <c r="U35" s="22"/>
      <c r="V35" s="24"/>
      <c r="W35" s="21"/>
      <c r="Y35" s="490"/>
    </row>
    <row r="36" spans="1:25" ht="45">
      <c r="A36" s="31">
        <v>33</v>
      </c>
      <c r="B36" s="22" t="s">
        <v>39</v>
      </c>
      <c r="C36" s="22" t="s">
        <v>50</v>
      </c>
      <c r="D36" s="22" t="s">
        <v>83</v>
      </c>
      <c r="E36" s="23" t="s">
        <v>84</v>
      </c>
      <c r="F36" s="22" t="s">
        <v>63</v>
      </c>
      <c r="G36" s="22" t="s">
        <v>85</v>
      </c>
      <c r="H36" s="22" t="s">
        <v>30</v>
      </c>
      <c r="I36" s="22" t="s">
        <v>86</v>
      </c>
      <c r="J36" s="22" t="s">
        <v>63</v>
      </c>
      <c r="K36" s="518" t="s">
        <v>812</v>
      </c>
      <c r="L36" s="521" t="s">
        <v>875</v>
      </c>
      <c r="M36" s="521" t="s">
        <v>876</v>
      </c>
      <c r="N36" s="521" t="s">
        <v>815</v>
      </c>
      <c r="O36" s="22" t="s">
        <v>47</v>
      </c>
      <c r="P36" s="426">
        <v>2018</v>
      </c>
      <c r="Q36" s="414">
        <f t="shared" ca="1" si="2"/>
        <v>4982089.2948363777</v>
      </c>
      <c r="R36" s="335" t="str">
        <f t="shared" ca="1" si="0"/>
        <v>N/A</v>
      </c>
      <c r="S36" s="335" t="str">
        <f t="shared" ca="1" si="1"/>
        <v>N/A</v>
      </c>
      <c r="T36" s="429"/>
      <c r="U36" s="22"/>
      <c r="V36" s="24"/>
      <c r="W36" s="21"/>
      <c r="Y36" s="490"/>
    </row>
    <row r="37" spans="1:25" ht="45">
      <c r="A37" s="31">
        <v>34</v>
      </c>
      <c r="B37" s="22" t="s">
        <v>39</v>
      </c>
      <c r="C37" s="22" t="s">
        <v>50</v>
      </c>
      <c r="D37" s="22" t="s">
        <v>83</v>
      </c>
      <c r="E37" s="23" t="s">
        <v>84</v>
      </c>
      <c r="F37" s="22" t="s">
        <v>64</v>
      </c>
      <c r="G37" s="22" t="s">
        <v>85</v>
      </c>
      <c r="H37" s="22" t="s">
        <v>30</v>
      </c>
      <c r="I37" s="22" t="s">
        <v>86</v>
      </c>
      <c r="J37" s="22" t="s">
        <v>64</v>
      </c>
      <c r="K37" s="518" t="s">
        <v>812</v>
      </c>
      <c r="L37" s="521" t="s">
        <v>877</v>
      </c>
      <c r="M37" s="521" t="s">
        <v>878</v>
      </c>
      <c r="N37" s="521" t="s">
        <v>815</v>
      </c>
      <c r="O37" s="22" t="s">
        <v>47</v>
      </c>
      <c r="P37" s="426">
        <v>2018</v>
      </c>
      <c r="Q37" s="414">
        <f t="shared" ca="1" si="2"/>
        <v>4483880.4841350066</v>
      </c>
      <c r="R37" s="335" t="str">
        <f t="shared" ca="1" si="0"/>
        <v>N/A</v>
      </c>
      <c r="S37" s="335" t="str">
        <f t="shared" ca="1" si="1"/>
        <v>N/A</v>
      </c>
      <c r="T37" s="429"/>
      <c r="U37" s="22"/>
      <c r="V37" s="24"/>
      <c r="W37" s="21"/>
      <c r="Y37" s="490"/>
    </row>
    <row r="38" spans="1:25" ht="90">
      <c r="A38" s="31">
        <v>35</v>
      </c>
      <c r="B38" s="22" t="s">
        <v>39</v>
      </c>
      <c r="C38" s="22" t="s">
        <v>50</v>
      </c>
      <c r="D38" s="22" t="s">
        <v>83</v>
      </c>
      <c r="E38" s="23" t="s">
        <v>84</v>
      </c>
      <c r="F38" s="22" t="s">
        <v>65</v>
      </c>
      <c r="G38" s="22" t="s">
        <v>85</v>
      </c>
      <c r="H38" s="22" t="s">
        <v>30</v>
      </c>
      <c r="I38" s="22" t="s">
        <v>86</v>
      </c>
      <c r="J38" s="22" t="s">
        <v>65</v>
      </c>
      <c r="K38" s="518" t="s">
        <v>812</v>
      </c>
      <c r="L38" s="521" t="s">
        <v>879</v>
      </c>
      <c r="M38" s="521" t="s">
        <v>880</v>
      </c>
      <c r="N38" s="521" t="s">
        <v>815</v>
      </c>
      <c r="O38" s="22" t="s">
        <v>47</v>
      </c>
      <c r="P38" s="426">
        <v>2018</v>
      </c>
      <c r="Q38" s="414">
        <f t="shared" ca="1" si="2"/>
        <v>-13188.591060963503</v>
      </c>
      <c r="R38" s="335" t="str">
        <f t="shared" ca="1" si="0"/>
        <v>N/A</v>
      </c>
      <c r="S38" s="335" t="str">
        <f t="shared" ca="1" si="1"/>
        <v>N/A</v>
      </c>
      <c r="T38" s="429" t="s">
        <v>59</v>
      </c>
      <c r="U38"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8" s="24"/>
      <c r="W38" s="21"/>
      <c r="Y38" s="490"/>
    </row>
    <row r="39" spans="1:25" ht="90">
      <c r="A39" s="31">
        <v>36</v>
      </c>
      <c r="B39" s="22" t="s">
        <v>39</v>
      </c>
      <c r="C39" s="22" t="s">
        <v>50</v>
      </c>
      <c r="D39" s="22" t="s">
        <v>83</v>
      </c>
      <c r="E39" s="23" t="s">
        <v>84</v>
      </c>
      <c r="F39" s="22" t="s">
        <v>66</v>
      </c>
      <c r="G39" s="22" t="s">
        <v>85</v>
      </c>
      <c r="H39" s="22" t="s">
        <v>30</v>
      </c>
      <c r="I39" s="22" t="s">
        <v>86</v>
      </c>
      <c r="J39" s="22" t="s">
        <v>66</v>
      </c>
      <c r="K39" s="518" t="s">
        <v>812</v>
      </c>
      <c r="L39" s="521" t="s">
        <v>881</v>
      </c>
      <c r="M39" s="521" t="s">
        <v>882</v>
      </c>
      <c r="N39" s="521" t="s">
        <v>815</v>
      </c>
      <c r="O39" s="22" t="s">
        <v>47</v>
      </c>
      <c r="P39" s="426">
        <v>2018</v>
      </c>
      <c r="Q39" s="414">
        <f t="shared" ca="1" si="2"/>
        <v>-11869.732269307806</v>
      </c>
      <c r="R39" s="335" t="str">
        <f t="shared" ca="1" si="0"/>
        <v>N/A</v>
      </c>
      <c r="S39" s="335" t="str">
        <f t="shared" ca="1" si="1"/>
        <v>N/A</v>
      </c>
      <c r="T39" s="429" t="s">
        <v>59</v>
      </c>
      <c r="U39"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9" s="24"/>
      <c r="W39" s="21"/>
      <c r="Y39" s="490"/>
    </row>
    <row r="40" spans="1:25" ht="30">
      <c r="A40" s="31">
        <v>37</v>
      </c>
      <c r="B40" s="22" t="s">
        <v>39</v>
      </c>
      <c r="C40" s="22" t="s">
        <v>50</v>
      </c>
      <c r="D40" s="22" t="s">
        <v>90</v>
      </c>
      <c r="E40" s="23" t="s">
        <v>91</v>
      </c>
      <c r="F40" s="22" t="s">
        <v>92</v>
      </c>
      <c r="G40" s="22" t="s">
        <v>93</v>
      </c>
      <c r="H40" s="22" t="s">
        <v>30</v>
      </c>
      <c r="I40" s="22" t="s">
        <v>94</v>
      </c>
      <c r="J40" s="22" t="s">
        <v>92</v>
      </c>
      <c r="K40" s="518" t="s">
        <v>812</v>
      </c>
      <c r="L40" s="521" t="s">
        <v>883</v>
      </c>
      <c r="M40" s="521" t="s">
        <v>884</v>
      </c>
      <c r="N40" s="521" t="s">
        <v>885</v>
      </c>
      <c r="O40" s="22" t="s">
        <v>47</v>
      </c>
      <c r="P40" s="426">
        <v>2018</v>
      </c>
      <c r="Q40" s="414">
        <f t="shared" ca="1" si="2"/>
        <v>95.02296044661847</v>
      </c>
      <c r="R40" s="335">
        <f t="shared" ca="1" si="0"/>
        <v>0</v>
      </c>
      <c r="S40" s="335">
        <f t="shared" ca="1" si="1"/>
        <v>0</v>
      </c>
      <c r="T40" s="429"/>
      <c r="U40" s="22"/>
      <c r="V40" s="24"/>
      <c r="W40" s="21"/>
      <c r="Y40" s="490"/>
    </row>
    <row r="41" spans="1:25" ht="30">
      <c r="A41" s="31">
        <v>38</v>
      </c>
      <c r="B41" s="22" t="s">
        <v>39</v>
      </c>
      <c r="C41" s="22" t="s">
        <v>50</v>
      </c>
      <c r="D41" s="22" t="s">
        <v>90</v>
      </c>
      <c r="E41" s="23" t="s">
        <v>91</v>
      </c>
      <c r="F41" s="22" t="s">
        <v>95</v>
      </c>
      <c r="G41" s="22" t="s">
        <v>93</v>
      </c>
      <c r="H41" s="22" t="s">
        <v>30</v>
      </c>
      <c r="I41" s="22" t="s">
        <v>94</v>
      </c>
      <c r="J41" s="22" t="s">
        <v>95</v>
      </c>
      <c r="K41" s="518" t="s">
        <v>812</v>
      </c>
      <c r="L41" s="521" t="s">
        <v>886</v>
      </c>
      <c r="M41" s="521" t="s">
        <v>887</v>
      </c>
      <c r="N41" s="521" t="s">
        <v>885</v>
      </c>
      <c r="O41" s="22" t="s">
        <v>47</v>
      </c>
      <c r="P41" s="426">
        <v>2018</v>
      </c>
      <c r="Q41" s="414">
        <f t="shared" ca="1" si="2"/>
        <v>1.5040071603837258E-2</v>
      </c>
      <c r="R41" s="335">
        <f t="shared" ca="1" si="0"/>
        <v>0</v>
      </c>
      <c r="S41" s="335">
        <f t="shared" ca="1" si="1"/>
        <v>0</v>
      </c>
      <c r="T41" s="429"/>
      <c r="U41" s="22"/>
      <c r="V41" s="24"/>
      <c r="W41" s="21"/>
      <c r="Y41" s="490"/>
    </row>
    <row r="42" spans="1:25" ht="30">
      <c r="A42" s="31">
        <v>39</v>
      </c>
      <c r="B42" s="22" t="s">
        <v>39</v>
      </c>
      <c r="C42" s="22" t="s">
        <v>50</v>
      </c>
      <c r="D42" s="22" t="s">
        <v>90</v>
      </c>
      <c r="E42" s="23" t="s">
        <v>91</v>
      </c>
      <c r="F42" s="22" t="s">
        <v>96</v>
      </c>
      <c r="G42" s="22" t="s">
        <v>93</v>
      </c>
      <c r="H42" s="22" t="s">
        <v>30</v>
      </c>
      <c r="I42" s="22" t="s">
        <v>94</v>
      </c>
      <c r="J42" s="22" t="s">
        <v>96</v>
      </c>
      <c r="K42" s="518" t="s">
        <v>812</v>
      </c>
      <c r="L42" s="521" t="s">
        <v>888</v>
      </c>
      <c r="M42" s="521" t="s">
        <v>889</v>
      </c>
      <c r="N42" s="521" t="s">
        <v>885</v>
      </c>
      <c r="O42" s="22" t="s">
        <v>47</v>
      </c>
      <c r="P42" s="426">
        <v>2018</v>
      </c>
      <c r="Q42" s="414">
        <f t="shared" ca="1" si="2"/>
        <v>3.3116917337878429E-2</v>
      </c>
      <c r="R42" s="335">
        <f t="shared" ca="1" si="0"/>
        <v>0</v>
      </c>
      <c r="S42" s="335">
        <f t="shared" ca="1" si="1"/>
        <v>0</v>
      </c>
      <c r="T42" s="429" t="s">
        <v>48</v>
      </c>
      <c r="U42" s="22" t="s">
        <v>49</v>
      </c>
      <c r="V42" s="24"/>
      <c r="W42" s="21"/>
      <c r="Y42" s="490"/>
    </row>
    <row r="43" spans="1:25" ht="30">
      <c r="A43" s="31">
        <v>40</v>
      </c>
      <c r="B43" s="22" t="s">
        <v>39</v>
      </c>
      <c r="C43" s="22" t="s">
        <v>50</v>
      </c>
      <c r="D43" s="22" t="s">
        <v>90</v>
      </c>
      <c r="E43" s="23" t="s">
        <v>91</v>
      </c>
      <c r="F43" s="22" t="s">
        <v>97</v>
      </c>
      <c r="G43" s="22" t="s">
        <v>93</v>
      </c>
      <c r="H43" s="22" t="s">
        <v>30</v>
      </c>
      <c r="I43" s="22" t="s">
        <v>94</v>
      </c>
      <c r="J43" s="22" t="s">
        <v>97</v>
      </c>
      <c r="K43" s="518" t="s">
        <v>812</v>
      </c>
      <c r="L43" s="521" t="s">
        <v>890</v>
      </c>
      <c r="M43" s="521" t="s">
        <v>891</v>
      </c>
      <c r="N43" s="521" t="s">
        <v>885</v>
      </c>
      <c r="O43" s="22" t="s">
        <v>47</v>
      </c>
      <c r="P43" s="426">
        <v>2018</v>
      </c>
      <c r="Q43" s="414">
        <f t="shared" ca="1" si="2"/>
        <v>159.34630053275419</v>
      </c>
      <c r="R43" s="335">
        <f t="shared" ca="1" si="0"/>
        <v>0</v>
      </c>
      <c r="S43" s="335">
        <f t="shared" ca="1" si="1"/>
        <v>0</v>
      </c>
      <c r="T43" s="429"/>
      <c r="U43" s="22"/>
      <c r="V43" s="24"/>
      <c r="W43" s="21"/>
      <c r="Y43" s="490"/>
    </row>
    <row r="44" spans="1:25" ht="30">
      <c r="A44" s="31">
        <v>41</v>
      </c>
      <c r="B44" s="22" t="s">
        <v>39</v>
      </c>
      <c r="C44" s="22" t="s">
        <v>50</v>
      </c>
      <c r="D44" s="22" t="s">
        <v>90</v>
      </c>
      <c r="E44" s="23" t="s">
        <v>91</v>
      </c>
      <c r="F44" s="22" t="s">
        <v>98</v>
      </c>
      <c r="G44" s="22" t="s">
        <v>93</v>
      </c>
      <c r="H44" s="22" t="s">
        <v>30</v>
      </c>
      <c r="I44" s="22" t="s">
        <v>94</v>
      </c>
      <c r="J44" s="22" t="s">
        <v>98</v>
      </c>
      <c r="K44" s="518" t="s">
        <v>812</v>
      </c>
      <c r="L44" s="521" t="s">
        <v>892</v>
      </c>
      <c r="M44" s="521" t="s">
        <v>893</v>
      </c>
      <c r="N44" s="521" t="s">
        <v>885</v>
      </c>
      <c r="O44" s="22" t="s">
        <v>47</v>
      </c>
      <c r="P44" s="426">
        <v>2018</v>
      </c>
      <c r="Q44" s="414">
        <f t="shared" ca="1" si="2"/>
        <v>2.5221059821279014E-2</v>
      </c>
      <c r="R44" s="335">
        <f t="shared" ca="1" si="0"/>
        <v>0</v>
      </c>
      <c r="S44" s="335">
        <f t="shared" ca="1" si="1"/>
        <v>0</v>
      </c>
      <c r="T44" s="429"/>
      <c r="U44" s="22"/>
      <c r="V44" s="24"/>
      <c r="W44" s="21"/>
      <c r="Y44" s="490"/>
    </row>
    <row r="45" spans="1:25" ht="30">
      <c r="A45" s="31">
        <v>42</v>
      </c>
      <c r="B45" s="22" t="s">
        <v>39</v>
      </c>
      <c r="C45" s="22" t="s">
        <v>50</v>
      </c>
      <c r="D45" s="22" t="s">
        <v>90</v>
      </c>
      <c r="E45" s="23" t="s">
        <v>91</v>
      </c>
      <c r="F45" s="22" t="s">
        <v>99</v>
      </c>
      <c r="G45" s="22" t="s">
        <v>93</v>
      </c>
      <c r="H45" s="22" t="s">
        <v>30</v>
      </c>
      <c r="I45" s="22" t="s">
        <v>94</v>
      </c>
      <c r="J45" s="22" t="s">
        <v>99</v>
      </c>
      <c r="K45" s="518" t="s">
        <v>812</v>
      </c>
      <c r="L45" s="521" t="s">
        <v>894</v>
      </c>
      <c r="M45" s="521" t="s">
        <v>895</v>
      </c>
      <c r="N45" s="521" t="s">
        <v>885</v>
      </c>
      <c r="O45" s="22" t="s">
        <v>47</v>
      </c>
      <c r="P45" s="426">
        <v>2018</v>
      </c>
      <c r="Q45" s="414">
        <f t="shared" ca="1" si="2"/>
        <v>5.5534559626822765E-2</v>
      </c>
      <c r="R45" s="335">
        <f t="shared" ca="1" si="0"/>
        <v>0</v>
      </c>
      <c r="S45" s="335">
        <f t="shared" ca="1" si="1"/>
        <v>0</v>
      </c>
      <c r="T45" s="429" t="s">
        <v>48</v>
      </c>
      <c r="U45" s="22" t="s">
        <v>49</v>
      </c>
      <c r="V45" s="24"/>
      <c r="W45" s="21"/>
      <c r="Y45" s="490"/>
    </row>
    <row r="46" spans="1:25" ht="45">
      <c r="A46" s="31">
        <v>43</v>
      </c>
      <c r="B46" s="22" t="s">
        <v>39</v>
      </c>
      <c r="C46" s="22" t="s">
        <v>50</v>
      </c>
      <c r="D46" s="22" t="s">
        <v>100</v>
      </c>
      <c r="E46" s="23" t="s">
        <v>51</v>
      </c>
      <c r="F46" s="22" t="s">
        <v>52</v>
      </c>
      <c r="G46" s="22" t="s">
        <v>53</v>
      </c>
      <c r="H46" s="22" t="s">
        <v>30</v>
      </c>
      <c r="I46" s="22" t="s">
        <v>101</v>
      </c>
      <c r="J46" s="22" t="s">
        <v>52</v>
      </c>
      <c r="K46" s="519" t="s">
        <v>896</v>
      </c>
      <c r="L46" s="521" t="s">
        <v>897</v>
      </c>
      <c r="M46" s="521" t="s">
        <v>898</v>
      </c>
      <c r="N46" s="521" t="s">
        <v>815</v>
      </c>
      <c r="O46" s="22" t="s">
        <v>102</v>
      </c>
      <c r="P46" s="426">
        <v>2018</v>
      </c>
      <c r="Q46" s="414">
        <f t="shared" ca="1" si="2"/>
        <v>66741.149765853857</v>
      </c>
      <c r="R46" s="335" t="str">
        <f t="shared" ca="1" si="0"/>
        <v>N/A</v>
      </c>
      <c r="S46" s="335" t="str">
        <f t="shared" ca="1" si="1"/>
        <v>N/A</v>
      </c>
      <c r="T46" s="429" t="s">
        <v>899</v>
      </c>
      <c r="U46" s="22"/>
      <c r="V46" s="24"/>
      <c r="W46" s="21"/>
      <c r="Y46" s="490"/>
    </row>
    <row r="47" spans="1:25" ht="45">
      <c r="A47" s="31">
        <v>44</v>
      </c>
      <c r="B47" s="22" t="s">
        <v>39</v>
      </c>
      <c r="C47" s="22" t="s">
        <v>50</v>
      </c>
      <c r="D47" s="22" t="s">
        <v>100</v>
      </c>
      <c r="E47" s="23" t="s">
        <v>51</v>
      </c>
      <c r="F47" s="22" t="s">
        <v>55</v>
      </c>
      <c r="G47" s="22" t="s">
        <v>53</v>
      </c>
      <c r="H47" s="22" t="s">
        <v>30</v>
      </c>
      <c r="I47" s="22" t="s">
        <v>101</v>
      </c>
      <c r="J47" s="22" t="s">
        <v>55</v>
      </c>
      <c r="K47" s="519" t="s">
        <v>896</v>
      </c>
      <c r="L47" s="521" t="s">
        <v>900</v>
      </c>
      <c r="M47" s="521" t="s">
        <v>901</v>
      </c>
      <c r="N47" s="521" t="s">
        <v>815</v>
      </c>
      <c r="O47" s="22" t="s">
        <v>102</v>
      </c>
      <c r="P47" s="426">
        <v>2018</v>
      </c>
      <c r="Q47" s="414">
        <f t="shared" ca="1" si="2"/>
        <v>68352.677258835494</v>
      </c>
      <c r="R47" s="335" t="str">
        <f t="shared" ca="1" si="0"/>
        <v>N/A</v>
      </c>
      <c r="S47" s="335" t="str">
        <f t="shared" ca="1" si="1"/>
        <v>N/A</v>
      </c>
      <c r="T47" s="429" t="s">
        <v>899</v>
      </c>
      <c r="U47" s="22"/>
      <c r="V47" s="24"/>
      <c r="W47" s="21"/>
      <c r="Y47" s="490"/>
    </row>
    <row r="48" spans="1:25" ht="45">
      <c r="A48" s="31">
        <v>45</v>
      </c>
      <c r="B48" s="22" t="s">
        <v>39</v>
      </c>
      <c r="C48" s="22" t="s">
        <v>50</v>
      </c>
      <c r="D48" s="22" t="s">
        <v>100</v>
      </c>
      <c r="E48" s="23" t="s">
        <v>51</v>
      </c>
      <c r="F48" s="22" t="s">
        <v>56</v>
      </c>
      <c r="G48" s="22" t="s">
        <v>53</v>
      </c>
      <c r="H48" s="22" t="s">
        <v>30</v>
      </c>
      <c r="I48" s="22" t="s">
        <v>101</v>
      </c>
      <c r="J48" s="22" t="s">
        <v>56</v>
      </c>
      <c r="K48" s="519" t="s">
        <v>896</v>
      </c>
      <c r="L48" s="521" t="s">
        <v>902</v>
      </c>
      <c r="M48" s="521" t="s">
        <v>903</v>
      </c>
      <c r="N48" s="521" t="s">
        <v>815</v>
      </c>
      <c r="O48" s="22" t="s">
        <v>102</v>
      </c>
      <c r="P48" s="426">
        <v>2018</v>
      </c>
      <c r="Q48" s="414">
        <f t="shared" ca="1" si="2"/>
        <v>172460845.21371642</v>
      </c>
      <c r="R48" s="335" t="str">
        <f t="shared" ca="1" si="0"/>
        <v>N/A</v>
      </c>
      <c r="S48" s="335" t="str">
        <f t="shared" ca="1" si="1"/>
        <v>N/A</v>
      </c>
      <c r="T48" s="429" t="s">
        <v>899</v>
      </c>
      <c r="U48" s="22"/>
      <c r="V48" s="24"/>
      <c r="W48" s="21"/>
      <c r="Y48" s="490"/>
    </row>
    <row r="49" spans="1:25" ht="45">
      <c r="A49" s="31">
        <v>46</v>
      </c>
      <c r="B49" s="22" t="s">
        <v>39</v>
      </c>
      <c r="C49" s="22" t="s">
        <v>50</v>
      </c>
      <c r="D49" s="22" t="s">
        <v>100</v>
      </c>
      <c r="E49" s="23" t="s">
        <v>51</v>
      </c>
      <c r="F49" s="22" t="s">
        <v>57</v>
      </c>
      <c r="G49" s="22" t="s">
        <v>53</v>
      </c>
      <c r="H49" s="22" t="s">
        <v>30</v>
      </c>
      <c r="I49" s="22" t="s">
        <v>101</v>
      </c>
      <c r="J49" s="22" t="s">
        <v>57</v>
      </c>
      <c r="K49" s="519" t="s">
        <v>896</v>
      </c>
      <c r="L49" s="521" t="s">
        <v>904</v>
      </c>
      <c r="M49" s="521" t="s">
        <v>905</v>
      </c>
      <c r="N49" s="521" t="s">
        <v>815</v>
      </c>
      <c r="O49" s="22" t="s">
        <v>102</v>
      </c>
      <c r="P49" s="426">
        <v>2018</v>
      </c>
      <c r="Q49" s="414">
        <f t="shared" ca="1" si="2"/>
        <v>167737013.89033544</v>
      </c>
      <c r="R49" s="335" t="str">
        <f t="shared" ca="1" si="0"/>
        <v>N/A</v>
      </c>
      <c r="S49" s="335" t="str">
        <f t="shared" ca="1" si="1"/>
        <v>N/A</v>
      </c>
      <c r="T49" s="429" t="s">
        <v>899</v>
      </c>
      <c r="U49" s="22"/>
      <c r="V49" s="24"/>
      <c r="W49" s="21"/>
      <c r="Y49" s="490"/>
    </row>
    <row r="50" spans="1:25" ht="45">
      <c r="A50" s="31">
        <v>47</v>
      </c>
      <c r="B50" s="22" t="s">
        <v>39</v>
      </c>
      <c r="C50" s="22" t="s">
        <v>50</v>
      </c>
      <c r="D50" s="22" t="s">
        <v>100</v>
      </c>
      <c r="E50" s="23" t="s">
        <v>51</v>
      </c>
      <c r="F50" s="22" t="s">
        <v>58</v>
      </c>
      <c r="G50" s="22" t="s">
        <v>53</v>
      </c>
      <c r="H50" s="22" t="s">
        <v>30</v>
      </c>
      <c r="I50" s="22" t="s">
        <v>101</v>
      </c>
      <c r="J50" s="22" t="s">
        <v>58</v>
      </c>
      <c r="K50" s="519" t="s">
        <v>896</v>
      </c>
      <c r="L50" s="521" t="s">
        <v>906</v>
      </c>
      <c r="M50" s="521" t="s">
        <v>907</v>
      </c>
      <c r="N50" s="521" t="s">
        <v>815</v>
      </c>
      <c r="O50" s="22" t="s">
        <v>102</v>
      </c>
      <c r="P50" s="426">
        <v>2018</v>
      </c>
      <c r="Q50" s="414">
        <f t="shared" ca="1" si="2"/>
        <v>-780082.90165939706</v>
      </c>
      <c r="R50" s="335" t="str">
        <f t="shared" ca="1" si="0"/>
        <v>N/A</v>
      </c>
      <c r="S50" s="335" t="str">
        <f t="shared" ca="1" si="1"/>
        <v>N/A</v>
      </c>
      <c r="T50" s="429" t="s">
        <v>899</v>
      </c>
      <c r="U50" s="22" t="s">
        <v>49</v>
      </c>
      <c r="V50" s="24"/>
      <c r="W50" s="21"/>
      <c r="Y50" s="490"/>
    </row>
    <row r="51" spans="1:25" ht="45">
      <c r="A51" s="31">
        <v>48</v>
      </c>
      <c r="B51" s="22" t="s">
        <v>39</v>
      </c>
      <c r="C51" s="22" t="s">
        <v>50</v>
      </c>
      <c r="D51" s="22" t="s">
        <v>100</v>
      </c>
      <c r="E51" s="23" t="s">
        <v>51</v>
      </c>
      <c r="F51" s="22" t="s">
        <v>60</v>
      </c>
      <c r="G51" s="22" t="s">
        <v>53</v>
      </c>
      <c r="H51" s="22" t="s">
        <v>30</v>
      </c>
      <c r="I51" s="22" t="s">
        <v>101</v>
      </c>
      <c r="J51" s="22" t="s">
        <v>60</v>
      </c>
      <c r="K51" s="519" t="s">
        <v>896</v>
      </c>
      <c r="L51" s="521" t="s">
        <v>908</v>
      </c>
      <c r="M51" s="521" t="s">
        <v>909</v>
      </c>
      <c r="N51" s="521" t="s">
        <v>815</v>
      </c>
      <c r="O51" s="22" t="s">
        <v>102</v>
      </c>
      <c r="P51" s="426">
        <v>2018</v>
      </c>
      <c r="Q51" s="414">
        <f t="shared" ca="1" si="2"/>
        <v>-790274.81353473954</v>
      </c>
      <c r="R51" s="335" t="str">
        <f t="shared" ca="1" si="0"/>
        <v>N/A</v>
      </c>
      <c r="S51" s="335" t="str">
        <f t="shared" ca="1" si="1"/>
        <v>N/A</v>
      </c>
      <c r="T51" s="429" t="s">
        <v>899</v>
      </c>
      <c r="U51" s="22" t="s">
        <v>49</v>
      </c>
      <c r="V51" s="24"/>
      <c r="W51" s="21"/>
      <c r="Y51" s="490"/>
    </row>
    <row r="52" spans="1:25" ht="45">
      <c r="A52" s="31">
        <v>49</v>
      </c>
      <c r="B52" s="22" t="s">
        <v>39</v>
      </c>
      <c r="C52" s="22" t="s">
        <v>50</v>
      </c>
      <c r="D52" s="22" t="s">
        <v>100</v>
      </c>
      <c r="E52" s="23" t="s">
        <v>51</v>
      </c>
      <c r="F52" s="22" t="s">
        <v>61</v>
      </c>
      <c r="G52" s="22" t="s">
        <v>53</v>
      </c>
      <c r="H52" s="22" t="s">
        <v>30</v>
      </c>
      <c r="I52" s="22" t="s">
        <v>101</v>
      </c>
      <c r="J52" s="22" t="s">
        <v>61</v>
      </c>
      <c r="K52" s="519" t="s">
        <v>896</v>
      </c>
      <c r="L52" s="521" t="s">
        <v>910</v>
      </c>
      <c r="M52" s="521" t="s">
        <v>911</v>
      </c>
      <c r="N52" s="521" t="s">
        <v>815</v>
      </c>
      <c r="O52" s="22" t="s">
        <v>102</v>
      </c>
      <c r="P52" s="426">
        <v>2018</v>
      </c>
      <c r="Q52" s="414">
        <f t="shared" ca="1" si="2"/>
        <v>296697.17006932048</v>
      </c>
      <c r="R52" s="335" t="str">
        <f t="shared" ca="1" si="0"/>
        <v>N/A</v>
      </c>
      <c r="S52" s="335" t="str">
        <f t="shared" ca="1" si="1"/>
        <v>N/A</v>
      </c>
      <c r="T52" s="429" t="s">
        <v>899</v>
      </c>
      <c r="U52" s="22"/>
      <c r="V52" s="24"/>
      <c r="W52" s="21"/>
      <c r="Y52" s="490"/>
    </row>
    <row r="53" spans="1:25" ht="45">
      <c r="A53" s="31">
        <v>50</v>
      </c>
      <c r="B53" s="22" t="s">
        <v>39</v>
      </c>
      <c r="C53" s="22" t="s">
        <v>50</v>
      </c>
      <c r="D53" s="22" t="s">
        <v>100</v>
      </c>
      <c r="E53" s="23" t="s">
        <v>51</v>
      </c>
      <c r="F53" s="22" t="s">
        <v>62</v>
      </c>
      <c r="G53" s="22" t="s">
        <v>53</v>
      </c>
      <c r="H53" s="22" t="s">
        <v>30</v>
      </c>
      <c r="I53" s="22" t="s">
        <v>101</v>
      </c>
      <c r="J53" s="22" t="s">
        <v>62</v>
      </c>
      <c r="K53" s="519" t="s">
        <v>896</v>
      </c>
      <c r="L53" s="521" t="s">
        <v>912</v>
      </c>
      <c r="M53" s="521" t="s">
        <v>913</v>
      </c>
      <c r="N53" s="521" t="s">
        <v>815</v>
      </c>
      <c r="O53" s="22" t="s">
        <v>102</v>
      </c>
      <c r="P53" s="426">
        <v>2018</v>
      </c>
      <c r="Q53" s="414">
        <f t="shared" ca="1" si="2"/>
        <v>287151.68807807314</v>
      </c>
      <c r="R53" s="335" t="str">
        <f t="shared" ca="1" si="0"/>
        <v>N/A</v>
      </c>
      <c r="S53" s="335" t="str">
        <f t="shared" ca="1" si="1"/>
        <v>N/A</v>
      </c>
      <c r="T53" s="429" t="s">
        <v>899</v>
      </c>
      <c r="U53" s="22"/>
      <c r="V53" s="24"/>
      <c r="W53" s="21"/>
      <c r="Y53" s="490"/>
    </row>
    <row r="54" spans="1:25" ht="45">
      <c r="A54" s="31">
        <v>51</v>
      </c>
      <c r="B54" s="22" t="s">
        <v>39</v>
      </c>
      <c r="C54" s="22" t="s">
        <v>50</v>
      </c>
      <c r="D54" s="22" t="s">
        <v>100</v>
      </c>
      <c r="E54" s="23" t="s">
        <v>51</v>
      </c>
      <c r="F54" s="22" t="s">
        <v>63</v>
      </c>
      <c r="G54" s="22" t="s">
        <v>53</v>
      </c>
      <c r="H54" s="22" t="s">
        <v>30</v>
      </c>
      <c r="I54" s="22" t="s">
        <v>101</v>
      </c>
      <c r="J54" s="22" t="s">
        <v>63</v>
      </c>
      <c r="K54" s="519" t="s">
        <v>896</v>
      </c>
      <c r="L54" s="521" t="s">
        <v>914</v>
      </c>
      <c r="M54" s="521" t="s">
        <v>915</v>
      </c>
      <c r="N54" s="521" t="s">
        <v>815</v>
      </c>
      <c r="O54" s="22" t="s">
        <v>102</v>
      </c>
      <c r="P54" s="426">
        <v>2018</v>
      </c>
      <c r="Q54" s="414">
        <f t="shared" ca="1" si="2"/>
        <v>2170897257.3384709</v>
      </c>
      <c r="R54" s="335" t="str">
        <f t="shared" ca="1" si="0"/>
        <v>N/A</v>
      </c>
      <c r="S54" s="335" t="str">
        <f t="shared" ca="1" si="1"/>
        <v>N/A</v>
      </c>
      <c r="T54" s="429" t="s">
        <v>899</v>
      </c>
      <c r="U54" s="22"/>
      <c r="V54" s="24"/>
      <c r="W54" s="21"/>
      <c r="Y54" s="490"/>
    </row>
    <row r="55" spans="1:25" ht="45">
      <c r="A55" s="31">
        <v>52</v>
      </c>
      <c r="B55" s="22" t="s">
        <v>39</v>
      </c>
      <c r="C55" s="22" t="s">
        <v>50</v>
      </c>
      <c r="D55" s="22" t="s">
        <v>100</v>
      </c>
      <c r="E55" s="23" t="s">
        <v>51</v>
      </c>
      <c r="F55" s="22" t="s">
        <v>64</v>
      </c>
      <c r="G55" s="22" t="s">
        <v>53</v>
      </c>
      <c r="H55" s="22" t="s">
        <v>30</v>
      </c>
      <c r="I55" s="22" t="s">
        <v>101</v>
      </c>
      <c r="J55" s="22" t="s">
        <v>64</v>
      </c>
      <c r="K55" s="519" t="s">
        <v>896</v>
      </c>
      <c r="L55" s="521" t="s">
        <v>916</v>
      </c>
      <c r="M55" s="521" t="s">
        <v>917</v>
      </c>
      <c r="N55" s="521" t="s">
        <v>815</v>
      </c>
      <c r="O55" s="22" t="s">
        <v>102</v>
      </c>
      <c r="P55" s="426">
        <v>2018</v>
      </c>
      <c r="Q55" s="414">
        <f t="shared" ca="1" si="2"/>
        <v>2075911835.8221164</v>
      </c>
      <c r="R55" s="335" t="str">
        <f t="shared" ca="1" si="0"/>
        <v>N/A</v>
      </c>
      <c r="S55" s="335" t="str">
        <f t="shared" ca="1" si="1"/>
        <v>N/A</v>
      </c>
      <c r="T55" s="429" t="s">
        <v>899</v>
      </c>
      <c r="U55" s="22"/>
      <c r="V55" s="24"/>
      <c r="W55" s="21"/>
      <c r="Y55" s="490"/>
    </row>
    <row r="56" spans="1:25" ht="45">
      <c r="A56" s="31">
        <v>53</v>
      </c>
      <c r="B56" s="22" t="s">
        <v>39</v>
      </c>
      <c r="C56" s="22" t="s">
        <v>50</v>
      </c>
      <c r="D56" s="22" t="s">
        <v>100</v>
      </c>
      <c r="E56" s="23" t="s">
        <v>51</v>
      </c>
      <c r="F56" s="22" t="s">
        <v>65</v>
      </c>
      <c r="G56" s="22" t="s">
        <v>53</v>
      </c>
      <c r="H56" s="22" t="s">
        <v>30</v>
      </c>
      <c r="I56" s="22" t="s">
        <v>101</v>
      </c>
      <c r="J56" s="22" t="s">
        <v>65</v>
      </c>
      <c r="K56" s="519" t="s">
        <v>896</v>
      </c>
      <c r="L56" s="521" t="s">
        <v>918</v>
      </c>
      <c r="M56" s="521" t="s">
        <v>919</v>
      </c>
      <c r="N56" s="521" t="s">
        <v>815</v>
      </c>
      <c r="O56" s="22" t="s">
        <v>102</v>
      </c>
      <c r="P56" s="426">
        <v>2018</v>
      </c>
      <c r="Q56" s="414">
        <f t="shared" ca="1" si="2"/>
        <v>-29464988.738078784</v>
      </c>
      <c r="R56" s="335" t="str">
        <f t="shared" ca="1" si="0"/>
        <v>N/A</v>
      </c>
      <c r="S56" s="335" t="str">
        <f t="shared" ca="1" si="1"/>
        <v>N/A</v>
      </c>
      <c r="T56" s="429" t="s">
        <v>899</v>
      </c>
      <c r="U56" s="22" t="s">
        <v>49</v>
      </c>
      <c r="V56" s="24"/>
      <c r="W56" s="21"/>
      <c r="Y56" s="490"/>
    </row>
    <row r="57" spans="1:25" ht="45">
      <c r="A57" s="31">
        <v>54</v>
      </c>
      <c r="B57" s="22" t="s">
        <v>39</v>
      </c>
      <c r="C57" s="22" t="s">
        <v>50</v>
      </c>
      <c r="D57" s="22" t="s">
        <v>100</v>
      </c>
      <c r="E57" s="23" t="s">
        <v>51</v>
      </c>
      <c r="F57" s="22" t="s">
        <v>66</v>
      </c>
      <c r="G57" s="22" t="s">
        <v>53</v>
      </c>
      <c r="H57" s="22" t="s">
        <v>30</v>
      </c>
      <c r="I57" s="22" t="s">
        <v>101</v>
      </c>
      <c r="J57" s="22" t="s">
        <v>66</v>
      </c>
      <c r="K57" s="519" t="s">
        <v>896</v>
      </c>
      <c r="L57" s="521" t="s">
        <v>920</v>
      </c>
      <c r="M57" s="521" t="s">
        <v>921</v>
      </c>
      <c r="N57" s="521" t="s">
        <v>815</v>
      </c>
      <c r="O57" s="22" t="s">
        <v>102</v>
      </c>
      <c r="P57" s="426">
        <v>2018</v>
      </c>
      <c r="Q57" s="414">
        <f t="shared" ca="1" si="2"/>
        <v>-29056739.574923828</v>
      </c>
      <c r="R57" s="335" t="str">
        <f t="shared" ca="1" si="0"/>
        <v>N/A</v>
      </c>
      <c r="S57" s="335" t="str">
        <f t="shared" ca="1" si="1"/>
        <v>N/A</v>
      </c>
      <c r="T57" s="429" t="s">
        <v>899</v>
      </c>
      <c r="U57" s="22" t="s">
        <v>49</v>
      </c>
      <c r="V57" s="24"/>
      <c r="W57" s="21"/>
      <c r="Y57" s="490"/>
    </row>
    <row r="58" spans="1:25" ht="30">
      <c r="A58" s="31">
        <v>55</v>
      </c>
      <c r="B58" s="22" t="s">
        <v>39</v>
      </c>
      <c r="C58" s="22" t="s">
        <v>40</v>
      </c>
      <c r="D58" s="22" t="s">
        <v>103</v>
      </c>
      <c r="E58" s="23" t="s">
        <v>42</v>
      </c>
      <c r="F58" s="22" t="s">
        <v>43</v>
      </c>
      <c r="G58" s="22" t="s">
        <v>44</v>
      </c>
      <c r="H58" s="22" t="s">
        <v>30</v>
      </c>
      <c r="I58" s="22" t="s">
        <v>104</v>
      </c>
      <c r="J58" s="19" t="s">
        <v>46</v>
      </c>
      <c r="K58" s="519" t="s">
        <v>896</v>
      </c>
      <c r="L58" s="521" t="s">
        <v>922</v>
      </c>
      <c r="M58" s="521" t="s">
        <v>923</v>
      </c>
      <c r="N58" s="521" t="s">
        <v>815</v>
      </c>
      <c r="O58" s="22" t="s">
        <v>102</v>
      </c>
      <c r="P58" s="426">
        <v>2018</v>
      </c>
      <c r="Q58" s="414">
        <f t="shared" ca="1" si="2"/>
        <v>114401.61230873302</v>
      </c>
      <c r="R58" s="335" t="str">
        <f t="shared" ca="1" si="0"/>
        <v>N/A</v>
      </c>
      <c r="S58" s="335" t="str">
        <f t="shared" ca="1" si="1"/>
        <v>N/A</v>
      </c>
      <c r="T58" s="429" t="s">
        <v>48</v>
      </c>
      <c r="U58" s="22" t="s">
        <v>105</v>
      </c>
      <c r="V58" s="24"/>
      <c r="W58" s="21"/>
      <c r="Y58" s="490"/>
    </row>
    <row r="59" spans="1:25" ht="60">
      <c r="A59" s="31">
        <v>56</v>
      </c>
      <c r="B59" s="22" t="s">
        <v>39</v>
      </c>
      <c r="C59" s="22" t="s">
        <v>40</v>
      </c>
      <c r="D59" s="22" t="s">
        <v>106</v>
      </c>
      <c r="E59" s="23" t="s">
        <v>107</v>
      </c>
      <c r="F59" s="22" t="s">
        <v>108</v>
      </c>
      <c r="G59" s="22" t="s">
        <v>109</v>
      </c>
      <c r="H59" s="22" t="s">
        <v>30</v>
      </c>
      <c r="I59" s="22" t="s">
        <v>110</v>
      </c>
      <c r="J59" s="101" t="s">
        <v>111</v>
      </c>
      <c r="K59" s="519" t="s">
        <v>896</v>
      </c>
      <c r="L59" s="521" t="s">
        <v>924</v>
      </c>
      <c r="M59" s="521" t="s">
        <v>925</v>
      </c>
      <c r="N59" s="521" t="s">
        <v>885</v>
      </c>
      <c r="O59" s="22" t="s">
        <v>102</v>
      </c>
      <c r="P59" s="426">
        <v>2018</v>
      </c>
      <c r="Q59" s="414">
        <f t="shared" ca="1" si="2"/>
        <v>13.499810030395137</v>
      </c>
      <c r="R59" s="335">
        <f t="shared" ca="1" si="0"/>
        <v>0</v>
      </c>
      <c r="S59" s="335">
        <f t="shared" ca="1" si="1"/>
        <v>0</v>
      </c>
      <c r="T59" s="429"/>
      <c r="U59" s="22"/>
      <c r="V59" s="24"/>
      <c r="W59" s="21"/>
      <c r="Y59" s="490"/>
    </row>
    <row r="60" spans="1:25" ht="60">
      <c r="A60" s="31">
        <v>57</v>
      </c>
      <c r="B60" s="22" t="s">
        <v>39</v>
      </c>
      <c r="C60" s="22" t="s">
        <v>40</v>
      </c>
      <c r="D60" s="22" t="s">
        <v>106</v>
      </c>
      <c r="E60" s="23" t="s">
        <v>107</v>
      </c>
      <c r="F60" s="22" t="s">
        <v>112</v>
      </c>
      <c r="G60" s="22" t="s">
        <v>109</v>
      </c>
      <c r="H60" s="22" t="s">
        <v>30</v>
      </c>
      <c r="I60" s="22" t="s">
        <v>110</v>
      </c>
      <c r="J60" s="101" t="s">
        <v>113</v>
      </c>
      <c r="K60" s="519" t="s">
        <v>896</v>
      </c>
      <c r="L60" s="521" t="s">
        <v>926</v>
      </c>
      <c r="M60" s="521" t="s">
        <v>927</v>
      </c>
      <c r="N60" s="521" t="s">
        <v>885</v>
      </c>
      <c r="O60" s="22" t="s">
        <v>102</v>
      </c>
      <c r="P60" s="426">
        <v>2018</v>
      </c>
      <c r="Q60" s="414">
        <f t="shared" ca="1" si="2"/>
        <v>98316.27268759931</v>
      </c>
      <c r="R60" s="335">
        <f t="shared" ca="1" si="0"/>
        <v>0</v>
      </c>
      <c r="S60" s="335">
        <f t="shared" ca="1" si="1"/>
        <v>0</v>
      </c>
      <c r="T60" s="429"/>
      <c r="U60" s="22"/>
      <c r="V60" s="24"/>
      <c r="W60" s="21"/>
      <c r="Y60" s="490"/>
    </row>
    <row r="61" spans="1:25" ht="60">
      <c r="A61" s="31">
        <v>58</v>
      </c>
      <c r="B61" s="22" t="s">
        <v>39</v>
      </c>
      <c r="C61" s="22" t="s">
        <v>40</v>
      </c>
      <c r="D61" s="22" t="s">
        <v>106</v>
      </c>
      <c r="E61" s="23" t="s">
        <v>107</v>
      </c>
      <c r="F61" s="22" t="s">
        <v>114</v>
      </c>
      <c r="G61" s="22" t="s">
        <v>109</v>
      </c>
      <c r="H61" s="22" t="s">
        <v>30</v>
      </c>
      <c r="I61" s="22" t="s">
        <v>110</v>
      </c>
      <c r="J61" s="101" t="s">
        <v>115</v>
      </c>
      <c r="K61" s="519" t="s">
        <v>896</v>
      </c>
      <c r="L61" s="521" t="s">
        <v>928</v>
      </c>
      <c r="M61" s="521" t="s">
        <v>929</v>
      </c>
      <c r="N61" s="521" t="s">
        <v>885</v>
      </c>
      <c r="O61" s="22" t="s">
        <v>102</v>
      </c>
      <c r="P61" s="426">
        <v>2018</v>
      </c>
      <c r="Q61" s="414">
        <f t="shared" ca="1" si="2"/>
        <v>-1395.6140195788223</v>
      </c>
      <c r="R61" s="335">
        <f t="shared" ca="1" si="0"/>
        <v>0</v>
      </c>
      <c r="S61" s="335">
        <f t="shared" ca="1" si="1"/>
        <v>0</v>
      </c>
      <c r="T61" s="429" t="s">
        <v>116</v>
      </c>
      <c r="U61" s="22" t="s">
        <v>117</v>
      </c>
      <c r="V61" s="24"/>
      <c r="W61" s="21"/>
      <c r="Y61" s="490"/>
    </row>
    <row r="62" spans="1:25" ht="45">
      <c r="A62" s="31">
        <v>59</v>
      </c>
      <c r="B62" s="22" t="s">
        <v>39</v>
      </c>
      <c r="C62" s="22" t="s">
        <v>40</v>
      </c>
      <c r="D62" s="22" t="s">
        <v>106</v>
      </c>
      <c r="E62" s="23" t="s">
        <v>118</v>
      </c>
      <c r="F62" s="22" t="s">
        <v>108</v>
      </c>
      <c r="G62" s="22" t="s">
        <v>119</v>
      </c>
      <c r="H62" s="22" t="s">
        <v>30</v>
      </c>
      <c r="I62" s="22" t="s">
        <v>120</v>
      </c>
      <c r="J62" s="101" t="s">
        <v>121</v>
      </c>
      <c r="K62" s="519" t="s">
        <v>896</v>
      </c>
      <c r="L62" s="521" t="s">
        <v>930</v>
      </c>
      <c r="M62" s="521" t="s">
        <v>931</v>
      </c>
      <c r="N62" s="521" t="s">
        <v>885</v>
      </c>
      <c r="O62" s="22" t="s">
        <v>102</v>
      </c>
      <c r="P62" s="426">
        <v>2018</v>
      </c>
      <c r="Q62" s="414">
        <f t="shared" ca="1" si="2"/>
        <v>16.91622014213597</v>
      </c>
      <c r="R62" s="335">
        <f t="shared" ca="1" si="0"/>
        <v>0</v>
      </c>
      <c r="S62" s="335">
        <f t="shared" ca="1" si="1"/>
        <v>0</v>
      </c>
      <c r="T62" s="429"/>
      <c r="U62" s="22"/>
      <c r="V62" s="24"/>
      <c r="W62" s="21"/>
      <c r="Y62" s="490"/>
    </row>
    <row r="63" spans="1:25" ht="45">
      <c r="A63" s="31">
        <v>60</v>
      </c>
      <c r="B63" s="22" t="s">
        <v>39</v>
      </c>
      <c r="C63" s="22" t="s">
        <v>40</v>
      </c>
      <c r="D63" s="22" t="s">
        <v>106</v>
      </c>
      <c r="E63" s="23" t="s">
        <v>118</v>
      </c>
      <c r="F63" s="22" t="s">
        <v>112</v>
      </c>
      <c r="G63" s="22" t="s">
        <v>119</v>
      </c>
      <c r="H63" s="22" t="s">
        <v>30</v>
      </c>
      <c r="I63" s="22" t="s">
        <v>120</v>
      </c>
      <c r="J63" s="101" t="s">
        <v>122</v>
      </c>
      <c r="K63" s="519" t="s">
        <v>896</v>
      </c>
      <c r="L63" s="521" t="s">
        <v>932</v>
      </c>
      <c r="M63" s="521" t="s">
        <v>933</v>
      </c>
      <c r="N63" s="521" t="s">
        <v>885</v>
      </c>
      <c r="O63" s="22" t="s">
        <v>102</v>
      </c>
      <c r="P63" s="426">
        <v>2018</v>
      </c>
      <c r="Q63" s="414">
        <f t="shared" ca="1" si="2"/>
        <v>150255.9347505201</v>
      </c>
      <c r="R63" s="335">
        <f t="shared" ca="1" si="0"/>
        <v>0</v>
      </c>
      <c r="S63" s="335">
        <f t="shared" ca="1" si="1"/>
        <v>0</v>
      </c>
      <c r="T63" s="429"/>
      <c r="U63" s="22"/>
      <c r="V63" s="24"/>
      <c r="W63" s="21"/>
      <c r="Y63" s="490"/>
    </row>
    <row r="64" spans="1:25" ht="60">
      <c r="A64" s="31">
        <v>61</v>
      </c>
      <c r="B64" s="22" t="s">
        <v>39</v>
      </c>
      <c r="C64" s="22" t="s">
        <v>40</v>
      </c>
      <c r="D64" s="22" t="s">
        <v>106</v>
      </c>
      <c r="E64" s="23" t="s">
        <v>118</v>
      </c>
      <c r="F64" s="22" t="s">
        <v>114</v>
      </c>
      <c r="G64" s="22" t="s">
        <v>119</v>
      </c>
      <c r="H64" s="22" t="s">
        <v>30</v>
      </c>
      <c r="I64" s="22" t="s">
        <v>120</v>
      </c>
      <c r="J64" s="101" t="s">
        <v>123</v>
      </c>
      <c r="K64" s="519" t="s">
        <v>896</v>
      </c>
      <c r="L64" s="521" t="s">
        <v>934</v>
      </c>
      <c r="M64" s="521" t="s">
        <v>935</v>
      </c>
      <c r="N64" s="521" t="s">
        <v>885</v>
      </c>
      <c r="O64" s="22" t="s">
        <v>102</v>
      </c>
      <c r="P64" s="426">
        <v>2018</v>
      </c>
      <c r="Q64" s="414">
        <f t="shared" ca="1" si="2"/>
        <v>-2253.965942153563</v>
      </c>
      <c r="R64" s="335">
        <f t="shared" ca="1" si="0"/>
        <v>0</v>
      </c>
      <c r="S64" s="335">
        <f t="shared" ca="1" si="1"/>
        <v>0</v>
      </c>
      <c r="T64" s="429" t="s">
        <v>124</v>
      </c>
      <c r="U64" s="22" t="s">
        <v>117</v>
      </c>
      <c r="V64" s="24"/>
      <c r="W64" s="21"/>
      <c r="Y64" s="490"/>
    </row>
    <row r="65" spans="1:25" ht="45">
      <c r="A65" s="31">
        <v>62</v>
      </c>
      <c r="B65" s="22" t="s">
        <v>39</v>
      </c>
      <c r="C65" s="22" t="s">
        <v>40</v>
      </c>
      <c r="D65" s="22" t="s">
        <v>106</v>
      </c>
      <c r="E65" s="23" t="s">
        <v>125</v>
      </c>
      <c r="F65" s="22" t="s">
        <v>108</v>
      </c>
      <c r="G65" s="22" t="s">
        <v>126</v>
      </c>
      <c r="H65" s="22" t="s">
        <v>30</v>
      </c>
      <c r="I65" s="22" t="s">
        <v>127</v>
      </c>
      <c r="J65" s="101" t="s">
        <v>128</v>
      </c>
      <c r="K65" s="519" t="s">
        <v>896</v>
      </c>
      <c r="L65" s="521" t="s">
        <v>936</v>
      </c>
      <c r="M65" s="521" t="s">
        <v>937</v>
      </c>
      <c r="N65" s="521" t="s">
        <v>815</v>
      </c>
      <c r="O65" s="22" t="s">
        <v>102</v>
      </c>
      <c r="P65" s="426">
        <v>2018</v>
      </c>
      <c r="Q65" s="414">
        <f t="shared" ca="1" si="2"/>
        <v>0</v>
      </c>
      <c r="R65" s="335" t="str">
        <f t="shared" ca="1" si="0"/>
        <v>N/A</v>
      </c>
      <c r="S65" s="335" t="str">
        <f t="shared" ca="1" si="1"/>
        <v>N/A</v>
      </c>
      <c r="T65" s="429"/>
      <c r="U65" s="22"/>
      <c r="V65" s="24"/>
      <c r="W65" s="21"/>
      <c r="Y65" s="490"/>
    </row>
    <row r="66" spans="1:25" ht="45">
      <c r="A66" s="31">
        <v>63</v>
      </c>
      <c r="B66" s="22" t="s">
        <v>39</v>
      </c>
      <c r="C66" s="22" t="s">
        <v>40</v>
      </c>
      <c r="D66" s="22" t="s">
        <v>106</v>
      </c>
      <c r="E66" s="23" t="s">
        <v>125</v>
      </c>
      <c r="F66" s="22" t="s">
        <v>112</v>
      </c>
      <c r="G66" s="22" t="s">
        <v>126</v>
      </c>
      <c r="H66" s="22" t="s">
        <v>30</v>
      </c>
      <c r="I66" s="22" t="s">
        <v>127</v>
      </c>
      <c r="J66" s="101" t="s">
        <v>129</v>
      </c>
      <c r="K66" s="519" t="s">
        <v>896</v>
      </c>
      <c r="L66" s="521" t="s">
        <v>938</v>
      </c>
      <c r="M66" s="521" t="s">
        <v>939</v>
      </c>
      <c r="N66" s="521" t="s">
        <v>815</v>
      </c>
      <c r="O66" s="22" t="s">
        <v>102</v>
      </c>
      <c r="P66" s="426">
        <v>2018</v>
      </c>
      <c r="Q66" s="414">
        <f t="shared" ca="1" si="2"/>
        <v>0</v>
      </c>
      <c r="R66" s="335" t="str">
        <f t="shared" ca="1" si="0"/>
        <v>N/A</v>
      </c>
      <c r="S66" s="335" t="str">
        <f t="shared" ca="1" si="1"/>
        <v>N/A</v>
      </c>
      <c r="T66" s="429"/>
      <c r="U66" s="22"/>
      <c r="V66" s="24"/>
      <c r="W66" s="21"/>
      <c r="Y66" s="490"/>
    </row>
    <row r="67" spans="1:25" ht="45">
      <c r="A67" s="31">
        <v>64</v>
      </c>
      <c r="B67" s="22" t="s">
        <v>39</v>
      </c>
      <c r="C67" s="22" t="s">
        <v>40</v>
      </c>
      <c r="D67" s="22" t="s">
        <v>106</v>
      </c>
      <c r="E67" s="23" t="s">
        <v>125</v>
      </c>
      <c r="F67" s="22" t="s">
        <v>114</v>
      </c>
      <c r="G67" s="22" t="s">
        <v>126</v>
      </c>
      <c r="H67" s="22" t="s">
        <v>30</v>
      </c>
      <c r="I67" s="22" t="s">
        <v>127</v>
      </c>
      <c r="J67" s="101" t="s">
        <v>130</v>
      </c>
      <c r="K67" s="519" t="s">
        <v>896</v>
      </c>
      <c r="L67" s="521" t="s">
        <v>940</v>
      </c>
      <c r="M67" s="521" t="s">
        <v>941</v>
      </c>
      <c r="N67" s="521" t="s">
        <v>815</v>
      </c>
      <c r="O67" s="22" t="s">
        <v>102</v>
      </c>
      <c r="P67" s="426">
        <v>2018</v>
      </c>
      <c r="Q67" s="414">
        <f t="shared" ca="1" si="2"/>
        <v>0</v>
      </c>
      <c r="R67" s="335" t="str">
        <f t="shared" ref="R67:R130" ca="1" si="3">IF($N67 = "N","N/A",SUMIF(INDIRECT("'"&amp;K67&amp;"'!i:i"),L67,INDIRECT("'"&amp;K67&amp;"'!m:m")))</f>
        <v>N/A</v>
      </c>
      <c r="S67" s="335" t="str">
        <f t="shared" ref="S67:S130" ca="1" si="4">IF($N67 = "N","N/A",SUMIF(INDIRECT("'"&amp;K67&amp;"'!i:i"),M67,INDIRECT("'"&amp;K67&amp;"'!m:m")))</f>
        <v>N/A</v>
      </c>
      <c r="T67" s="429" t="s">
        <v>131</v>
      </c>
      <c r="U67" s="22" t="s">
        <v>132</v>
      </c>
      <c r="V67" s="24"/>
      <c r="W67" s="21"/>
      <c r="Y67" s="490"/>
    </row>
    <row r="68" spans="1:25" ht="45">
      <c r="A68" s="31">
        <v>65</v>
      </c>
      <c r="B68" s="22" t="s">
        <v>39</v>
      </c>
      <c r="C68" s="22" t="s">
        <v>40</v>
      </c>
      <c r="D68" s="22" t="s">
        <v>106</v>
      </c>
      <c r="E68" s="23" t="s">
        <v>133</v>
      </c>
      <c r="F68" s="22" t="s">
        <v>108</v>
      </c>
      <c r="G68" s="22" t="s">
        <v>134</v>
      </c>
      <c r="H68" s="22" t="s">
        <v>30</v>
      </c>
      <c r="I68" s="22" t="s">
        <v>135</v>
      </c>
      <c r="J68" s="101" t="s">
        <v>136</v>
      </c>
      <c r="K68" s="519" t="s">
        <v>896</v>
      </c>
      <c r="L68" s="521" t="s">
        <v>942</v>
      </c>
      <c r="M68" s="521" t="s">
        <v>943</v>
      </c>
      <c r="N68" s="521" t="s">
        <v>885</v>
      </c>
      <c r="O68" s="22" t="s">
        <v>102</v>
      </c>
      <c r="P68" s="426">
        <v>2018</v>
      </c>
      <c r="Q68" s="414">
        <f t="shared" ref="Q68:Q131" ca="1" si="5">SUMIF(INDIRECT("'"&amp;K68&amp;"'!c:c"),A68,INDIRECT("'"&amp;K68&amp;"'!f:f"))</f>
        <v>3.5473660611335993</v>
      </c>
      <c r="R68" s="335">
        <f t="shared" ca="1" si="3"/>
        <v>0</v>
      </c>
      <c r="S68" s="335">
        <f t="shared" ca="1" si="4"/>
        <v>0</v>
      </c>
      <c r="T68" s="429"/>
      <c r="U68" s="22"/>
      <c r="V68" s="24"/>
      <c r="W68" s="21"/>
      <c r="Y68" s="490"/>
    </row>
    <row r="69" spans="1:25" ht="45">
      <c r="A69" s="31">
        <v>66</v>
      </c>
      <c r="B69" s="22" t="s">
        <v>39</v>
      </c>
      <c r="C69" s="22" t="s">
        <v>40</v>
      </c>
      <c r="D69" s="22" t="s">
        <v>106</v>
      </c>
      <c r="E69" s="23" t="s">
        <v>133</v>
      </c>
      <c r="F69" s="22" t="s">
        <v>112</v>
      </c>
      <c r="G69" s="22" t="s">
        <v>134</v>
      </c>
      <c r="H69" s="22" t="s">
        <v>30</v>
      </c>
      <c r="I69" s="22" t="s">
        <v>135</v>
      </c>
      <c r="J69" s="101" t="s">
        <v>137</v>
      </c>
      <c r="K69" s="519" t="s">
        <v>896</v>
      </c>
      <c r="L69" s="521" t="s">
        <v>944</v>
      </c>
      <c r="M69" s="521" t="s">
        <v>945</v>
      </c>
      <c r="N69" s="521" t="s">
        <v>885</v>
      </c>
      <c r="O69" s="22" t="s">
        <v>102</v>
      </c>
      <c r="P69" s="426">
        <v>2018</v>
      </c>
      <c r="Q69" s="414">
        <f t="shared" ca="1" si="5"/>
        <v>26917.323284614697</v>
      </c>
      <c r="R69" s="335">
        <f t="shared" ca="1" si="3"/>
        <v>0</v>
      </c>
      <c r="S69" s="335">
        <f t="shared" ca="1" si="4"/>
        <v>0</v>
      </c>
      <c r="T69" s="429"/>
      <c r="U69" s="22"/>
      <c r="V69" s="24"/>
      <c r="W69" s="21"/>
      <c r="Y69" s="490"/>
    </row>
    <row r="70" spans="1:25" ht="60">
      <c r="A70" s="31">
        <v>67</v>
      </c>
      <c r="B70" s="22" t="s">
        <v>39</v>
      </c>
      <c r="C70" s="22" t="s">
        <v>40</v>
      </c>
      <c r="D70" s="22" t="s">
        <v>106</v>
      </c>
      <c r="E70" s="23" t="s">
        <v>133</v>
      </c>
      <c r="F70" s="22" t="s">
        <v>114</v>
      </c>
      <c r="G70" s="22" t="s">
        <v>134</v>
      </c>
      <c r="H70" s="22" t="s">
        <v>30</v>
      </c>
      <c r="I70" s="22" t="s">
        <v>135</v>
      </c>
      <c r="J70" s="101" t="s">
        <v>138</v>
      </c>
      <c r="K70" s="519" t="s">
        <v>896</v>
      </c>
      <c r="L70" s="521" t="s">
        <v>946</v>
      </c>
      <c r="M70" s="521" t="s">
        <v>947</v>
      </c>
      <c r="N70" s="521" t="s">
        <v>885</v>
      </c>
      <c r="O70" s="22" t="s">
        <v>102</v>
      </c>
      <c r="P70" s="426">
        <v>2018</v>
      </c>
      <c r="Q70" s="414">
        <f t="shared" ca="1" si="5"/>
        <v>-44.395202118763066</v>
      </c>
      <c r="R70" s="335">
        <f t="shared" ca="1" si="3"/>
        <v>0</v>
      </c>
      <c r="S70" s="335">
        <f t="shared" ca="1" si="4"/>
        <v>0</v>
      </c>
      <c r="T70" s="429" t="s">
        <v>139</v>
      </c>
      <c r="U70" s="22" t="s">
        <v>117</v>
      </c>
      <c r="V70" s="24"/>
      <c r="W70" s="21"/>
      <c r="Y70" s="490"/>
    </row>
    <row r="71" spans="1:25" ht="105">
      <c r="A71" s="31">
        <v>68</v>
      </c>
      <c r="B71" s="22" t="s">
        <v>39</v>
      </c>
      <c r="C71" s="22" t="s">
        <v>40</v>
      </c>
      <c r="D71" s="22" t="s">
        <v>140</v>
      </c>
      <c r="E71" s="23" t="s">
        <v>141</v>
      </c>
      <c r="F71" s="22" t="s">
        <v>142</v>
      </c>
      <c r="G71" s="22" t="s">
        <v>143</v>
      </c>
      <c r="H71" s="22" t="s">
        <v>30</v>
      </c>
      <c r="I71" s="22" t="s">
        <v>144</v>
      </c>
      <c r="J71" s="22" t="s">
        <v>145</v>
      </c>
      <c r="K71" s="519" t="s">
        <v>896</v>
      </c>
      <c r="L71" s="521" t="s">
        <v>948</v>
      </c>
      <c r="M71" s="521" t="s">
        <v>949</v>
      </c>
      <c r="N71" s="521" t="s">
        <v>885</v>
      </c>
      <c r="O71" s="22" t="s">
        <v>102</v>
      </c>
      <c r="P71" s="426">
        <v>2018</v>
      </c>
      <c r="Q71" s="533">
        <f t="shared" ca="1" si="5"/>
        <v>4.1519488924159326E-2</v>
      </c>
      <c r="R71" s="335">
        <f t="shared" ca="1" si="3"/>
        <v>0</v>
      </c>
      <c r="S71" s="335">
        <f t="shared" ca="1" si="4"/>
        <v>0</v>
      </c>
      <c r="T71" s="429" t="s">
        <v>950</v>
      </c>
      <c r="U71" s="22" t="s">
        <v>147</v>
      </c>
      <c r="V71" s="24"/>
      <c r="W71" s="21"/>
      <c r="Y71" s="490"/>
    </row>
    <row r="72" spans="1:25" ht="60">
      <c r="A72" s="31">
        <v>69</v>
      </c>
      <c r="B72" s="22" t="s">
        <v>39</v>
      </c>
      <c r="C72" s="22" t="s">
        <v>40</v>
      </c>
      <c r="D72" s="22" t="s">
        <v>140</v>
      </c>
      <c r="E72" s="23" t="s">
        <v>148</v>
      </c>
      <c r="F72" s="22" t="s">
        <v>142</v>
      </c>
      <c r="G72" s="22" t="s">
        <v>149</v>
      </c>
      <c r="H72" s="22" t="s">
        <v>30</v>
      </c>
      <c r="I72" s="22" t="s">
        <v>150</v>
      </c>
      <c r="J72" s="22" t="s">
        <v>151</v>
      </c>
      <c r="K72" s="519" t="s">
        <v>896</v>
      </c>
      <c r="L72" s="521" t="s">
        <v>951</v>
      </c>
      <c r="M72" s="521" t="s">
        <v>952</v>
      </c>
      <c r="N72" s="521" t="s">
        <v>885</v>
      </c>
      <c r="O72" s="22" t="s">
        <v>102</v>
      </c>
      <c r="P72" s="426">
        <v>2018</v>
      </c>
      <c r="Q72" s="533">
        <f t="shared" ca="1" si="5"/>
        <v>4.1752339389870337E-2</v>
      </c>
      <c r="R72" s="335">
        <f t="shared" ca="1" si="3"/>
        <v>0</v>
      </c>
      <c r="S72" s="335">
        <f t="shared" ca="1" si="4"/>
        <v>0</v>
      </c>
      <c r="T72" s="429" t="s">
        <v>152</v>
      </c>
      <c r="U72" s="22" t="str">
        <f>Definitions!C7</f>
        <v>D.18-05-041: DAC = Bill accounts in census tracts corresponding to census tracts in the top quartile of CalEnviroScreen 3.0 scores.</v>
      </c>
      <c r="V72" s="24"/>
      <c r="W72" s="21"/>
      <c r="Y72" s="490"/>
    </row>
    <row r="73" spans="1:25" ht="90">
      <c r="A73" s="31">
        <v>70</v>
      </c>
      <c r="B73" s="22" t="s">
        <v>39</v>
      </c>
      <c r="C73" s="22" t="s">
        <v>40</v>
      </c>
      <c r="D73" s="22" t="s">
        <v>140</v>
      </c>
      <c r="E73" s="23" t="s">
        <v>153</v>
      </c>
      <c r="F73" s="22" t="s">
        <v>142</v>
      </c>
      <c r="G73" s="22" t="s">
        <v>154</v>
      </c>
      <c r="H73" s="22" t="s">
        <v>30</v>
      </c>
      <c r="I73" s="22" t="s">
        <v>155</v>
      </c>
      <c r="J73" s="22" t="s">
        <v>156</v>
      </c>
      <c r="K73" s="519" t="s">
        <v>896</v>
      </c>
      <c r="L73" s="521" t="s">
        <v>953</v>
      </c>
      <c r="M73" s="521" t="s">
        <v>954</v>
      </c>
      <c r="N73" s="521" t="s">
        <v>885</v>
      </c>
      <c r="O73" s="22" t="s">
        <v>102</v>
      </c>
      <c r="P73" s="426">
        <v>2018</v>
      </c>
      <c r="Q73" s="533">
        <f t="shared" ca="1" si="5"/>
        <v>5.9709586069771649E-2</v>
      </c>
      <c r="R73" s="335">
        <f t="shared" ca="1" si="3"/>
        <v>0</v>
      </c>
      <c r="S73" s="335">
        <f t="shared" ca="1" si="4"/>
        <v>0</v>
      </c>
      <c r="T73" s="429" t="s">
        <v>157</v>
      </c>
      <c r="U7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73" s="24"/>
      <c r="W73" s="21"/>
      <c r="Y73" s="490"/>
    </row>
    <row r="74" spans="1:25" ht="30">
      <c r="A74" s="31">
        <v>71</v>
      </c>
      <c r="B74" s="22" t="s">
        <v>39</v>
      </c>
      <c r="C74" s="22" t="s">
        <v>40</v>
      </c>
      <c r="D74" s="22" t="s">
        <v>158</v>
      </c>
      <c r="E74" s="23" t="s">
        <v>91</v>
      </c>
      <c r="F74" s="22" t="s">
        <v>92</v>
      </c>
      <c r="G74" s="22" t="s">
        <v>93</v>
      </c>
      <c r="H74" s="22" t="s">
        <v>30</v>
      </c>
      <c r="I74" s="22" t="s">
        <v>159</v>
      </c>
      <c r="J74" s="22" t="s">
        <v>92</v>
      </c>
      <c r="K74" s="519" t="s">
        <v>896</v>
      </c>
      <c r="L74" s="521" t="s">
        <v>955</v>
      </c>
      <c r="M74" s="521" t="s">
        <v>956</v>
      </c>
      <c r="N74" s="521" t="s">
        <v>885</v>
      </c>
      <c r="O74" s="22" t="s">
        <v>102</v>
      </c>
      <c r="P74" s="426">
        <v>2018</v>
      </c>
      <c r="Q74" s="414">
        <f t="shared" ca="1" si="5"/>
        <v>119.32561930251238</v>
      </c>
      <c r="R74" s="335">
        <f t="shared" ca="1" si="3"/>
        <v>0</v>
      </c>
      <c r="S74" s="335">
        <f t="shared" ca="1" si="4"/>
        <v>0</v>
      </c>
      <c r="T74" s="429"/>
      <c r="U74" s="22"/>
      <c r="V74" s="24"/>
      <c r="W74" s="21"/>
      <c r="Y74" s="490"/>
    </row>
    <row r="75" spans="1:25" ht="30">
      <c r="A75" s="31">
        <v>72</v>
      </c>
      <c r="B75" s="22" t="s">
        <v>39</v>
      </c>
      <c r="C75" s="22" t="s">
        <v>40</v>
      </c>
      <c r="D75" s="22" t="s">
        <v>158</v>
      </c>
      <c r="E75" s="23" t="s">
        <v>91</v>
      </c>
      <c r="F75" s="22" t="s">
        <v>95</v>
      </c>
      <c r="G75" s="22" t="s">
        <v>93</v>
      </c>
      <c r="H75" s="22" t="s">
        <v>30</v>
      </c>
      <c r="I75" s="22" t="s">
        <v>159</v>
      </c>
      <c r="J75" s="22" t="s">
        <v>95</v>
      </c>
      <c r="K75" s="519" t="s">
        <v>896</v>
      </c>
      <c r="L75" s="521" t="s">
        <v>957</v>
      </c>
      <c r="M75" s="521" t="s">
        <v>958</v>
      </c>
      <c r="N75" s="521" t="s">
        <v>885</v>
      </c>
      <c r="O75" s="22" t="s">
        <v>102</v>
      </c>
      <c r="P75" s="426">
        <v>2018</v>
      </c>
      <c r="Q75" s="414">
        <f t="shared" ca="1" si="5"/>
        <v>1.6505784312419156E-2</v>
      </c>
      <c r="R75" s="335">
        <f t="shared" ca="1" si="3"/>
        <v>0</v>
      </c>
      <c r="S75" s="335">
        <f t="shared" ca="1" si="4"/>
        <v>0</v>
      </c>
      <c r="T75" s="429"/>
      <c r="U75" s="22"/>
      <c r="V75" s="24"/>
      <c r="W75" s="21"/>
      <c r="Y75" s="490"/>
    </row>
    <row r="76" spans="1:25" ht="30">
      <c r="A76" s="31">
        <v>73</v>
      </c>
      <c r="B76" s="22" t="s">
        <v>39</v>
      </c>
      <c r="C76" s="22" t="s">
        <v>40</v>
      </c>
      <c r="D76" s="22" t="s">
        <v>158</v>
      </c>
      <c r="E76" s="23" t="s">
        <v>91</v>
      </c>
      <c r="F76" s="22" t="s">
        <v>96</v>
      </c>
      <c r="G76" s="22" t="s">
        <v>93</v>
      </c>
      <c r="H76" s="22" t="s">
        <v>30</v>
      </c>
      <c r="I76" s="22" t="s">
        <v>159</v>
      </c>
      <c r="J76" s="22" t="s">
        <v>96</v>
      </c>
      <c r="K76" s="519" t="s">
        <v>896</v>
      </c>
      <c r="L76" s="521" t="s">
        <v>959</v>
      </c>
      <c r="M76" s="521" t="s">
        <v>960</v>
      </c>
      <c r="N76" s="521" t="s">
        <v>885</v>
      </c>
      <c r="O76" s="22" t="s">
        <v>102</v>
      </c>
      <c r="P76" s="426">
        <v>2018</v>
      </c>
      <c r="Q76" s="414">
        <f t="shared" ca="1" si="5"/>
        <v>0.15518995573662073</v>
      </c>
      <c r="R76" s="335">
        <f t="shared" ca="1" si="3"/>
        <v>0</v>
      </c>
      <c r="S76" s="335">
        <f t="shared" ca="1" si="4"/>
        <v>0</v>
      </c>
      <c r="T76" s="429" t="s">
        <v>48</v>
      </c>
      <c r="U76" s="22" t="s">
        <v>49</v>
      </c>
      <c r="V76" s="24"/>
      <c r="W76" s="21"/>
      <c r="Y76" s="490"/>
    </row>
    <row r="77" spans="1:25" ht="30">
      <c r="A77" s="31">
        <v>74</v>
      </c>
      <c r="B77" s="22" t="s">
        <v>39</v>
      </c>
      <c r="C77" s="22" t="s">
        <v>40</v>
      </c>
      <c r="D77" s="22" t="s">
        <v>158</v>
      </c>
      <c r="E77" s="23" t="s">
        <v>91</v>
      </c>
      <c r="F77" s="22" t="s">
        <v>97</v>
      </c>
      <c r="G77" s="22" t="s">
        <v>93</v>
      </c>
      <c r="H77" s="22" t="s">
        <v>30</v>
      </c>
      <c r="I77" s="22" t="s">
        <v>159</v>
      </c>
      <c r="J77" s="22" t="s">
        <v>97</v>
      </c>
      <c r="K77" s="519" t="s">
        <v>896</v>
      </c>
      <c r="L77" s="521" t="s">
        <v>961</v>
      </c>
      <c r="M77" s="521" t="s">
        <v>962</v>
      </c>
      <c r="N77" s="521" t="s">
        <v>885</v>
      </c>
      <c r="O77" s="22" t="s">
        <v>102</v>
      </c>
      <c r="P77" s="426">
        <v>2018</v>
      </c>
      <c r="Q77" s="414">
        <f t="shared" ca="1" si="5"/>
        <v>276.57103073558193</v>
      </c>
      <c r="R77" s="335">
        <f t="shared" ca="1" si="3"/>
        <v>0</v>
      </c>
      <c r="S77" s="335">
        <f t="shared" ca="1" si="4"/>
        <v>0</v>
      </c>
      <c r="T77" s="429"/>
      <c r="U77" s="22"/>
      <c r="V77" s="24"/>
      <c r="W77" s="21"/>
      <c r="Y77" s="490"/>
    </row>
    <row r="78" spans="1:25" ht="30">
      <c r="A78" s="31">
        <v>75</v>
      </c>
      <c r="B78" s="22" t="s">
        <v>39</v>
      </c>
      <c r="C78" s="22" t="s">
        <v>40</v>
      </c>
      <c r="D78" s="22" t="s">
        <v>158</v>
      </c>
      <c r="E78" s="23" t="s">
        <v>91</v>
      </c>
      <c r="F78" s="22" t="s">
        <v>98</v>
      </c>
      <c r="G78" s="22" t="s">
        <v>93</v>
      </c>
      <c r="H78" s="22" t="s">
        <v>30</v>
      </c>
      <c r="I78" s="22" t="s">
        <v>159</v>
      </c>
      <c r="J78" s="22" t="s">
        <v>98</v>
      </c>
      <c r="K78" s="519" t="s">
        <v>896</v>
      </c>
      <c r="L78" s="521" t="s">
        <v>963</v>
      </c>
      <c r="M78" s="521" t="s">
        <v>964</v>
      </c>
      <c r="N78" s="521" t="s">
        <v>885</v>
      </c>
      <c r="O78" s="22" t="s">
        <v>102</v>
      </c>
      <c r="P78" s="426">
        <v>2018</v>
      </c>
      <c r="Q78" s="414">
        <f t="shared" ca="1" si="5"/>
        <v>3.8256845487738847E-2</v>
      </c>
      <c r="R78" s="335">
        <f t="shared" ca="1" si="3"/>
        <v>0</v>
      </c>
      <c r="S78" s="335">
        <f t="shared" ca="1" si="4"/>
        <v>0</v>
      </c>
      <c r="T78" s="429"/>
      <c r="U78" s="22"/>
      <c r="V78" s="24"/>
      <c r="W78" s="21"/>
      <c r="Y78" s="490"/>
    </row>
    <row r="79" spans="1:25" ht="30">
      <c r="A79" s="31">
        <v>76</v>
      </c>
      <c r="B79" s="22" t="s">
        <v>39</v>
      </c>
      <c r="C79" s="22" t="s">
        <v>40</v>
      </c>
      <c r="D79" s="22" t="s">
        <v>158</v>
      </c>
      <c r="E79" s="23" t="s">
        <v>91</v>
      </c>
      <c r="F79" s="22" t="s">
        <v>99</v>
      </c>
      <c r="G79" s="22" t="s">
        <v>93</v>
      </c>
      <c r="H79" s="22" t="s">
        <v>30</v>
      </c>
      <c r="I79" s="22" t="s">
        <v>159</v>
      </c>
      <c r="J79" s="22" t="s">
        <v>99</v>
      </c>
      <c r="K79" s="519" t="s">
        <v>896</v>
      </c>
      <c r="L79" s="521" t="s">
        <v>965</v>
      </c>
      <c r="M79" s="521" t="s">
        <v>966</v>
      </c>
      <c r="N79" s="521" t="s">
        <v>885</v>
      </c>
      <c r="O79" s="22" t="s">
        <v>102</v>
      </c>
      <c r="P79" s="426">
        <v>2018</v>
      </c>
      <c r="Q79" s="414">
        <f t="shared" ca="1" si="5"/>
        <v>0.35969682176192008</v>
      </c>
      <c r="R79" s="335">
        <f t="shared" ca="1" si="3"/>
        <v>0</v>
      </c>
      <c r="S79" s="335">
        <f t="shared" ca="1" si="4"/>
        <v>0</v>
      </c>
      <c r="T79" s="429" t="s">
        <v>48</v>
      </c>
      <c r="U79" s="22" t="s">
        <v>49</v>
      </c>
      <c r="V79" s="24"/>
      <c r="W79" s="21"/>
      <c r="Y79" s="490"/>
    </row>
    <row r="80" spans="1:25" ht="45">
      <c r="A80" s="31">
        <v>77</v>
      </c>
      <c r="B80" s="22" t="s">
        <v>39</v>
      </c>
      <c r="C80" s="22" t="s">
        <v>40</v>
      </c>
      <c r="D80" s="22" t="s">
        <v>160</v>
      </c>
      <c r="E80" s="23" t="s">
        <v>161</v>
      </c>
      <c r="F80" s="22" t="s">
        <v>162</v>
      </c>
      <c r="G80" s="22" t="s">
        <v>163</v>
      </c>
      <c r="H80" s="22" t="s">
        <v>164</v>
      </c>
      <c r="I80" s="22" t="s">
        <v>165</v>
      </c>
      <c r="J80" s="22" t="s">
        <v>166</v>
      </c>
      <c r="K80" s="519" t="s">
        <v>896</v>
      </c>
      <c r="L80" s="521" t="s">
        <v>967</v>
      </c>
      <c r="M80" s="521" t="s">
        <v>968</v>
      </c>
      <c r="N80" s="521" t="s">
        <v>815</v>
      </c>
      <c r="O80" s="22" t="s">
        <v>102</v>
      </c>
      <c r="P80" s="426">
        <v>2018</v>
      </c>
      <c r="Q80" s="414">
        <f t="shared" ca="1" si="5"/>
        <v>18683.521073355674</v>
      </c>
      <c r="R80" s="335" t="str">
        <f t="shared" ca="1" si="3"/>
        <v>N/A</v>
      </c>
      <c r="S80" s="335" t="str">
        <f t="shared" ca="1" si="4"/>
        <v>N/A</v>
      </c>
      <c r="T80" s="429" t="s">
        <v>168</v>
      </c>
      <c r="U80" s="22" t="s">
        <v>169</v>
      </c>
      <c r="V80" s="24"/>
      <c r="W80" s="21"/>
      <c r="Y80" s="490"/>
    </row>
    <row r="81" spans="1:25" ht="60">
      <c r="A81" s="31">
        <v>78</v>
      </c>
      <c r="B81" s="22" t="s">
        <v>39</v>
      </c>
      <c r="C81" s="22" t="s">
        <v>40</v>
      </c>
      <c r="D81" s="22" t="s">
        <v>170</v>
      </c>
      <c r="E81" s="23" t="s">
        <v>171</v>
      </c>
      <c r="F81" s="22" t="s">
        <v>52</v>
      </c>
      <c r="G81" s="22" t="s">
        <v>53</v>
      </c>
      <c r="H81" s="22" t="s">
        <v>30</v>
      </c>
      <c r="I81" s="22" t="s">
        <v>172</v>
      </c>
      <c r="J81" s="22" t="s">
        <v>173</v>
      </c>
      <c r="K81" s="519" t="s">
        <v>969</v>
      </c>
      <c r="L81" s="521" t="s">
        <v>970</v>
      </c>
      <c r="M81" s="521" t="s">
        <v>971</v>
      </c>
      <c r="N81" s="521" t="s">
        <v>815</v>
      </c>
      <c r="O81" s="22" t="s">
        <v>174</v>
      </c>
      <c r="P81" s="426">
        <v>2018</v>
      </c>
      <c r="Q81" s="414">
        <f t="shared" ca="1" si="5"/>
        <v>219.03197422503709</v>
      </c>
      <c r="R81" s="335" t="str">
        <f t="shared" ca="1" si="3"/>
        <v>N/A</v>
      </c>
      <c r="S81" s="335" t="str">
        <f t="shared" ca="1" si="4"/>
        <v>N/A</v>
      </c>
      <c r="T81" s="429" t="s">
        <v>899</v>
      </c>
      <c r="U81" s="22"/>
      <c r="V81" s="24"/>
      <c r="W81" s="21"/>
      <c r="Y81" s="490"/>
    </row>
    <row r="82" spans="1:25" ht="60">
      <c r="A82" s="31">
        <v>79</v>
      </c>
      <c r="B82" s="22" t="s">
        <v>39</v>
      </c>
      <c r="C82" s="22" t="s">
        <v>40</v>
      </c>
      <c r="D82" s="22" t="s">
        <v>170</v>
      </c>
      <c r="E82" s="23" t="s">
        <v>171</v>
      </c>
      <c r="F82" s="22" t="s">
        <v>55</v>
      </c>
      <c r="G82" s="22" t="s">
        <v>53</v>
      </c>
      <c r="H82" s="22" t="s">
        <v>30</v>
      </c>
      <c r="I82" s="22" t="s">
        <v>172</v>
      </c>
      <c r="J82" s="22" t="s">
        <v>175</v>
      </c>
      <c r="K82" s="519" t="s">
        <v>969</v>
      </c>
      <c r="L82" s="521" t="s">
        <v>972</v>
      </c>
      <c r="M82" s="521" t="s">
        <v>973</v>
      </c>
      <c r="N82" s="521" t="s">
        <v>815</v>
      </c>
      <c r="O82" s="22" t="s">
        <v>174</v>
      </c>
      <c r="P82" s="426">
        <v>2018</v>
      </c>
      <c r="Q82" s="414">
        <f t="shared" ca="1" si="5"/>
        <v>142.14357720803355</v>
      </c>
      <c r="R82" s="335" t="str">
        <f t="shared" ca="1" si="3"/>
        <v>N/A</v>
      </c>
      <c r="S82" s="335" t="str">
        <f t="shared" ca="1" si="4"/>
        <v>N/A</v>
      </c>
      <c r="T82" s="429" t="s">
        <v>899</v>
      </c>
      <c r="U82" s="22"/>
      <c r="V82" s="24"/>
      <c r="W82" s="21"/>
      <c r="Y82" s="490"/>
    </row>
    <row r="83" spans="1:25" ht="60">
      <c r="A83" s="31">
        <v>80</v>
      </c>
      <c r="B83" s="22" t="s">
        <v>39</v>
      </c>
      <c r="C83" s="22" t="s">
        <v>40</v>
      </c>
      <c r="D83" s="22" t="s">
        <v>170</v>
      </c>
      <c r="E83" s="23" t="s">
        <v>171</v>
      </c>
      <c r="F83" s="22" t="s">
        <v>56</v>
      </c>
      <c r="G83" s="22" t="s">
        <v>53</v>
      </c>
      <c r="H83" s="22" t="s">
        <v>30</v>
      </c>
      <c r="I83" s="22" t="s">
        <v>172</v>
      </c>
      <c r="J83" s="22" t="s">
        <v>176</v>
      </c>
      <c r="K83" s="519" t="s">
        <v>969</v>
      </c>
      <c r="L83" s="521" t="s">
        <v>974</v>
      </c>
      <c r="M83" s="521" t="s">
        <v>975</v>
      </c>
      <c r="N83" s="521" t="s">
        <v>815</v>
      </c>
      <c r="O83" s="22" t="s">
        <v>174</v>
      </c>
      <c r="P83" s="426">
        <v>2018</v>
      </c>
      <c r="Q83" s="414">
        <f t="shared" ca="1" si="5"/>
        <v>1278348.796947879</v>
      </c>
      <c r="R83" s="335" t="str">
        <f t="shared" ca="1" si="3"/>
        <v>N/A</v>
      </c>
      <c r="S83" s="335" t="str">
        <f t="shared" ca="1" si="4"/>
        <v>N/A</v>
      </c>
      <c r="T83" s="429" t="s">
        <v>899</v>
      </c>
      <c r="U83" s="22"/>
      <c r="V83" s="24"/>
      <c r="W83" s="21"/>
      <c r="Y83" s="490"/>
    </row>
    <row r="84" spans="1:25" ht="60">
      <c r="A84" s="31">
        <v>81</v>
      </c>
      <c r="B84" s="22" t="s">
        <v>39</v>
      </c>
      <c r="C84" s="22" t="s">
        <v>40</v>
      </c>
      <c r="D84" s="22" t="s">
        <v>170</v>
      </c>
      <c r="E84" s="23" t="s">
        <v>171</v>
      </c>
      <c r="F84" s="22" t="s">
        <v>57</v>
      </c>
      <c r="G84" s="22" t="s">
        <v>53</v>
      </c>
      <c r="H84" s="22" t="s">
        <v>30</v>
      </c>
      <c r="I84" s="22" t="s">
        <v>172</v>
      </c>
      <c r="J84" s="22" t="s">
        <v>177</v>
      </c>
      <c r="K84" s="519" t="s">
        <v>969</v>
      </c>
      <c r="L84" s="521" t="s">
        <v>976</v>
      </c>
      <c r="M84" s="521" t="s">
        <v>977</v>
      </c>
      <c r="N84" s="521" t="s">
        <v>815</v>
      </c>
      <c r="O84" s="22" t="s">
        <v>174</v>
      </c>
      <c r="P84" s="426">
        <v>2018</v>
      </c>
      <c r="Q84" s="414">
        <f t="shared" ca="1" si="5"/>
        <v>825918.07880019047</v>
      </c>
      <c r="R84" s="335" t="str">
        <f t="shared" ca="1" si="3"/>
        <v>N/A</v>
      </c>
      <c r="S84" s="335" t="str">
        <f t="shared" ca="1" si="4"/>
        <v>N/A</v>
      </c>
      <c r="T84" s="429" t="s">
        <v>899</v>
      </c>
      <c r="U84" s="22"/>
      <c r="V84" s="24"/>
      <c r="W84" s="21"/>
      <c r="Y84" s="490"/>
    </row>
    <row r="85" spans="1:25" ht="60">
      <c r="A85" s="31">
        <v>82</v>
      </c>
      <c r="B85" s="22" t="s">
        <v>39</v>
      </c>
      <c r="C85" s="22" t="s">
        <v>40</v>
      </c>
      <c r="D85" s="22" t="s">
        <v>170</v>
      </c>
      <c r="E85" s="23" t="s">
        <v>171</v>
      </c>
      <c r="F85" s="22" t="s">
        <v>58</v>
      </c>
      <c r="G85" s="22" t="s">
        <v>53</v>
      </c>
      <c r="H85" s="22" t="s">
        <v>30</v>
      </c>
      <c r="I85" s="22" t="s">
        <v>172</v>
      </c>
      <c r="J85" s="22" t="s">
        <v>178</v>
      </c>
      <c r="K85" s="519" t="s">
        <v>969</v>
      </c>
      <c r="L85" s="521" t="s">
        <v>978</v>
      </c>
      <c r="M85" s="521" t="s">
        <v>979</v>
      </c>
      <c r="N85" s="521" t="s">
        <v>815</v>
      </c>
      <c r="O85" s="22" t="s">
        <v>174</v>
      </c>
      <c r="P85" s="426">
        <v>2018</v>
      </c>
      <c r="Q85" s="414">
        <f t="shared" ca="1" si="5"/>
        <v>10484.676605899693</v>
      </c>
      <c r="R85" s="335" t="str">
        <f t="shared" ca="1" si="3"/>
        <v>N/A</v>
      </c>
      <c r="S85" s="335" t="str">
        <f t="shared" ca="1" si="4"/>
        <v>N/A</v>
      </c>
      <c r="T85" s="429" t="s">
        <v>899</v>
      </c>
      <c r="U85" s="22" t="str">
        <f>Definitions!C$20</f>
        <v>A multi-family unit. Designated by a unique billing account under rate GR and location code (LC_CD) = B, C, D (&gt;= 2 units)</v>
      </c>
      <c r="V85" s="24"/>
      <c r="W85" s="21"/>
      <c r="Y85" s="490"/>
    </row>
    <row r="86" spans="1:25" ht="60">
      <c r="A86" s="31">
        <v>83</v>
      </c>
      <c r="B86" s="22" t="s">
        <v>39</v>
      </c>
      <c r="C86" s="22" t="s">
        <v>40</v>
      </c>
      <c r="D86" s="22" t="s">
        <v>170</v>
      </c>
      <c r="E86" s="23" t="s">
        <v>171</v>
      </c>
      <c r="F86" s="22" t="s">
        <v>60</v>
      </c>
      <c r="G86" s="22" t="s">
        <v>53</v>
      </c>
      <c r="H86" s="22" t="s">
        <v>30</v>
      </c>
      <c r="I86" s="22" t="s">
        <v>172</v>
      </c>
      <c r="J86" s="22" t="s">
        <v>180</v>
      </c>
      <c r="K86" s="519" t="s">
        <v>969</v>
      </c>
      <c r="L86" s="521" t="s">
        <v>980</v>
      </c>
      <c r="M86" s="521" t="s">
        <v>981</v>
      </c>
      <c r="N86" s="521" t="s">
        <v>815</v>
      </c>
      <c r="O86" s="22" t="s">
        <v>174</v>
      </c>
      <c r="P86" s="426">
        <v>2018</v>
      </c>
      <c r="Q86" s="414">
        <f t="shared" ca="1" si="5"/>
        <v>5865.7814489256234</v>
      </c>
      <c r="R86" s="335" t="str">
        <f t="shared" ca="1" si="3"/>
        <v>N/A</v>
      </c>
      <c r="S86" s="335" t="str">
        <f t="shared" ca="1" si="4"/>
        <v>N/A</v>
      </c>
      <c r="T86" s="429" t="s">
        <v>899</v>
      </c>
      <c r="U86" s="22" t="str">
        <f>Definitions!C$20</f>
        <v>A multi-family unit. Designated by a unique billing account under rate GR and location code (LC_CD) = B, C, D (&gt;= 2 units)</v>
      </c>
      <c r="V86" s="24"/>
      <c r="W86" s="21"/>
      <c r="Y86" s="490"/>
    </row>
    <row r="87" spans="1:25" ht="60">
      <c r="A87" s="31">
        <v>84</v>
      </c>
      <c r="B87" s="22" t="s">
        <v>39</v>
      </c>
      <c r="C87" s="22" t="s">
        <v>40</v>
      </c>
      <c r="D87" s="22" t="s">
        <v>170</v>
      </c>
      <c r="E87" s="23" t="s">
        <v>171</v>
      </c>
      <c r="F87" s="22" t="s">
        <v>61</v>
      </c>
      <c r="G87" s="22" t="s">
        <v>53</v>
      </c>
      <c r="H87" s="22" t="s">
        <v>30</v>
      </c>
      <c r="I87" s="22" t="s">
        <v>172</v>
      </c>
      <c r="J87" s="22" t="s">
        <v>181</v>
      </c>
      <c r="K87" s="519" t="s">
        <v>969</v>
      </c>
      <c r="L87" s="521" t="s">
        <v>982</v>
      </c>
      <c r="M87" s="521" t="s">
        <v>983</v>
      </c>
      <c r="N87" s="521" t="s">
        <v>815</v>
      </c>
      <c r="O87" s="22" t="s">
        <v>174</v>
      </c>
      <c r="P87" s="426">
        <v>2018</v>
      </c>
      <c r="Q87" s="414">
        <f t="shared" ca="1" si="5"/>
        <v>2944.1001747175792</v>
      </c>
      <c r="R87" s="335" t="str">
        <f t="shared" ca="1" si="3"/>
        <v>N/A</v>
      </c>
      <c r="S87" s="335" t="str">
        <f t="shared" ca="1" si="4"/>
        <v>N/A</v>
      </c>
      <c r="T87" s="429" t="s">
        <v>899</v>
      </c>
      <c r="U87" s="22"/>
      <c r="V87" s="24"/>
      <c r="W87" s="21"/>
      <c r="Y87" s="490"/>
    </row>
    <row r="88" spans="1:25" ht="60">
      <c r="A88" s="31">
        <v>85</v>
      </c>
      <c r="B88" s="22" t="s">
        <v>39</v>
      </c>
      <c r="C88" s="22" t="s">
        <v>40</v>
      </c>
      <c r="D88" s="22" t="s">
        <v>170</v>
      </c>
      <c r="E88" s="23" t="s">
        <v>171</v>
      </c>
      <c r="F88" s="22" t="s">
        <v>62</v>
      </c>
      <c r="G88" s="22" t="s">
        <v>53</v>
      </c>
      <c r="H88" s="22" t="s">
        <v>30</v>
      </c>
      <c r="I88" s="22" t="s">
        <v>172</v>
      </c>
      <c r="J88" s="22" t="s">
        <v>182</v>
      </c>
      <c r="K88" s="519" t="s">
        <v>969</v>
      </c>
      <c r="L88" s="521" t="s">
        <v>984</v>
      </c>
      <c r="M88" s="521" t="s">
        <v>985</v>
      </c>
      <c r="N88" s="521" t="s">
        <v>815</v>
      </c>
      <c r="O88" s="22" t="s">
        <v>174</v>
      </c>
      <c r="P88" s="426">
        <v>2018</v>
      </c>
      <c r="Q88" s="414">
        <f t="shared" ca="1" si="5"/>
        <v>1803.5670695796587</v>
      </c>
      <c r="R88" s="335" t="str">
        <f t="shared" ca="1" si="3"/>
        <v>N/A</v>
      </c>
      <c r="S88" s="335" t="str">
        <f t="shared" ca="1" si="4"/>
        <v>N/A</v>
      </c>
      <c r="T88" s="429" t="s">
        <v>899</v>
      </c>
      <c r="U88" s="22"/>
      <c r="V88" s="24"/>
      <c r="W88" s="21"/>
      <c r="Y88" s="490"/>
    </row>
    <row r="89" spans="1:25" ht="60">
      <c r="A89" s="31">
        <v>86</v>
      </c>
      <c r="B89" s="22" t="s">
        <v>39</v>
      </c>
      <c r="C89" s="22" t="s">
        <v>40</v>
      </c>
      <c r="D89" s="22" t="s">
        <v>170</v>
      </c>
      <c r="E89" s="23" t="s">
        <v>171</v>
      </c>
      <c r="F89" s="22" t="s">
        <v>63</v>
      </c>
      <c r="G89" s="22" t="s">
        <v>53</v>
      </c>
      <c r="H89" s="22" t="s">
        <v>30</v>
      </c>
      <c r="I89" s="22" t="s">
        <v>172</v>
      </c>
      <c r="J89" s="22" t="s">
        <v>183</v>
      </c>
      <c r="K89" s="519" t="s">
        <v>969</v>
      </c>
      <c r="L89" s="521" t="s">
        <v>986</v>
      </c>
      <c r="M89" s="521" t="s">
        <v>987</v>
      </c>
      <c r="N89" s="521" t="s">
        <v>815</v>
      </c>
      <c r="O89" s="22" t="s">
        <v>174</v>
      </c>
      <c r="P89" s="426">
        <v>2018</v>
      </c>
      <c r="Q89" s="414">
        <f t="shared" ca="1" si="5"/>
        <v>16714964.959891923</v>
      </c>
      <c r="R89" s="335" t="str">
        <f t="shared" ca="1" si="3"/>
        <v>N/A</v>
      </c>
      <c r="S89" s="335" t="str">
        <f t="shared" ca="1" si="4"/>
        <v>N/A</v>
      </c>
      <c r="T89" s="429" t="s">
        <v>899</v>
      </c>
      <c r="U89" s="22"/>
      <c r="V89" s="24"/>
      <c r="W89" s="21"/>
      <c r="Y89" s="490"/>
    </row>
    <row r="90" spans="1:25" ht="60">
      <c r="A90" s="31">
        <v>87</v>
      </c>
      <c r="B90" s="22" t="s">
        <v>39</v>
      </c>
      <c r="C90" s="22" t="s">
        <v>40</v>
      </c>
      <c r="D90" s="22" t="s">
        <v>170</v>
      </c>
      <c r="E90" s="23" t="s">
        <v>171</v>
      </c>
      <c r="F90" s="22" t="s">
        <v>64</v>
      </c>
      <c r="G90" s="22" t="s">
        <v>53</v>
      </c>
      <c r="H90" s="22" t="s">
        <v>30</v>
      </c>
      <c r="I90" s="22" t="s">
        <v>172</v>
      </c>
      <c r="J90" s="22" t="s">
        <v>184</v>
      </c>
      <c r="K90" s="519" t="s">
        <v>969</v>
      </c>
      <c r="L90" s="521" t="s">
        <v>988</v>
      </c>
      <c r="M90" s="521" t="s">
        <v>989</v>
      </c>
      <c r="N90" s="521" t="s">
        <v>815</v>
      </c>
      <c r="O90" s="22" t="s">
        <v>174</v>
      </c>
      <c r="P90" s="426">
        <v>2018</v>
      </c>
      <c r="Q90" s="414">
        <f t="shared" ca="1" si="5"/>
        <v>10317369.910208927</v>
      </c>
      <c r="R90" s="335" t="str">
        <f t="shared" ca="1" si="3"/>
        <v>N/A</v>
      </c>
      <c r="S90" s="335" t="str">
        <f t="shared" ca="1" si="4"/>
        <v>N/A</v>
      </c>
      <c r="T90" s="429" t="s">
        <v>899</v>
      </c>
      <c r="U90" s="22"/>
      <c r="V90" s="24"/>
      <c r="W90" s="21"/>
      <c r="Y90" s="490"/>
    </row>
    <row r="91" spans="1:25" ht="60">
      <c r="A91" s="31">
        <v>88</v>
      </c>
      <c r="B91" s="22" t="s">
        <v>39</v>
      </c>
      <c r="C91" s="22" t="s">
        <v>40</v>
      </c>
      <c r="D91" s="22" t="s">
        <v>170</v>
      </c>
      <c r="E91" s="23" t="s">
        <v>171</v>
      </c>
      <c r="F91" s="22" t="s">
        <v>65</v>
      </c>
      <c r="G91" s="22" t="s">
        <v>53</v>
      </c>
      <c r="H91" s="22" t="s">
        <v>30</v>
      </c>
      <c r="I91" s="22" t="s">
        <v>172</v>
      </c>
      <c r="J91" s="22" t="s">
        <v>185</v>
      </c>
      <c r="K91" s="519" t="s">
        <v>969</v>
      </c>
      <c r="L91" s="521" t="s">
        <v>990</v>
      </c>
      <c r="M91" s="521" t="s">
        <v>991</v>
      </c>
      <c r="N91" s="521" t="s">
        <v>815</v>
      </c>
      <c r="O91" s="22" t="s">
        <v>174</v>
      </c>
      <c r="P91" s="426">
        <v>2018</v>
      </c>
      <c r="Q91" s="414">
        <f t="shared" ca="1" si="5"/>
        <v>167769.44976755657</v>
      </c>
      <c r="R91" s="335" t="str">
        <f t="shared" ca="1" si="3"/>
        <v>N/A</v>
      </c>
      <c r="S91" s="335" t="str">
        <f t="shared" ca="1" si="4"/>
        <v>N/A</v>
      </c>
      <c r="T91" s="429" t="s">
        <v>899</v>
      </c>
      <c r="U91" s="22" t="str">
        <f>Definitions!C$20</f>
        <v>A multi-family unit. Designated by a unique billing account under rate GR and location code (LC_CD) = B, C, D (&gt;= 2 units)</v>
      </c>
      <c r="V91" s="24"/>
      <c r="W91" s="21"/>
      <c r="Y91" s="490"/>
    </row>
    <row r="92" spans="1:25" ht="60">
      <c r="A92" s="31">
        <v>89</v>
      </c>
      <c r="B92" s="22" t="s">
        <v>39</v>
      </c>
      <c r="C92" s="22" t="s">
        <v>40</v>
      </c>
      <c r="D92" s="22" t="s">
        <v>170</v>
      </c>
      <c r="E92" s="23" t="s">
        <v>171</v>
      </c>
      <c r="F92" s="22" t="s">
        <v>66</v>
      </c>
      <c r="G92" s="22" t="s">
        <v>53</v>
      </c>
      <c r="H92" s="22" t="s">
        <v>30</v>
      </c>
      <c r="I92" s="22" t="s">
        <v>172</v>
      </c>
      <c r="J92" s="22" t="s">
        <v>186</v>
      </c>
      <c r="K92" s="519" t="s">
        <v>969</v>
      </c>
      <c r="L92" s="521" t="s">
        <v>992</v>
      </c>
      <c r="M92" s="521" t="s">
        <v>993</v>
      </c>
      <c r="N92" s="521" t="s">
        <v>815</v>
      </c>
      <c r="O92" s="22" t="s">
        <v>174</v>
      </c>
      <c r="P92" s="426">
        <v>2018</v>
      </c>
      <c r="Q92" s="414">
        <f t="shared" ca="1" si="5"/>
        <v>99843.581838185171</v>
      </c>
      <c r="R92" s="335" t="str">
        <f t="shared" ca="1" si="3"/>
        <v>N/A</v>
      </c>
      <c r="S92" s="335" t="str">
        <f t="shared" ca="1" si="4"/>
        <v>N/A</v>
      </c>
      <c r="T92" s="429" t="s">
        <v>899</v>
      </c>
      <c r="U92" s="22" t="str">
        <f>Definitions!C$20</f>
        <v>A multi-family unit. Designated by a unique billing account under rate GR and location code (LC_CD) = B, C, D (&gt;= 2 units)</v>
      </c>
      <c r="V92" s="24"/>
      <c r="W92" s="21"/>
      <c r="Y92" s="490"/>
    </row>
    <row r="93" spans="1:25" ht="60">
      <c r="A93" s="31">
        <v>90</v>
      </c>
      <c r="B93" s="22" t="s">
        <v>39</v>
      </c>
      <c r="C93" s="22" t="s">
        <v>40</v>
      </c>
      <c r="D93" s="22" t="s">
        <v>170</v>
      </c>
      <c r="E93" s="23" t="s">
        <v>187</v>
      </c>
      <c r="F93" s="22" t="s">
        <v>52</v>
      </c>
      <c r="G93" s="22" t="s">
        <v>53</v>
      </c>
      <c r="H93" s="22" t="s">
        <v>30</v>
      </c>
      <c r="I93" s="22" t="s">
        <v>172</v>
      </c>
      <c r="J93" s="22" t="s">
        <v>188</v>
      </c>
      <c r="K93" s="519" t="s">
        <v>969</v>
      </c>
      <c r="L93" s="521" t="s">
        <v>994</v>
      </c>
      <c r="M93" s="521" t="s">
        <v>995</v>
      </c>
      <c r="N93" s="521" t="s">
        <v>815</v>
      </c>
      <c r="O93" s="22" t="s">
        <v>174</v>
      </c>
      <c r="P93" s="426">
        <v>2018</v>
      </c>
      <c r="Q93" s="414">
        <f t="shared" ca="1" si="5"/>
        <v>0</v>
      </c>
      <c r="R93" s="335" t="str">
        <f t="shared" ca="1" si="3"/>
        <v>N/A</v>
      </c>
      <c r="S93" s="335" t="str">
        <f t="shared" ca="1" si="4"/>
        <v>N/A</v>
      </c>
      <c r="T93" s="429" t="s">
        <v>899</v>
      </c>
      <c r="U93" s="22"/>
      <c r="V93" s="24"/>
      <c r="W93" s="21"/>
      <c r="Y93" s="490"/>
    </row>
    <row r="94" spans="1:25" ht="60">
      <c r="A94" s="31">
        <v>91</v>
      </c>
      <c r="B94" s="22" t="s">
        <v>39</v>
      </c>
      <c r="C94" s="22" t="s">
        <v>40</v>
      </c>
      <c r="D94" s="22" t="s">
        <v>170</v>
      </c>
      <c r="E94" s="23" t="s">
        <v>187</v>
      </c>
      <c r="F94" s="22" t="s">
        <v>55</v>
      </c>
      <c r="G94" s="22" t="s">
        <v>53</v>
      </c>
      <c r="H94" s="22" t="s">
        <v>30</v>
      </c>
      <c r="I94" s="22" t="s">
        <v>172</v>
      </c>
      <c r="J94" s="22" t="s">
        <v>189</v>
      </c>
      <c r="K94" s="519" t="s">
        <v>969</v>
      </c>
      <c r="L94" s="521" t="s">
        <v>996</v>
      </c>
      <c r="M94" s="521" t="s">
        <v>997</v>
      </c>
      <c r="N94" s="521" t="s">
        <v>815</v>
      </c>
      <c r="O94" s="22" t="s">
        <v>174</v>
      </c>
      <c r="P94" s="426">
        <v>2018</v>
      </c>
      <c r="Q94" s="414">
        <f t="shared" ca="1" si="5"/>
        <v>0</v>
      </c>
      <c r="R94" s="335" t="str">
        <f t="shared" ca="1" si="3"/>
        <v>N/A</v>
      </c>
      <c r="S94" s="335" t="str">
        <f t="shared" ca="1" si="4"/>
        <v>N/A</v>
      </c>
      <c r="T94" s="429" t="s">
        <v>899</v>
      </c>
      <c r="U94" s="22"/>
      <c r="V94" s="24"/>
      <c r="W94" s="21"/>
      <c r="Y94" s="490"/>
    </row>
    <row r="95" spans="1:25" ht="60">
      <c r="A95" s="31">
        <v>92</v>
      </c>
      <c r="B95" s="22" t="s">
        <v>39</v>
      </c>
      <c r="C95" s="22" t="s">
        <v>40</v>
      </c>
      <c r="D95" s="22" t="s">
        <v>170</v>
      </c>
      <c r="E95" s="23" t="s">
        <v>187</v>
      </c>
      <c r="F95" s="22" t="s">
        <v>56</v>
      </c>
      <c r="G95" s="22" t="s">
        <v>53</v>
      </c>
      <c r="H95" s="22" t="s">
        <v>30</v>
      </c>
      <c r="I95" s="22" t="s">
        <v>172</v>
      </c>
      <c r="J95" s="22" t="s">
        <v>190</v>
      </c>
      <c r="K95" s="519" t="s">
        <v>969</v>
      </c>
      <c r="L95" s="521" t="s">
        <v>998</v>
      </c>
      <c r="M95" s="521" t="s">
        <v>999</v>
      </c>
      <c r="N95" s="521" t="s">
        <v>815</v>
      </c>
      <c r="O95" s="22" t="s">
        <v>174</v>
      </c>
      <c r="P95" s="426">
        <v>2018</v>
      </c>
      <c r="Q95" s="414">
        <f t="shared" ca="1" si="5"/>
        <v>0</v>
      </c>
      <c r="R95" s="335" t="str">
        <f t="shared" ca="1" si="3"/>
        <v>N/A</v>
      </c>
      <c r="S95" s="335" t="str">
        <f t="shared" ca="1" si="4"/>
        <v>N/A</v>
      </c>
      <c r="T95" s="429" t="s">
        <v>899</v>
      </c>
      <c r="U95" s="22"/>
      <c r="V95" s="24"/>
      <c r="W95" s="21"/>
      <c r="Y95" s="490"/>
    </row>
    <row r="96" spans="1:25" ht="60">
      <c r="A96" s="31">
        <v>93</v>
      </c>
      <c r="B96" s="22" t="s">
        <v>39</v>
      </c>
      <c r="C96" s="22" t="s">
        <v>40</v>
      </c>
      <c r="D96" s="22" t="s">
        <v>170</v>
      </c>
      <c r="E96" s="23" t="s">
        <v>187</v>
      </c>
      <c r="F96" s="22" t="s">
        <v>57</v>
      </c>
      <c r="G96" s="22" t="s">
        <v>53</v>
      </c>
      <c r="H96" s="22" t="s">
        <v>30</v>
      </c>
      <c r="I96" s="22" t="s">
        <v>172</v>
      </c>
      <c r="J96" s="22" t="s">
        <v>191</v>
      </c>
      <c r="K96" s="519" t="s">
        <v>969</v>
      </c>
      <c r="L96" s="521" t="s">
        <v>1000</v>
      </c>
      <c r="M96" s="521" t="s">
        <v>1001</v>
      </c>
      <c r="N96" s="521" t="s">
        <v>815</v>
      </c>
      <c r="O96" s="22" t="s">
        <v>174</v>
      </c>
      <c r="P96" s="426">
        <v>2018</v>
      </c>
      <c r="Q96" s="414">
        <f t="shared" ca="1" si="5"/>
        <v>0</v>
      </c>
      <c r="R96" s="335" t="str">
        <f t="shared" ca="1" si="3"/>
        <v>N/A</v>
      </c>
      <c r="S96" s="335" t="str">
        <f t="shared" ca="1" si="4"/>
        <v>N/A</v>
      </c>
      <c r="T96" s="429" t="s">
        <v>899</v>
      </c>
      <c r="U96" s="22"/>
      <c r="V96" s="24"/>
      <c r="W96" s="21"/>
      <c r="Y96" s="490"/>
    </row>
    <row r="97" spans="1:25" ht="60">
      <c r="A97" s="31">
        <v>94</v>
      </c>
      <c r="B97" s="22" t="s">
        <v>39</v>
      </c>
      <c r="C97" s="22" t="s">
        <v>40</v>
      </c>
      <c r="D97" s="22" t="s">
        <v>170</v>
      </c>
      <c r="E97" s="23" t="s">
        <v>187</v>
      </c>
      <c r="F97" s="22" t="s">
        <v>58</v>
      </c>
      <c r="G97" s="22" t="s">
        <v>53</v>
      </c>
      <c r="H97" s="22" t="s">
        <v>30</v>
      </c>
      <c r="I97" s="22" t="s">
        <v>172</v>
      </c>
      <c r="J97" s="22" t="s">
        <v>192</v>
      </c>
      <c r="K97" s="519" t="s">
        <v>969</v>
      </c>
      <c r="L97" s="521" t="s">
        <v>1002</v>
      </c>
      <c r="M97" s="521" t="s">
        <v>1003</v>
      </c>
      <c r="N97" s="521" t="s">
        <v>815</v>
      </c>
      <c r="O97" s="22" t="s">
        <v>174</v>
      </c>
      <c r="P97" s="426">
        <v>2018</v>
      </c>
      <c r="Q97" s="414">
        <f t="shared" ca="1" si="5"/>
        <v>0</v>
      </c>
      <c r="R97" s="335" t="str">
        <f t="shared" ca="1" si="3"/>
        <v>N/A</v>
      </c>
      <c r="S97" s="335" t="str">
        <f t="shared" ca="1" si="4"/>
        <v>N/A</v>
      </c>
      <c r="T97" s="429" t="s">
        <v>899</v>
      </c>
      <c r="U97" s="22" t="str">
        <f>Definitions!C$22</f>
        <v>AL 3826. Natural gas procurement for MF accomodations supply Baseline uses through one meter. Such as service will be billed under rates designated for GM-E, GM-BE or GM-BEC, as appropriate.</v>
      </c>
      <c r="V97" s="24"/>
      <c r="W97" s="21"/>
      <c r="Y97" s="490"/>
    </row>
    <row r="98" spans="1:25" ht="60">
      <c r="A98" s="31">
        <v>95</v>
      </c>
      <c r="B98" s="22" t="s">
        <v>39</v>
      </c>
      <c r="C98" s="22" t="s">
        <v>40</v>
      </c>
      <c r="D98" s="22" t="s">
        <v>170</v>
      </c>
      <c r="E98" s="23" t="s">
        <v>187</v>
      </c>
      <c r="F98" s="22" t="s">
        <v>60</v>
      </c>
      <c r="G98" s="22" t="s">
        <v>53</v>
      </c>
      <c r="H98" s="22" t="s">
        <v>30</v>
      </c>
      <c r="I98" s="22" t="s">
        <v>172</v>
      </c>
      <c r="J98" s="22" t="s">
        <v>193</v>
      </c>
      <c r="K98" s="519" t="s">
        <v>969</v>
      </c>
      <c r="L98" s="521" t="s">
        <v>1004</v>
      </c>
      <c r="M98" s="521" t="s">
        <v>1005</v>
      </c>
      <c r="N98" s="521" t="s">
        <v>815</v>
      </c>
      <c r="O98" s="22" t="s">
        <v>174</v>
      </c>
      <c r="P98" s="426">
        <v>2018</v>
      </c>
      <c r="Q98" s="414">
        <f t="shared" ca="1" si="5"/>
        <v>0</v>
      </c>
      <c r="R98" s="335" t="str">
        <f t="shared" ca="1" si="3"/>
        <v>N/A</v>
      </c>
      <c r="S98" s="335" t="str">
        <f t="shared" ca="1" si="4"/>
        <v>N/A</v>
      </c>
      <c r="T98" s="429" t="s">
        <v>899</v>
      </c>
      <c r="U98" s="22" t="str">
        <f>Definitions!C$22</f>
        <v>AL 3826. Natural gas procurement for MF accomodations supply Baseline uses through one meter. Such as service will be billed under rates designated for GM-E, GM-BE or GM-BEC, as appropriate.</v>
      </c>
      <c r="V98" s="24"/>
      <c r="W98" s="21"/>
      <c r="Y98" s="490"/>
    </row>
    <row r="99" spans="1:25" ht="60">
      <c r="A99" s="31">
        <v>96</v>
      </c>
      <c r="B99" s="22" t="s">
        <v>39</v>
      </c>
      <c r="C99" s="22" t="s">
        <v>40</v>
      </c>
      <c r="D99" s="22" t="s">
        <v>170</v>
      </c>
      <c r="E99" s="23" t="s">
        <v>187</v>
      </c>
      <c r="F99" s="22" t="s">
        <v>61</v>
      </c>
      <c r="G99" s="22" t="s">
        <v>53</v>
      </c>
      <c r="H99" s="22" t="s">
        <v>30</v>
      </c>
      <c r="I99" s="22" t="s">
        <v>172</v>
      </c>
      <c r="J99" s="22" t="s">
        <v>194</v>
      </c>
      <c r="K99" s="519" t="s">
        <v>969</v>
      </c>
      <c r="L99" s="521" t="s">
        <v>1006</v>
      </c>
      <c r="M99" s="521" t="s">
        <v>1007</v>
      </c>
      <c r="N99" s="521" t="s">
        <v>815</v>
      </c>
      <c r="O99" s="22" t="s">
        <v>174</v>
      </c>
      <c r="P99" s="426">
        <v>2018</v>
      </c>
      <c r="Q99" s="414">
        <f t="shared" ca="1" si="5"/>
        <v>0</v>
      </c>
      <c r="R99" s="335" t="str">
        <f t="shared" ca="1" si="3"/>
        <v>N/A</v>
      </c>
      <c r="S99" s="335" t="str">
        <f t="shared" ca="1" si="4"/>
        <v>N/A</v>
      </c>
      <c r="T99" s="429" t="s">
        <v>899</v>
      </c>
      <c r="U99" s="22"/>
      <c r="V99" s="24"/>
      <c r="W99" s="21"/>
      <c r="Y99" s="490"/>
    </row>
    <row r="100" spans="1:25" ht="60">
      <c r="A100" s="31">
        <v>97</v>
      </c>
      <c r="B100" s="22" t="s">
        <v>39</v>
      </c>
      <c r="C100" s="22" t="s">
        <v>40</v>
      </c>
      <c r="D100" s="22" t="s">
        <v>170</v>
      </c>
      <c r="E100" s="23" t="s">
        <v>187</v>
      </c>
      <c r="F100" s="22" t="s">
        <v>62</v>
      </c>
      <c r="G100" s="22" t="s">
        <v>53</v>
      </c>
      <c r="H100" s="22" t="s">
        <v>30</v>
      </c>
      <c r="I100" s="22" t="s">
        <v>172</v>
      </c>
      <c r="J100" s="22" t="s">
        <v>195</v>
      </c>
      <c r="K100" s="519" t="s">
        <v>969</v>
      </c>
      <c r="L100" s="521" t="s">
        <v>1008</v>
      </c>
      <c r="M100" s="521" t="s">
        <v>1009</v>
      </c>
      <c r="N100" s="521" t="s">
        <v>815</v>
      </c>
      <c r="O100" s="22" t="s">
        <v>174</v>
      </c>
      <c r="P100" s="426">
        <v>2018</v>
      </c>
      <c r="Q100" s="414">
        <f t="shared" ca="1" si="5"/>
        <v>0</v>
      </c>
      <c r="R100" s="335" t="str">
        <f t="shared" ca="1" si="3"/>
        <v>N/A</v>
      </c>
      <c r="S100" s="335" t="str">
        <f t="shared" ca="1" si="4"/>
        <v>N/A</v>
      </c>
      <c r="T100" s="429" t="s">
        <v>899</v>
      </c>
      <c r="U100" s="22"/>
      <c r="V100" s="24"/>
      <c r="W100" s="21"/>
      <c r="Y100" s="490"/>
    </row>
    <row r="101" spans="1:25" ht="60">
      <c r="A101" s="31">
        <v>98</v>
      </c>
      <c r="B101" s="22" t="s">
        <v>39</v>
      </c>
      <c r="C101" s="22" t="s">
        <v>40</v>
      </c>
      <c r="D101" s="22" t="s">
        <v>170</v>
      </c>
      <c r="E101" s="23" t="s">
        <v>187</v>
      </c>
      <c r="F101" s="22" t="s">
        <v>63</v>
      </c>
      <c r="G101" s="22" t="s">
        <v>53</v>
      </c>
      <c r="H101" s="22" t="s">
        <v>30</v>
      </c>
      <c r="I101" s="22" t="s">
        <v>172</v>
      </c>
      <c r="J101" s="22" t="s">
        <v>196</v>
      </c>
      <c r="K101" s="519" t="s">
        <v>969</v>
      </c>
      <c r="L101" s="521" t="s">
        <v>1010</v>
      </c>
      <c r="M101" s="521" t="s">
        <v>1011</v>
      </c>
      <c r="N101" s="521" t="s">
        <v>815</v>
      </c>
      <c r="O101" s="22" t="s">
        <v>174</v>
      </c>
      <c r="P101" s="426">
        <v>2018</v>
      </c>
      <c r="Q101" s="414">
        <f t="shared" ca="1" si="5"/>
        <v>0</v>
      </c>
      <c r="R101" s="335" t="str">
        <f t="shared" ca="1" si="3"/>
        <v>N/A</v>
      </c>
      <c r="S101" s="335" t="str">
        <f t="shared" ca="1" si="4"/>
        <v>N/A</v>
      </c>
      <c r="T101" s="429" t="s">
        <v>899</v>
      </c>
      <c r="U101" s="22"/>
      <c r="V101" s="24"/>
      <c r="W101" s="21"/>
      <c r="Y101" s="490"/>
    </row>
    <row r="102" spans="1:25" ht="60">
      <c r="A102" s="31">
        <v>99</v>
      </c>
      <c r="B102" s="22" t="s">
        <v>39</v>
      </c>
      <c r="C102" s="22" t="s">
        <v>40</v>
      </c>
      <c r="D102" s="22" t="s">
        <v>170</v>
      </c>
      <c r="E102" s="23" t="s">
        <v>187</v>
      </c>
      <c r="F102" s="22" t="s">
        <v>64</v>
      </c>
      <c r="G102" s="22" t="s">
        <v>53</v>
      </c>
      <c r="H102" s="22" t="s">
        <v>30</v>
      </c>
      <c r="I102" s="22" t="s">
        <v>172</v>
      </c>
      <c r="J102" s="22" t="s">
        <v>197</v>
      </c>
      <c r="K102" s="519" t="s">
        <v>969</v>
      </c>
      <c r="L102" s="521" t="s">
        <v>1012</v>
      </c>
      <c r="M102" s="521" t="s">
        <v>1013</v>
      </c>
      <c r="N102" s="521" t="s">
        <v>815</v>
      </c>
      <c r="O102" s="22" t="s">
        <v>174</v>
      </c>
      <c r="P102" s="426">
        <v>2018</v>
      </c>
      <c r="Q102" s="414">
        <f t="shared" ca="1" si="5"/>
        <v>0</v>
      </c>
      <c r="R102" s="335" t="str">
        <f t="shared" ca="1" si="3"/>
        <v>N/A</v>
      </c>
      <c r="S102" s="335" t="str">
        <f t="shared" ca="1" si="4"/>
        <v>N/A</v>
      </c>
      <c r="T102" s="429" t="s">
        <v>899</v>
      </c>
      <c r="U102" s="22"/>
      <c r="V102" s="24"/>
      <c r="W102" s="21"/>
      <c r="Y102" s="490"/>
    </row>
    <row r="103" spans="1:25" ht="60">
      <c r="A103" s="31">
        <v>100</v>
      </c>
      <c r="B103" s="22" t="s">
        <v>39</v>
      </c>
      <c r="C103" s="22" t="s">
        <v>40</v>
      </c>
      <c r="D103" s="22" t="s">
        <v>170</v>
      </c>
      <c r="E103" s="23" t="s">
        <v>187</v>
      </c>
      <c r="F103" s="22" t="s">
        <v>65</v>
      </c>
      <c r="G103" s="22" t="s">
        <v>53</v>
      </c>
      <c r="H103" s="22" t="s">
        <v>30</v>
      </c>
      <c r="I103" s="22" t="s">
        <v>172</v>
      </c>
      <c r="J103" s="22" t="s">
        <v>198</v>
      </c>
      <c r="K103" s="519" t="s">
        <v>969</v>
      </c>
      <c r="L103" s="521" t="s">
        <v>1014</v>
      </c>
      <c r="M103" s="521" t="s">
        <v>1015</v>
      </c>
      <c r="N103" s="521" t="s">
        <v>815</v>
      </c>
      <c r="O103" s="22" t="s">
        <v>174</v>
      </c>
      <c r="P103" s="426">
        <v>2018</v>
      </c>
      <c r="Q103" s="414">
        <f t="shared" ca="1" si="5"/>
        <v>0</v>
      </c>
      <c r="R103" s="335" t="str">
        <f t="shared" ca="1" si="3"/>
        <v>N/A</v>
      </c>
      <c r="S103" s="335" t="str">
        <f t="shared" ca="1" si="4"/>
        <v>N/A</v>
      </c>
      <c r="T103" s="429" t="s">
        <v>899</v>
      </c>
      <c r="U103" s="22" t="str">
        <f>Definitions!C$22</f>
        <v>AL 3826. Natural gas procurement for MF accomodations supply Baseline uses through one meter. Such as service will be billed under rates designated for GM-E, GM-BE or GM-BEC, as appropriate.</v>
      </c>
      <c r="V103" s="24"/>
      <c r="W103" s="21"/>
      <c r="Y103" s="490"/>
    </row>
    <row r="104" spans="1:25" ht="60">
      <c r="A104" s="31">
        <v>101</v>
      </c>
      <c r="B104" s="22" t="s">
        <v>39</v>
      </c>
      <c r="C104" s="22" t="s">
        <v>40</v>
      </c>
      <c r="D104" s="22" t="s">
        <v>170</v>
      </c>
      <c r="E104" s="23" t="s">
        <v>187</v>
      </c>
      <c r="F104" s="22" t="s">
        <v>66</v>
      </c>
      <c r="G104" s="22" t="s">
        <v>53</v>
      </c>
      <c r="H104" s="22" t="s">
        <v>30</v>
      </c>
      <c r="I104" s="22" t="s">
        <v>172</v>
      </c>
      <c r="J104" s="22" t="s">
        <v>199</v>
      </c>
      <c r="K104" s="519" t="s">
        <v>969</v>
      </c>
      <c r="L104" s="521" t="s">
        <v>1016</v>
      </c>
      <c r="M104" s="521" t="s">
        <v>1017</v>
      </c>
      <c r="N104" s="521" t="s">
        <v>815</v>
      </c>
      <c r="O104" s="22" t="s">
        <v>174</v>
      </c>
      <c r="P104" s="426">
        <v>2018</v>
      </c>
      <c r="Q104" s="414">
        <f t="shared" ca="1" si="5"/>
        <v>0</v>
      </c>
      <c r="R104" s="335" t="str">
        <f t="shared" ca="1" si="3"/>
        <v>N/A</v>
      </c>
      <c r="S104" s="335" t="str">
        <f t="shared" ca="1" si="4"/>
        <v>N/A</v>
      </c>
      <c r="T104" s="429" t="s">
        <v>899</v>
      </c>
      <c r="U104" s="22" t="str">
        <f>Definitions!C$22</f>
        <v>AL 3826. Natural gas procurement for MF accomodations supply Baseline uses through one meter. Such as service will be billed under rates designated for GM-E, GM-BE or GM-BEC, as appropriate.</v>
      </c>
      <c r="V104" s="24"/>
      <c r="W104" s="21"/>
      <c r="Y104" s="490"/>
    </row>
    <row r="105" spans="1:25" ht="60">
      <c r="A105" s="31">
        <v>102</v>
      </c>
      <c r="B105" s="22" t="s">
        <v>39</v>
      </c>
      <c r="C105" s="22" t="s">
        <v>40</v>
      </c>
      <c r="D105" s="22" t="s">
        <v>170</v>
      </c>
      <c r="E105" s="23" t="s">
        <v>200</v>
      </c>
      <c r="F105" s="22" t="s">
        <v>52</v>
      </c>
      <c r="G105" s="22" t="s">
        <v>53</v>
      </c>
      <c r="H105" s="22" t="s">
        <v>30</v>
      </c>
      <c r="I105" s="22" t="s">
        <v>172</v>
      </c>
      <c r="J105" s="22" t="s">
        <v>201</v>
      </c>
      <c r="K105" s="519" t="s">
        <v>969</v>
      </c>
      <c r="L105" s="521" t="s">
        <v>1018</v>
      </c>
      <c r="M105" s="521" t="s">
        <v>1019</v>
      </c>
      <c r="N105" s="521" t="s">
        <v>815</v>
      </c>
      <c r="O105" s="22" t="s">
        <v>174</v>
      </c>
      <c r="P105" s="426">
        <v>2018</v>
      </c>
      <c r="Q105" s="414">
        <f t="shared" ca="1" si="5"/>
        <v>532.70939885066502</v>
      </c>
      <c r="R105" s="335" t="str">
        <f t="shared" ca="1" si="3"/>
        <v>N/A</v>
      </c>
      <c r="S105" s="335" t="str">
        <f t="shared" ca="1" si="4"/>
        <v>N/A</v>
      </c>
      <c r="T105" s="429" t="s">
        <v>899</v>
      </c>
      <c r="U105" s="22"/>
      <c r="V105" s="24"/>
      <c r="W105" s="21"/>
      <c r="Y105" s="490"/>
    </row>
    <row r="106" spans="1:25" ht="60">
      <c r="A106" s="31">
        <v>103</v>
      </c>
      <c r="B106" s="22" t="s">
        <v>39</v>
      </c>
      <c r="C106" s="22" t="s">
        <v>40</v>
      </c>
      <c r="D106" s="22" t="s">
        <v>170</v>
      </c>
      <c r="E106" s="23" t="s">
        <v>200</v>
      </c>
      <c r="F106" s="22" t="s">
        <v>55</v>
      </c>
      <c r="G106" s="22" t="s">
        <v>53</v>
      </c>
      <c r="H106" s="22" t="s">
        <v>30</v>
      </c>
      <c r="I106" s="22" t="s">
        <v>172</v>
      </c>
      <c r="J106" s="22" t="s">
        <v>202</v>
      </c>
      <c r="K106" s="519" t="s">
        <v>969</v>
      </c>
      <c r="L106" s="521" t="s">
        <v>1020</v>
      </c>
      <c r="M106" s="521" t="s">
        <v>1021</v>
      </c>
      <c r="N106" s="521" t="s">
        <v>815</v>
      </c>
      <c r="O106" s="22" t="s">
        <v>174</v>
      </c>
      <c r="P106" s="426">
        <v>2018</v>
      </c>
      <c r="Q106" s="414">
        <f t="shared" ca="1" si="5"/>
        <v>404.66758912006918</v>
      </c>
      <c r="R106" s="335" t="str">
        <f t="shared" ca="1" si="3"/>
        <v>N/A</v>
      </c>
      <c r="S106" s="335" t="str">
        <f t="shared" ca="1" si="4"/>
        <v>N/A</v>
      </c>
      <c r="T106" s="429" t="s">
        <v>899</v>
      </c>
      <c r="U106" s="22"/>
      <c r="V106" s="24"/>
      <c r="W106" s="21"/>
      <c r="Y106" s="490"/>
    </row>
    <row r="107" spans="1:25" ht="60">
      <c r="A107" s="31">
        <v>104</v>
      </c>
      <c r="B107" s="22" t="s">
        <v>39</v>
      </c>
      <c r="C107" s="22" t="s">
        <v>40</v>
      </c>
      <c r="D107" s="22" t="s">
        <v>170</v>
      </c>
      <c r="E107" s="23" t="s">
        <v>200</v>
      </c>
      <c r="F107" s="22" t="s">
        <v>56</v>
      </c>
      <c r="G107" s="22" t="s">
        <v>53</v>
      </c>
      <c r="H107" s="22" t="s">
        <v>30</v>
      </c>
      <c r="I107" s="22" t="s">
        <v>172</v>
      </c>
      <c r="J107" s="22" t="s">
        <v>203</v>
      </c>
      <c r="K107" s="519" t="s">
        <v>969</v>
      </c>
      <c r="L107" s="521" t="s">
        <v>1022</v>
      </c>
      <c r="M107" s="521" t="s">
        <v>1023</v>
      </c>
      <c r="N107" s="521" t="s">
        <v>815</v>
      </c>
      <c r="O107" s="22" t="s">
        <v>174</v>
      </c>
      <c r="P107" s="426">
        <v>2018</v>
      </c>
      <c r="Q107" s="414">
        <f t="shared" ca="1" si="5"/>
        <v>1810305.6616795</v>
      </c>
      <c r="R107" s="335" t="str">
        <f t="shared" ca="1" si="3"/>
        <v>N/A</v>
      </c>
      <c r="S107" s="335" t="str">
        <f t="shared" ca="1" si="4"/>
        <v>N/A</v>
      </c>
      <c r="T107" s="429" t="s">
        <v>899</v>
      </c>
      <c r="U107" s="22"/>
      <c r="V107" s="24"/>
      <c r="W107" s="21"/>
      <c r="Y107" s="490"/>
    </row>
    <row r="108" spans="1:25" ht="60">
      <c r="A108" s="31">
        <v>105</v>
      </c>
      <c r="B108" s="22" t="s">
        <v>39</v>
      </c>
      <c r="C108" s="22" t="s">
        <v>40</v>
      </c>
      <c r="D108" s="22" t="s">
        <v>170</v>
      </c>
      <c r="E108" s="23" t="s">
        <v>200</v>
      </c>
      <c r="F108" s="22" t="s">
        <v>57</v>
      </c>
      <c r="G108" s="22" t="s">
        <v>53</v>
      </c>
      <c r="H108" s="22" t="s">
        <v>30</v>
      </c>
      <c r="I108" s="22" t="s">
        <v>172</v>
      </c>
      <c r="J108" s="22" t="s">
        <v>204</v>
      </c>
      <c r="K108" s="519" t="s">
        <v>969</v>
      </c>
      <c r="L108" s="521" t="s">
        <v>1024</v>
      </c>
      <c r="M108" s="521" t="s">
        <v>1025</v>
      </c>
      <c r="N108" s="521" t="s">
        <v>815</v>
      </c>
      <c r="O108" s="22" t="s">
        <v>174</v>
      </c>
      <c r="P108" s="426">
        <v>2018</v>
      </c>
      <c r="Q108" s="414">
        <f t="shared" ca="1" si="5"/>
        <v>1229103.758879758</v>
      </c>
      <c r="R108" s="335" t="str">
        <f t="shared" ca="1" si="3"/>
        <v>N/A</v>
      </c>
      <c r="S108" s="335" t="str">
        <f t="shared" ca="1" si="4"/>
        <v>N/A</v>
      </c>
      <c r="T108" s="429" t="s">
        <v>899</v>
      </c>
      <c r="U108" s="22"/>
      <c r="V108" s="24"/>
      <c r="W108" s="21"/>
      <c r="Y108" s="490"/>
    </row>
    <row r="109" spans="1:25" ht="60">
      <c r="A109" s="31">
        <v>106</v>
      </c>
      <c r="B109" s="22" t="s">
        <v>39</v>
      </c>
      <c r="C109" s="22" t="s">
        <v>40</v>
      </c>
      <c r="D109" s="22" t="s">
        <v>170</v>
      </c>
      <c r="E109" s="23" t="s">
        <v>200</v>
      </c>
      <c r="F109" s="22" t="s">
        <v>58</v>
      </c>
      <c r="G109" s="22" t="s">
        <v>53</v>
      </c>
      <c r="H109" s="22" t="s">
        <v>30</v>
      </c>
      <c r="I109" s="22" t="s">
        <v>172</v>
      </c>
      <c r="J109" s="22" t="s">
        <v>205</v>
      </c>
      <c r="K109" s="519" t="s">
        <v>969</v>
      </c>
      <c r="L109" s="521" t="s">
        <v>1026</v>
      </c>
      <c r="M109" s="521" t="s">
        <v>1027</v>
      </c>
      <c r="N109" s="521" t="s">
        <v>815</v>
      </c>
      <c r="O109" s="22" t="s">
        <v>174</v>
      </c>
      <c r="P109" s="426">
        <v>2018</v>
      </c>
      <c r="Q109" s="414">
        <f t="shared" ca="1" si="5"/>
        <v>183358.90166458068</v>
      </c>
      <c r="R109" s="335" t="str">
        <f t="shared" ca="1" si="3"/>
        <v>N/A</v>
      </c>
      <c r="S109" s="335" t="str">
        <f t="shared" ca="1" si="4"/>
        <v>N/A</v>
      </c>
      <c r="T109" s="429" t="s">
        <v>899</v>
      </c>
      <c r="U109" s="22" t="str">
        <f>Definitions!C$21</f>
        <v>AL 3826. Natural gas supplied through a single meter to common facilities only, will be billed under rates GM-C, GM-BC or GM-BCC, as appropriate.</v>
      </c>
      <c r="V109" s="24"/>
      <c r="W109" s="21"/>
      <c r="Y109" s="490"/>
    </row>
    <row r="110" spans="1:25" ht="60">
      <c r="A110" s="31">
        <v>107</v>
      </c>
      <c r="B110" s="22" t="s">
        <v>39</v>
      </c>
      <c r="C110" s="22" t="s">
        <v>40</v>
      </c>
      <c r="D110" s="22" t="s">
        <v>170</v>
      </c>
      <c r="E110" s="23" t="s">
        <v>200</v>
      </c>
      <c r="F110" s="22" t="s">
        <v>60</v>
      </c>
      <c r="G110" s="22" t="s">
        <v>53</v>
      </c>
      <c r="H110" s="22" t="s">
        <v>30</v>
      </c>
      <c r="I110" s="22" t="s">
        <v>172</v>
      </c>
      <c r="J110" s="22" t="s">
        <v>206</v>
      </c>
      <c r="K110" s="519" t="s">
        <v>969</v>
      </c>
      <c r="L110" s="521" t="s">
        <v>1028</v>
      </c>
      <c r="M110" s="521" t="s">
        <v>1029</v>
      </c>
      <c r="N110" s="521" t="s">
        <v>815</v>
      </c>
      <c r="O110" s="22" t="s">
        <v>174</v>
      </c>
      <c r="P110" s="426">
        <v>2018</v>
      </c>
      <c r="Q110" s="414">
        <f t="shared" ca="1" si="5"/>
        <v>114802.08959769846</v>
      </c>
      <c r="R110" s="335" t="str">
        <f t="shared" ca="1" si="3"/>
        <v>N/A</v>
      </c>
      <c r="S110" s="335" t="str">
        <f t="shared" ca="1" si="4"/>
        <v>N/A</v>
      </c>
      <c r="T110" s="429" t="s">
        <v>899</v>
      </c>
      <c r="U110" s="22" t="str">
        <f>Definitions!C$21</f>
        <v>AL 3826. Natural gas supplied through a single meter to common facilities only, will be billed under rates GM-C, GM-BC or GM-BCC, as appropriate.</v>
      </c>
      <c r="V110" s="24"/>
      <c r="W110" s="21"/>
      <c r="Y110" s="490"/>
    </row>
    <row r="111" spans="1:25" ht="60">
      <c r="A111" s="31">
        <v>108</v>
      </c>
      <c r="B111" s="22" t="s">
        <v>39</v>
      </c>
      <c r="C111" s="22" t="s">
        <v>40</v>
      </c>
      <c r="D111" s="22" t="s">
        <v>170</v>
      </c>
      <c r="E111" s="23" t="s">
        <v>200</v>
      </c>
      <c r="F111" s="22" t="s">
        <v>61</v>
      </c>
      <c r="G111" s="22" t="s">
        <v>53</v>
      </c>
      <c r="H111" s="22" t="s">
        <v>30</v>
      </c>
      <c r="I111" s="22" t="s">
        <v>172</v>
      </c>
      <c r="J111" s="22" t="s">
        <v>207</v>
      </c>
      <c r="K111" s="519" t="s">
        <v>969</v>
      </c>
      <c r="L111" s="521" t="s">
        <v>1030</v>
      </c>
      <c r="M111" s="521" t="s">
        <v>1031</v>
      </c>
      <c r="N111" s="521" t="s">
        <v>815</v>
      </c>
      <c r="O111" s="22" t="s">
        <v>174</v>
      </c>
      <c r="P111" s="426">
        <v>2018</v>
      </c>
      <c r="Q111" s="414">
        <f t="shared" ca="1" si="5"/>
        <v>3226.0769265078825</v>
      </c>
      <c r="R111" s="335" t="str">
        <f t="shared" ca="1" si="3"/>
        <v>N/A</v>
      </c>
      <c r="S111" s="335" t="str">
        <f t="shared" ca="1" si="4"/>
        <v>N/A</v>
      </c>
      <c r="T111" s="429" t="s">
        <v>899</v>
      </c>
      <c r="U111" s="22"/>
      <c r="V111" s="24"/>
      <c r="W111" s="21"/>
      <c r="Y111" s="490"/>
    </row>
    <row r="112" spans="1:25" ht="60">
      <c r="A112" s="31">
        <v>109</v>
      </c>
      <c r="B112" s="22" t="s">
        <v>39</v>
      </c>
      <c r="C112" s="22" t="s">
        <v>40</v>
      </c>
      <c r="D112" s="22" t="s">
        <v>170</v>
      </c>
      <c r="E112" s="23" t="s">
        <v>200</v>
      </c>
      <c r="F112" s="22" t="s">
        <v>62</v>
      </c>
      <c r="G112" s="22" t="s">
        <v>53</v>
      </c>
      <c r="H112" s="22" t="s">
        <v>30</v>
      </c>
      <c r="I112" s="22" t="s">
        <v>172</v>
      </c>
      <c r="J112" s="22" t="s">
        <v>208</v>
      </c>
      <c r="K112" s="519" t="s">
        <v>969</v>
      </c>
      <c r="L112" s="521" t="s">
        <v>1032</v>
      </c>
      <c r="M112" s="521" t="s">
        <v>1033</v>
      </c>
      <c r="N112" s="521" t="s">
        <v>815</v>
      </c>
      <c r="O112" s="22" t="s">
        <v>174</v>
      </c>
      <c r="P112" s="426">
        <v>2018</v>
      </c>
      <c r="Q112" s="414">
        <f t="shared" ca="1" si="5"/>
        <v>2224.0404643668626</v>
      </c>
      <c r="R112" s="335" t="str">
        <f t="shared" ca="1" si="3"/>
        <v>N/A</v>
      </c>
      <c r="S112" s="335" t="str">
        <f t="shared" ca="1" si="4"/>
        <v>N/A</v>
      </c>
      <c r="T112" s="429" t="s">
        <v>899</v>
      </c>
      <c r="U112" s="22"/>
      <c r="V112" s="24"/>
      <c r="W112" s="21"/>
      <c r="Y112" s="490"/>
    </row>
    <row r="113" spans="1:25" ht="60">
      <c r="A113" s="31">
        <v>110</v>
      </c>
      <c r="B113" s="22" t="s">
        <v>39</v>
      </c>
      <c r="C113" s="22" t="s">
        <v>40</v>
      </c>
      <c r="D113" s="22" t="s">
        <v>170</v>
      </c>
      <c r="E113" s="23" t="s">
        <v>200</v>
      </c>
      <c r="F113" s="22" t="s">
        <v>63</v>
      </c>
      <c r="G113" s="22" t="s">
        <v>53</v>
      </c>
      <c r="H113" s="22" t="s">
        <v>30</v>
      </c>
      <c r="I113" s="22" t="s">
        <v>172</v>
      </c>
      <c r="J113" s="22" t="s">
        <v>209</v>
      </c>
      <c r="K113" s="519" t="s">
        <v>969</v>
      </c>
      <c r="L113" s="521" t="s">
        <v>1034</v>
      </c>
      <c r="M113" s="521" t="s">
        <v>1035</v>
      </c>
      <c r="N113" s="521" t="s">
        <v>815</v>
      </c>
      <c r="O113" s="22" t="s">
        <v>174</v>
      </c>
      <c r="P113" s="426">
        <v>2018</v>
      </c>
      <c r="Q113" s="414">
        <f t="shared" ca="1" si="5"/>
        <v>15192873.811917851</v>
      </c>
      <c r="R113" s="335" t="str">
        <f t="shared" ca="1" si="3"/>
        <v>N/A</v>
      </c>
      <c r="S113" s="335" t="str">
        <f t="shared" ca="1" si="4"/>
        <v>N/A</v>
      </c>
      <c r="T113" s="429" t="s">
        <v>899</v>
      </c>
      <c r="U113" s="22"/>
      <c r="V113" s="24"/>
      <c r="W113" s="21"/>
      <c r="Y113" s="490"/>
    </row>
    <row r="114" spans="1:25" ht="60">
      <c r="A114" s="31">
        <v>111</v>
      </c>
      <c r="B114" s="22" t="s">
        <v>39</v>
      </c>
      <c r="C114" s="22" t="s">
        <v>40</v>
      </c>
      <c r="D114" s="22" t="s">
        <v>170</v>
      </c>
      <c r="E114" s="23" t="s">
        <v>200</v>
      </c>
      <c r="F114" s="22" t="s">
        <v>64</v>
      </c>
      <c r="G114" s="22" t="s">
        <v>53</v>
      </c>
      <c r="H114" s="22" t="s">
        <v>30</v>
      </c>
      <c r="I114" s="22" t="s">
        <v>172</v>
      </c>
      <c r="J114" s="22" t="s">
        <v>210</v>
      </c>
      <c r="K114" s="519" t="s">
        <v>969</v>
      </c>
      <c r="L114" s="521" t="s">
        <v>1036</v>
      </c>
      <c r="M114" s="521" t="s">
        <v>1037</v>
      </c>
      <c r="N114" s="521" t="s">
        <v>815</v>
      </c>
      <c r="O114" s="22" t="s">
        <v>174</v>
      </c>
      <c r="P114" s="426">
        <v>2018</v>
      </c>
      <c r="Q114" s="414">
        <f t="shared" ca="1" si="5"/>
        <v>9857099.3366330154</v>
      </c>
      <c r="R114" s="335" t="str">
        <f t="shared" ca="1" si="3"/>
        <v>N/A</v>
      </c>
      <c r="S114" s="335" t="str">
        <f t="shared" ca="1" si="4"/>
        <v>N/A</v>
      </c>
      <c r="T114" s="429" t="s">
        <v>899</v>
      </c>
      <c r="U114" s="22"/>
      <c r="V114" s="24"/>
      <c r="W114" s="21"/>
      <c r="Y114" s="490"/>
    </row>
    <row r="115" spans="1:25" ht="60">
      <c r="A115" s="31">
        <v>112</v>
      </c>
      <c r="B115" s="22" t="s">
        <v>39</v>
      </c>
      <c r="C115" s="22" t="s">
        <v>40</v>
      </c>
      <c r="D115" s="22" t="s">
        <v>170</v>
      </c>
      <c r="E115" s="23" t="s">
        <v>200</v>
      </c>
      <c r="F115" s="22" t="s">
        <v>65</v>
      </c>
      <c r="G115" s="22" t="s">
        <v>53</v>
      </c>
      <c r="H115" s="22" t="s">
        <v>30</v>
      </c>
      <c r="I115" s="22" t="s">
        <v>172</v>
      </c>
      <c r="J115" s="22" t="s">
        <v>211</v>
      </c>
      <c r="K115" s="519" t="s">
        <v>969</v>
      </c>
      <c r="L115" s="521" t="s">
        <v>1038</v>
      </c>
      <c r="M115" s="521" t="s">
        <v>1039</v>
      </c>
      <c r="N115" s="521" t="s">
        <v>815</v>
      </c>
      <c r="O115" s="22" t="s">
        <v>174</v>
      </c>
      <c r="P115" s="426">
        <v>2018</v>
      </c>
      <c r="Q115" s="414">
        <f t="shared" ca="1" si="5"/>
        <v>2695915.4186337399</v>
      </c>
      <c r="R115" s="335" t="str">
        <f t="shared" ca="1" si="3"/>
        <v>N/A</v>
      </c>
      <c r="S115" s="335" t="str">
        <f t="shared" ca="1" si="4"/>
        <v>N/A</v>
      </c>
      <c r="T115" s="429" t="s">
        <v>899</v>
      </c>
      <c r="U115" s="22" t="str">
        <f>Definitions!C$21</f>
        <v>AL 3826. Natural gas supplied through a single meter to common facilities only, will be billed under rates GM-C, GM-BC or GM-BCC, as appropriate.</v>
      </c>
      <c r="V115" s="24"/>
      <c r="W115" s="21"/>
      <c r="Y115" s="490"/>
    </row>
    <row r="116" spans="1:25" ht="60">
      <c r="A116" s="31">
        <v>113</v>
      </c>
      <c r="B116" s="22" t="s">
        <v>39</v>
      </c>
      <c r="C116" s="22" t="s">
        <v>40</v>
      </c>
      <c r="D116" s="22" t="s">
        <v>170</v>
      </c>
      <c r="E116" s="23" t="s">
        <v>200</v>
      </c>
      <c r="F116" s="22" t="s">
        <v>66</v>
      </c>
      <c r="G116" s="22" t="s">
        <v>53</v>
      </c>
      <c r="H116" s="22" t="s">
        <v>30</v>
      </c>
      <c r="I116" s="22" t="s">
        <v>172</v>
      </c>
      <c r="J116" s="22" t="s">
        <v>212</v>
      </c>
      <c r="K116" s="519" t="s">
        <v>969</v>
      </c>
      <c r="L116" s="521" t="s">
        <v>1040</v>
      </c>
      <c r="M116" s="521" t="s">
        <v>1041</v>
      </c>
      <c r="N116" s="521" t="s">
        <v>815</v>
      </c>
      <c r="O116" s="22" t="s">
        <v>174</v>
      </c>
      <c r="P116" s="426">
        <v>2018</v>
      </c>
      <c r="Q116" s="414">
        <f t="shared" ca="1" si="5"/>
        <v>1668568.3275053771</v>
      </c>
      <c r="R116" s="335" t="str">
        <f t="shared" ca="1" si="3"/>
        <v>N/A</v>
      </c>
      <c r="S116" s="335" t="str">
        <f t="shared" ca="1" si="4"/>
        <v>N/A</v>
      </c>
      <c r="T116" s="429" t="s">
        <v>899</v>
      </c>
      <c r="U116" s="22" t="str">
        <f>Definitions!C$21</f>
        <v>AL 3826. Natural gas supplied through a single meter to common facilities only, will be billed under rates GM-C, GM-BC or GM-BCC, as appropriate.</v>
      </c>
      <c r="V116" s="24"/>
      <c r="W116" s="21"/>
      <c r="Y116" s="490"/>
    </row>
    <row r="117" spans="1:25" ht="30">
      <c r="A117" s="31">
        <v>114</v>
      </c>
      <c r="B117" s="22" t="s">
        <v>39</v>
      </c>
      <c r="C117" s="22" t="s">
        <v>40</v>
      </c>
      <c r="D117" s="22" t="s">
        <v>213</v>
      </c>
      <c r="E117" s="23" t="s">
        <v>42</v>
      </c>
      <c r="F117" s="22" t="s">
        <v>43</v>
      </c>
      <c r="G117" s="22" t="s">
        <v>44</v>
      </c>
      <c r="H117" s="22" t="s">
        <v>30</v>
      </c>
      <c r="I117" s="22" t="s">
        <v>214</v>
      </c>
      <c r="J117" s="19" t="s">
        <v>46</v>
      </c>
      <c r="K117" s="519" t="s">
        <v>969</v>
      </c>
      <c r="L117" s="521" t="s">
        <v>1042</v>
      </c>
      <c r="M117" s="521" t="s">
        <v>1043</v>
      </c>
      <c r="N117" s="521" t="s">
        <v>815</v>
      </c>
      <c r="O117" s="22" t="s">
        <v>174</v>
      </c>
      <c r="P117" s="426">
        <v>2018</v>
      </c>
      <c r="Q117" s="414">
        <f t="shared" ca="1" si="5"/>
        <v>2092.4401557868309</v>
      </c>
      <c r="R117" s="335" t="str">
        <f t="shared" ca="1" si="3"/>
        <v>N/A</v>
      </c>
      <c r="S117" s="335" t="str">
        <f t="shared" ca="1" si="4"/>
        <v>N/A</v>
      </c>
      <c r="T117" s="429" t="s">
        <v>48</v>
      </c>
      <c r="U117" s="22" t="s">
        <v>215</v>
      </c>
      <c r="V117" s="24"/>
      <c r="W117" s="21"/>
      <c r="Y117" s="490"/>
    </row>
    <row r="118" spans="1:25" ht="45">
      <c r="A118" s="31">
        <v>115</v>
      </c>
      <c r="B118" s="22" t="s">
        <v>39</v>
      </c>
      <c r="C118" s="22" t="s">
        <v>216</v>
      </c>
      <c r="D118" s="22" t="s">
        <v>217</v>
      </c>
      <c r="E118" s="23" t="s">
        <v>218</v>
      </c>
      <c r="F118" s="22" t="s">
        <v>108</v>
      </c>
      <c r="G118" s="22" t="s">
        <v>219</v>
      </c>
      <c r="H118" s="22" t="s">
        <v>30</v>
      </c>
      <c r="I118" s="22" t="s">
        <v>220</v>
      </c>
      <c r="J118" s="22" t="s">
        <v>221</v>
      </c>
      <c r="K118" s="519" t="s">
        <v>969</v>
      </c>
      <c r="L118" s="521" t="s">
        <v>1044</v>
      </c>
      <c r="M118" s="521" t="s">
        <v>1045</v>
      </c>
      <c r="N118" s="521" t="s">
        <v>885</v>
      </c>
      <c r="O118" s="22" t="s">
        <v>174</v>
      </c>
      <c r="P118" s="426">
        <v>2018</v>
      </c>
      <c r="Q118" s="414">
        <f t="shared" ca="1" si="5"/>
        <v>2.3069873997709047</v>
      </c>
      <c r="R118" s="335">
        <f t="shared" ca="1" si="3"/>
        <v>0</v>
      </c>
      <c r="S118" s="335">
        <f t="shared" ca="1" si="4"/>
        <v>0</v>
      </c>
      <c r="T118" s="429"/>
      <c r="U118" s="22"/>
      <c r="V118" s="24"/>
      <c r="W118" s="21"/>
      <c r="Y118" s="490"/>
    </row>
    <row r="119" spans="1:25" ht="45">
      <c r="A119" s="31">
        <v>116</v>
      </c>
      <c r="B119" s="22" t="s">
        <v>39</v>
      </c>
      <c r="C119" s="22" t="s">
        <v>216</v>
      </c>
      <c r="D119" s="22" t="s">
        <v>217</v>
      </c>
      <c r="E119" s="23" t="s">
        <v>218</v>
      </c>
      <c r="F119" s="22" t="s">
        <v>112</v>
      </c>
      <c r="G119" s="22" t="s">
        <v>219</v>
      </c>
      <c r="H119" s="22" t="s">
        <v>30</v>
      </c>
      <c r="I119" s="22" t="s">
        <v>220</v>
      </c>
      <c r="J119" s="22" t="s">
        <v>222</v>
      </c>
      <c r="K119" s="519" t="s">
        <v>969</v>
      </c>
      <c r="L119" s="521" t="s">
        <v>1046</v>
      </c>
      <c r="M119" s="521" t="s">
        <v>1047</v>
      </c>
      <c r="N119" s="521" t="s">
        <v>885</v>
      </c>
      <c r="O119" s="22" t="s">
        <v>174</v>
      </c>
      <c r="P119" s="426">
        <v>2018</v>
      </c>
      <c r="Q119" s="414">
        <f t="shared" ca="1" si="5"/>
        <v>11554.678835533767</v>
      </c>
      <c r="R119" s="335">
        <f t="shared" ca="1" si="3"/>
        <v>0</v>
      </c>
      <c r="S119" s="335">
        <f t="shared" ca="1" si="4"/>
        <v>0</v>
      </c>
      <c r="T119" s="429"/>
      <c r="U119" s="22"/>
      <c r="V119" s="24"/>
      <c r="W119" s="21"/>
      <c r="Y119" s="490"/>
    </row>
    <row r="120" spans="1:25" ht="90">
      <c r="A120" s="31">
        <v>117</v>
      </c>
      <c r="B120" s="22" t="s">
        <v>39</v>
      </c>
      <c r="C120" s="22" t="s">
        <v>216</v>
      </c>
      <c r="D120" s="22" t="s">
        <v>217</v>
      </c>
      <c r="E120" s="23" t="s">
        <v>218</v>
      </c>
      <c r="F120" s="22" t="s">
        <v>114</v>
      </c>
      <c r="G120" s="22" t="s">
        <v>219</v>
      </c>
      <c r="H120" s="22" t="s">
        <v>30</v>
      </c>
      <c r="I120" s="22" t="s">
        <v>220</v>
      </c>
      <c r="J120" s="22" t="s">
        <v>223</v>
      </c>
      <c r="K120" s="519" t="s">
        <v>969</v>
      </c>
      <c r="L120" s="521" t="s">
        <v>1048</v>
      </c>
      <c r="M120" s="521" t="s">
        <v>1049</v>
      </c>
      <c r="N120" s="521" t="s">
        <v>885</v>
      </c>
      <c r="O120" s="22" t="s">
        <v>174</v>
      </c>
      <c r="P120" s="426">
        <v>2018</v>
      </c>
      <c r="Q120" s="414">
        <f t="shared" ca="1" si="5"/>
        <v>1012.8361450994053</v>
      </c>
      <c r="R120" s="335">
        <f t="shared" ca="1" si="3"/>
        <v>0</v>
      </c>
      <c r="S120" s="335">
        <f t="shared" ca="1" si="4"/>
        <v>0</v>
      </c>
      <c r="T120" s="429" t="s">
        <v>224</v>
      </c>
      <c r="U120" s="22" t="s">
        <v>225</v>
      </c>
      <c r="V120" s="24"/>
      <c r="W120" s="21"/>
      <c r="Y120" s="490"/>
    </row>
    <row r="121" spans="1:25" ht="45">
      <c r="A121" s="31">
        <v>118</v>
      </c>
      <c r="B121" s="22" t="s">
        <v>39</v>
      </c>
      <c r="C121" s="22" t="s">
        <v>216</v>
      </c>
      <c r="D121" s="22" t="s">
        <v>217</v>
      </c>
      <c r="E121" s="23" t="s">
        <v>226</v>
      </c>
      <c r="F121" s="22" t="s">
        <v>108</v>
      </c>
      <c r="G121" s="22" t="s">
        <v>227</v>
      </c>
      <c r="H121" s="22" t="s">
        <v>30</v>
      </c>
      <c r="I121" s="22" t="s">
        <v>228</v>
      </c>
      <c r="J121" s="101" t="s">
        <v>229</v>
      </c>
      <c r="K121" s="519" t="s">
        <v>969</v>
      </c>
      <c r="L121" s="521" t="s">
        <v>1050</v>
      </c>
      <c r="M121" s="521" t="s">
        <v>1051</v>
      </c>
      <c r="N121" s="521" t="s">
        <v>885</v>
      </c>
      <c r="O121" s="22" t="s">
        <v>174</v>
      </c>
      <c r="P121" s="426">
        <v>2018</v>
      </c>
      <c r="Q121" s="414">
        <f t="shared" ca="1" si="5"/>
        <v>12.24668734474648</v>
      </c>
      <c r="R121" s="335">
        <f t="shared" ca="1" si="3"/>
        <v>0</v>
      </c>
      <c r="S121" s="335">
        <f t="shared" ca="1" si="4"/>
        <v>0</v>
      </c>
      <c r="T121" s="429"/>
      <c r="U121" s="22"/>
      <c r="V121" s="24"/>
      <c r="W121" s="21"/>
      <c r="Y121" s="490"/>
    </row>
    <row r="122" spans="1:25" ht="45">
      <c r="A122" s="31">
        <v>119</v>
      </c>
      <c r="B122" s="22" t="s">
        <v>39</v>
      </c>
      <c r="C122" s="22" t="s">
        <v>216</v>
      </c>
      <c r="D122" s="22" t="s">
        <v>217</v>
      </c>
      <c r="E122" s="23" t="s">
        <v>226</v>
      </c>
      <c r="F122" s="22" t="s">
        <v>112</v>
      </c>
      <c r="G122" s="22" t="s">
        <v>227</v>
      </c>
      <c r="H122" s="22" t="s">
        <v>30</v>
      </c>
      <c r="I122" s="22" t="s">
        <v>228</v>
      </c>
      <c r="J122" s="101" t="s">
        <v>230</v>
      </c>
      <c r="K122" s="519" t="s">
        <v>969</v>
      </c>
      <c r="L122" s="521" t="s">
        <v>1052</v>
      </c>
      <c r="M122" s="521" t="s">
        <v>1053</v>
      </c>
      <c r="N122" s="521" t="s">
        <v>885</v>
      </c>
      <c r="O122" s="22" t="s">
        <v>174</v>
      </c>
      <c r="P122" s="426">
        <v>2018</v>
      </c>
      <c r="Q122" s="414">
        <f t="shared" ca="1" si="5"/>
        <v>60820.487255878936</v>
      </c>
      <c r="R122" s="335">
        <f t="shared" ca="1" si="3"/>
        <v>0</v>
      </c>
      <c r="S122" s="335">
        <f t="shared" ca="1" si="4"/>
        <v>0</v>
      </c>
      <c r="T122" s="429"/>
      <c r="U122" s="22"/>
      <c r="V122" s="24"/>
      <c r="W122" s="21"/>
      <c r="Y122" s="490"/>
    </row>
    <row r="123" spans="1:25" ht="45">
      <c r="A123" s="31">
        <v>120</v>
      </c>
      <c r="B123" s="22" t="s">
        <v>39</v>
      </c>
      <c r="C123" s="22" t="s">
        <v>216</v>
      </c>
      <c r="D123" s="22" t="s">
        <v>217</v>
      </c>
      <c r="E123" s="23" t="s">
        <v>226</v>
      </c>
      <c r="F123" s="22" t="s">
        <v>114</v>
      </c>
      <c r="G123" s="22" t="s">
        <v>227</v>
      </c>
      <c r="H123" s="22" t="s">
        <v>30</v>
      </c>
      <c r="I123" s="22" t="s">
        <v>228</v>
      </c>
      <c r="J123" s="101" t="s">
        <v>231</v>
      </c>
      <c r="K123" s="519" t="s">
        <v>969</v>
      </c>
      <c r="L123" s="521" t="s">
        <v>1054</v>
      </c>
      <c r="M123" s="521" t="s">
        <v>1055</v>
      </c>
      <c r="N123" s="521" t="s">
        <v>885</v>
      </c>
      <c r="O123" s="22" t="s">
        <v>174</v>
      </c>
      <c r="P123" s="426">
        <v>2018</v>
      </c>
      <c r="Q123" s="414">
        <f t="shared" ca="1" si="5"/>
        <v>9099.5842183728782</v>
      </c>
      <c r="R123" s="335">
        <f t="shared" ca="1" si="3"/>
        <v>0</v>
      </c>
      <c r="S123" s="335">
        <f t="shared" ca="1" si="4"/>
        <v>0</v>
      </c>
      <c r="T123" s="429" t="s">
        <v>232</v>
      </c>
      <c r="U123" s="22" t="s">
        <v>233</v>
      </c>
      <c r="V123" s="24"/>
      <c r="W123" s="21"/>
      <c r="Y123" s="490"/>
    </row>
    <row r="124" spans="1:25" ht="45">
      <c r="A124" s="31">
        <v>121</v>
      </c>
      <c r="B124" s="22" t="s">
        <v>39</v>
      </c>
      <c r="C124" s="22" t="s">
        <v>216</v>
      </c>
      <c r="D124" s="22" t="s">
        <v>217</v>
      </c>
      <c r="E124" s="23" t="s">
        <v>234</v>
      </c>
      <c r="F124" s="22" t="s">
        <v>108</v>
      </c>
      <c r="G124" s="22" t="s">
        <v>235</v>
      </c>
      <c r="H124" s="22" t="s">
        <v>30</v>
      </c>
      <c r="I124" s="22" t="s">
        <v>236</v>
      </c>
      <c r="J124" s="101" t="s">
        <v>237</v>
      </c>
      <c r="K124" s="519" t="s">
        <v>969</v>
      </c>
      <c r="L124" s="521" t="s">
        <v>1056</v>
      </c>
      <c r="M124" s="521" t="s">
        <v>1057</v>
      </c>
      <c r="N124" s="521" t="s">
        <v>885</v>
      </c>
      <c r="O124" s="22" t="s">
        <v>174</v>
      </c>
      <c r="P124" s="426">
        <v>2018</v>
      </c>
      <c r="Q124" s="414">
        <f t="shared" ca="1" si="5"/>
        <v>1.4808569945279902E-2</v>
      </c>
      <c r="R124" s="335">
        <f t="shared" ca="1" si="3"/>
        <v>0</v>
      </c>
      <c r="S124" s="335">
        <f t="shared" ca="1" si="4"/>
        <v>0</v>
      </c>
      <c r="T124" s="429"/>
      <c r="U124" s="22"/>
      <c r="V124" s="24"/>
      <c r="W124" s="21"/>
      <c r="Y124" s="490"/>
    </row>
    <row r="125" spans="1:25" ht="45">
      <c r="A125" s="31">
        <v>122</v>
      </c>
      <c r="B125" s="22" t="s">
        <v>39</v>
      </c>
      <c r="C125" s="22" t="s">
        <v>216</v>
      </c>
      <c r="D125" s="22" t="s">
        <v>217</v>
      </c>
      <c r="E125" s="23" t="s">
        <v>234</v>
      </c>
      <c r="F125" s="22" t="s">
        <v>112</v>
      </c>
      <c r="G125" s="22" t="s">
        <v>235</v>
      </c>
      <c r="H125" s="22" t="s">
        <v>30</v>
      </c>
      <c r="I125" s="22" t="s">
        <v>236</v>
      </c>
      <c r="J125" s="101" t="s">
        <v>238</v>
      </c>
      <c r="K125" s="519" t="s">
        <v>969</v>
      </c>
      <c r="L125" s="521" t="s">
        <v>1058</v>
      </c>
      <c r="M125" s="521" t="s">
        <v>1059</v>
      </c>
      <c r="N125" s="521" t="s">
        <v>885</v>
      </c>
      <c r="O125" s="22" t="s">
        <v>174</v>
      </c>
      <c r="P125" s="426">
        <v>2018</v>
      </c>
      <c r="Q125" s="414">
        <f t="shared" ca="1" si="5"/>
        <v>73.543515424279249</v>
      </c>
      <c r="R125" s="335">
        <f t="shared" ca="1" si="3"/>
        <v>0</v>
      </c>
      <c r="S125" s="335">
        <f t="shared" ca="1" si="4"/>
        <v>0</v>
      </c>
      <c r="T125" s="429"/>
      <c r="U125" s="22"/>
      <c r="V125" s="24"/>
      <c r="W125" s="21"/>
      <c r="Y125" s="490"/>
    </row>
    <row r="126" spans="1:25" ht="45">
      <c r="A126" s="31">
        <v>123</v>
      </c>
      <c r="B126" s="22" t="s">
        <v>39</v>
      </c>
      <c r="C126" s="22" t="s">
        <v>216</v>
      </c>
      <c r="D126" s="22" t="s">
        <v>217</v>
      </c>
      <c r="E126" s="23" t="s">
        <v>234</v>
      </c>
      <c r="F126" s="22" t="s">
        <v>114</v>
      </c>
      <c r="G126" s="22" t="s">
        <v>235</v>
      </c>
      <c r="H126" s="22" t="s">
        <v>30</v>
      </c>
      <c r="I126" s="22" t="s">
        <v>236</v>
      </c>
      <c r="J126" s="101" t="s">
        <v>239</v>
      </c>
      <c r="K126" s="519" t="s">
        <v>969</v>
      </c>
      <c r="L126" s="521" t="s">
        <v>1060</v>
      </c>
      <c r="M126" s="521" t="s">
        <v>1061</v>
      </c>
      <c r="N126" s="521" t="s">
        <v>885</v>
      </c>
      <c r="O126" s="22" t="s">
        <v>174</v>
      </c>
      <c r="P126" s="426">
        <v>2018</v>
      </c>
      <c r="Q126" s="414">
        <f t="shared" ca="1" si="5"/>
        <v>11.003124810608076</v>
      </c>
      <c r="R126" s="335">
        <f t="shared" ca="1" si="3"/>
        <v>0</v>
      </c>
      <c r="S126" s="335">
        <f t="shared" ca="1" si="4"/>
        <v>0</v>
      </c>
      <c r="T126" s="429" t="s">
        <v>240</v>
      </c>
      <c r="U126" s="22" t="s">
        <v>117</v>
      </c>
      <c r="V126" s="24"/>
      <c r="W126" s="21"/>
      <c r="Y126" s="490"/>
    </row>
    <row r="127" spans="1:25" ht="75">
      <c r="A127" s="31">
        <v>124</v>
      </c>
      <c r="B127" s="22" t="s">
        <v>39</v>
      </c>
      <c r="C127" s="22" t="s">
        <v>216</v>
      </c>
      <c r="D127" s="22" t="s">
        <v>241</v>
      </c>
      <c r="E127" s="23" t="s">
        <v>242</v>
      </c>
      <c r="F127" s="22" t="s">
        <v>142</v>
      </c>
      <c r="G127" s="22" t="s">
        <v>143</v>
      </c>
      <c r="H127" s="22" t="s">
        <v>30</v>
      </c>
      <c r="I127" s="22" t="s">
        <v>243</v>
      </c>
      <c r="J127" s="22" t="s">
        <v>244</v>
      </c>
      <c r="K127" s="519" t="s">
        <v>969</v>
      </c>
      <c r="L127" s="521" t="s">
        <v>1062</v>
      </c>
      <c r="M127" s="521" t="s">
        <v>1063</v>
      </c>
      <c r="N127" s="521" t="s">
        <v>885</v>
      </c>
      <c r="O127" s="22" t="s">
        <v>174</v>
      </c>
      <c r="P127" s="426">
        <v>2018</v>
      </c>
      <c r="Q127" s="533">
        <f t="shared" ca="1" si="5"/>
        <v>3.4948027582373115E-4</v>
      </c>
      <c r="R127" s="335">
        <f t="shared" ca="1" si="3"/>
        <v>0</v>
      </c>
      <c r="S127" s="335">
        <f t="shared" ca="1" si="4"/>
        <v>0</v>
      </c>
      <c r="T127" s="429" t="s">
        <v>245</v>
      </c>
      <c r="U127" s="22" t="s">
        <v>246</v>
      </c>
      <c r="V127" s="24"/>
      <c r="W127" s="21"/>
      <c r="Y127" s="490"/>
    </row>
    <row r="128" spans="1:25" ht="75">
      <c r="A128" s="31">
        <v>125</v>
      </c>
      <c r="B128" s="22" t="s">
        <v>39</v>
      </c>
      <c r="C128" s="22" t="s">
        <v>216</v>
      </c>
      <c r="D128" s="22" t="s">
        <v>241</v>
      </c>
      <c r="E128" s="23" t="s">
        <v>247</v>
      </c>
      <c r="F128" s="22" t="s">
        <v>142</v>
      </c>
      <c r="G128" s="22" t="s">
        <v>143</v>
      </c>
      <c r="H128" s="22" t="s">
        <v>30</v>
      </c>
      <c r="I128" s="22" t="s">
        <v>248</v>
      </c>
      <c r="J128" s="22" t="s">
        <v>249</v>
      </c>
      <c r="K128" s="519" t="s">
        <v>969</v>
      </c>
      <c r="L128" s="521" t="s">
        <v>1064</v>
      </c>
      <c r="M128" s="521" t="s">
        <v>1065</v>
      </c>
      <c r="N128" s="521" t="s">
        <v>885</v>
      </c>
      <c r="O128" s="22" t="s">
        <v>174</v>
      </c>
      <c r="P128" s="426">
        <v>2018</v>
      </c>
      <c r="Q128" s="533">
        <f t="shared" ca="1" si="5"/>
        <v>8.2360588010079149E-5</v>
      </c>
      <c r="R128" s="335">
        <f t="shared" ca="1" si="3"/>
        <v>0</v>
      </c>
      <c r="S128" s="335">
        <f t="shared" ca="1" si="4"/>
        <v>0</v>
      </c>
      <c r="T128" s="429" t="s">
        <v>250</v>
      </c>
      <c r="U128" s="22" t="s">
        <v>251</v>
      </c>
      <c r="V128" s="24"/>
      <c r="W128" s="21"/>
      <c r="Y128" s="490"/>
    </row>
    <row r="129" spans="1:25" ht="75">
      <c r="A129" s="31">
        <v>126</v>
      </c>
      <c r="B129" s="22" t="s">
        <v>39</v>
      </c>
      <c r="C129" s="22" t="s">
        <v>216</v>
      </c>
      <c r="D129" s="22" t="s">
        <v>241</v>
      </c>
      <c r="E129" s="23" t="s">
        <v>252</v>
      </c>
      <c r="F129" s="22" t="s">
        <v>142</v>
      </c>
      <c r="G129" s="22" t="s">
        <v>253</v>
      </c>
      <c r="H129" s="22" t="s">
        <v>30</v>
      </c>
      <c r="I129" s="22" t="s">
        <v>254</v>
      </c>
      <c r="J129" s="22" t="s">
        <v>255</v>
      </c>
      <c r="K129" s="519" t="s">
        <v>969</v>
      </c>
      <c r="L129" s="521" t="s">
        <v>1066</v>
      </c>
      <c r="M129" s="521" t="s">
        <v>1067</v>
      </c>
      <c r="N129" s="521" t="s">
        <v>885</v>
      </c>
      <c r="O129" s="22" t="s">
        <v>174</v>
      </c>
      <c r="P129" s="426">
        <v>2018</v>
      </c>
      <c r="Q129" s="533">
        <f t="shared" ca="1" si="5"/>
        <v>8.2360588010079149E-5</v>
      </c>
      <c r="R129" s="335">
        <f t="shared" ca="1" si="3"/>
        <v>0</v>
      </c>
      <c r="S129" s="335">
        <f t="shared" ca="1" si="4"/>
        <v>0</v>
      </c>
      <c r="T129" s="429" t="s">
        <v>256</v>
      </c>
      <c r="U129" s="22"/>
      <c r="V129" s="24"/>
      <c r="W129" s="21"/>
      <c r="Y129" s="490"/>
    </row>
    <row r="130" spans="1:25" ht="60">
      <c r="A130" s="31">
        <v>127</v>
      </c>
      <c r="B130" s="22" t="s">
        <v>39</v>
      </c>
      <c r="C130" s="22" t="s">
        <v>216</v>
      </c>
      <c r="D130" s="22" t="s">
        <v>241</v>
      </c>
      <c r="E130" s="23" t="s">
        <v>257</v>
      </c>
      <c r="F130" s="22" t="s">
        <v>142</v>
      </c>
      <c r="G130" s="22" t="s">
        <v>149</v>
      </c>
      <c r="H130" s="22" t="s">
        <v>30</v>
      </c>
      <c r="I130" s="22" t="s">
        <v>258</v>
      </c>
      <c r="J130" s="22" t="s">
        <v>151</v>
      </c>
      <c r="K130" s="519" t="s">
        <v>969</v>
      </c>
      <c r="L130" s="521" t="s">
        <v>1068</v>
      </c>
      <c r="M130" s="521" t="s">
        <v>1069</v>
      </c>
      <c r="N130" s="521" t="s">
        <v>885</v>
      </c>
      <c r="O130" s="22" t="s">
        <v>174</v>
      </c>
      <c r="P130" s="426">
        <v>2018</v>
      </c>
      <c r="Q130" s="533">
        <f t="shared" ca="1" si="5"/>
        <v>2.6106252447461169E-4</v>
      </c>
      <c r="R130" s="335">
        <f t="shared" ca="1" si="3"/>
        <v>0</v>
      </c>
      <c r="S130" s="335">
        <f t="shared" ca="1" si="4"/>
        <v>0</v>
      </c>
      <c r="T130" s="429" t="s">
        <v>259</v>
      </c>
      <c r="U130" s="22" t="s">
        <v>260</v>
      </c>
      <c r="V130" s="24"/>
      <c r="W130" s="21"/>
      <c r="Y130" s="490"/>
    </row>
    <row r="131" spans="1:25" ht="90">
      <c r="A131" s="31">
        <v>128</v>
      </c>
      <c r="B131" s="22" t="s">
        <v>39</v>
      </c>
      <c r="C131" s="22" t="s">
        <v>216</v>
      </c>
      <c r="D131" s="22" t="s">
        <v>241</v>
      </c>
      <c r="E131" s="23" t="s">
        <v>261</v>
      </c>
      <c r="F131" s="22" t="s">
        <v>142</v>
      </c>
      <c r="G131" s="22" t="s">
        <v>154</v>
      </c>
      <c r="H131" s="22" t="s">
        <v>30</v>
      </c>
      <c r="I131" s="22" t="s">
        <v>262</v>
      </c>
      <c r="J131" s="22" t="s">
        <v>263</v>
      </c>
      <c r="K131" s="519" t="s">
        <v>969</v>
      </c>
      <c r="L131" s="521" t="s">
        <v>1070</v>
      </c>
      <c r="M131" s="521" t="s">
        <v>1071</v>
      </c>
      <c r="N131" s="521" t="s">
        <v>885</v>
      </c>
      <c r="O131" s="22" t="s">
        <v>174</v>
      </c>
      <c r="P131" s="426">
        <v>2018</v>
      </c>
      <c r="Q131" s="533">
        <f t="shared" ca="1" si="5"/>
        <v>1.0761366693570084E-4</v>
      </c>
      <c r="R131" s="335">
        <f t="shared" ref="R131:R194" ca="1" si="6">IF($N131 = "N","N/A",SUMIF(INDIRECT("'"&amp;K131&amp;"'!i:i"),L131,INDIRECT("'"&amp;K131&amp;"'!m:m")))</f>
        <v>0</v>
      </c>
      <c r="S131" s="335">
        <f t="shared" ref="S131:S194" ca="1" si="7">IF($N131 = "N","N/A",SUMIF(INDIRECT("'"&amp;K131&amp;"'!i:i"),M131,INDIRECT("'"&amp;K131&amp;"'!m:m")))</f>
        <v>0</v>
      </c>
      <c r="T131" s="429" t="s">
        <v>157</v>
      </c>
      <c r="U131"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31" s="24"/>
      <c r="W131" s="21"/>
      <c r="Y131" s="490"/>
    </row>
    <row r="132" spans="1:25" ht="60">
      <c r="A132" s="31">
        <v>129</v>
      </c>
      <c r="B132" s="22" t="s">
        <v>39</v>
      </c>
      <c r="C132" s="22" t="s">
        <v>216</v>
      </c>
      <c r="D132" s="22" t="s">
        <v>264</v>
      </c>
      <c r="E132" s="23" t="s">
        <v>265</v>
      </c>
      <c r="F132" s="22" t="s">
        <v>142</v>
      </c>
      <c r="G132" s="22" t="s">
        <v>266</v>
      </c>
      <c r="H132" s="22" t="s">
        <v>30</v>
      </c>
      <c r="I132" s="22" t="s">
        <v>267</v>
      </c>
      <c r="J132" s="22" t="s">
        <v>268</v>
      </c>
      <c r="K132" s="519" t="s">
        <v>969</v>
      </c>
      <c r="L132" s="521" t="s">
        <v>1072</v>
      </c>
      <c r="M132" s="521" t="s">
        <v>1073</v>
      </c>
      <c r="N132" s="521" t="s">
        <v>885</v>
      </c>
      <c r="O132" s="22" t="s">
        <v>174</v>
      </c>
      <c r="P132" s="426">
        <v>2018</v>
      </c>
      <c r="Q132" s="533">
        <f t="shared" ref="Q132:Q195" ca="1" si="8">SUMIF(INDIRECT("'"&amp;K132&amp;"'!c:c"),A132,INDIRECT("'"&amp;K132&amp;"'!f:f"))</f>
        <v>4.7545172476729333E-2</v>
      </c>
      <c r="R132" s="335">
        <f t="shared" ca="1" si="6"/>
        <v>0</v>
      </c>
      <c r="S132" s="335">
        <f t="shared" ca="1" si="7"/>
        <v>0</v>
      </c>
      <c r="T132" s="429" t="s">
        <v>269</v>
      </c>
      <c r="U132" s="22"/>
      <c r="V132" s="24"/>
      <c r="W132" s="21"/>
      <c r="Y132" s="490"/>
    </row>
    <row r="133" spans="1:25" ht="30">
      <c r="A133" s="31">
        <v>130</v>
      </c>
      <c r="B133" s="22" t="s">
        <v>39</v>
      </c>
      <c r="C133" s="22" t="s">
        <v>216</v>
      </c>
      <c r="D133" s="22" t="s">
        <v>264</v>
      </c>
      <c r="E133" s="23" t="s">
        <v>270</v>
      </c>
      <c r="F133" s="22" t="s">
        <v>142</v>
      </c>
      <c r="G133" s="22" t="s">
        <v>271</v>
      </c>
      <c r="H133" s="22" t="s">
        <v>30</v>
      </c>
      <c r="I133" s="22" t="s">
        <v>272</v>
      </c>
      <c r="J133" s="22" t="s">
        <v>273</v>
      </c>
      <c r="K133" s="519" t="s">
        <v>969</v>
      </c>
      <c r="L133" s="521" t="s">
        <v>1074</v>
      </c>
      <c r="M133" s="521" t="s">
        <v>1075</v>
      </c>
      <c r="N133" s="521" t="s">
        <v>885</v>
      </c>
      <c r="O133" s="22" t="s">
        <v>174</v>
      </c>
      <c r="P133" s="426">
        <v>2018</v>
      </c>
      <c r="Q133" s="533">
        <f t="shared" ca="1" si="8"/>
        <v>8.2892255277727075E-2</v>
      </c>
      <c r="R133" s="335">
        <f t="shared" ca="1" si="6"/>
        <v>0</v>
      </c>
      <c r="S133" s="335">
        <f t="shared" ca="1" si="7"/>
        <v>0</v>
      </c>
      <c r="T133" s="429" t="s">
        <v>274</v>
      </c>
      <c r="U133" s="22"/>
      <c r="V133" s="24"/>
      <c r="W133" s="21"/>
      <c r="Y133" s="490"/>
    </row>
    <row r="134" spans="1:25" ht="30">
      <c r="A134" s="31">
        <v>131</v>
      </c>
      <c r="B134" s="22" t="s">
        <v>39</v>
      </c>
      <c r="C134" s="22" t="s">
        <v>216</v>
      </c>
      <c r="D134" s="22" t="s">
        <v>275</v>
      </c>
      <c r="E134" s="23" t="s">
        <v>91</v>
      </c>
      <c r="F134" s="22" t="s">
        <v>92</v>
      </c>
      <c r="G134" s="22" t="s">
        <v>93</v>
      </c>
      <c r="H134" s="22" t="s">
        <v>30</v>
      </c>
      <c r="I134" s="22" t="s">
        <v>276</v>
      </c>
      <c r="J134" s="22" t="s">
        <v>92</v>
      </c>
      <c r="K134" s="519" t="s">
        <v>969</v>
      </c>
      <c r="L134" s="521" t="s">
        <v>1076</v>
      </c>
      <c r="M134" s="521" t="s">
        <v>1077</v>
      </c>
      <c r="N134" s="521" t="s">
        <v>885</v>
      </c>
      <c r="O134" s="22" t="s">
        <v>174</v>
      </c>
      <c r="P134" s="426">
        <v>2018</v>
      </c>
      <c r="Q134" s="414">
        <f t="shared" ca="1" si="8"/>
        <v>1065.2143373617291</v>
      </c>
      <c r="R134" s="335">
        <f t="shared" ca="1" si="6"/>
        <v>0</v>
      </c>
      <c r="S134" s="335">
        <f t="shared" ca="1" si="7"/>
        <v>0</v>
      </c>
      <c r="T134" s="429"/>
      <c r="U134" s="22"/>
      <c r="V134" s="24"/>
      <c r="W134" s="21"/>
      <c r="Y134" s="490"/>
    </row>
    <row r="135" spans="1:25" ht="30">
      <c r="A135" s="31">
        <v>132</v>
      </c>
      <c r="B135" s="22" t="s">
        <v>39</v>
      </c>
      <c r="C135" s="22" t="s">
        <v>216</v>
      </c>
      <c r="D135" s="22" t="s">
        <v>275</v>
      </c>
      <c r="E135" s="23" t="s">
        <v>91</v>
      </c>
      <c r="F135" s="22" t="s">
        <v>95</v>
      </c>
      <c r="G135" s="22" t="s">
        <v>93</v>
      </c>
      <c r="H135" s="22" t="s">
        <v>30</v>
      </c>
      <c r="I135" s="22" t="s">
        <v>276</v>
      </c>
      <c r="J135" s="22" t="s">
        <v>95</v>
      </c>
      <c r="K135" s="519" t="s">
        <v>969</v>
      </c>
      <c r="L135" s="521" t="s">
        <v>1078</v>
      </c>
      <c r="M135" s="521" t="s">
        <v>1079</v>
      </c>
      <c r="N135" s="521" t="s">
        <v>885</v>
      </c>
      <c r="O135" s="22" t="s">
        <v>174</v>
      </c>
      <c r="P135" s="426">
        <v>2018</v>
      </c>
      <c r="Q135" s="414">
        <f t="shared" ca="1" si="8"/>
        <v>0.21265814916531481</v>
      </c>
      <c r="R135" s="335">
        <f t="shared" ca="1" si="6"/>
        <v>0</v>
      </c>
      <c r="S135" s="335">
        <f t="shared" ca="1" si="7"/>
        <v>0</v>
      </c>
      <c r="T135" s="429"/>
      <c r="U135" s="22"/>
      <c r="V135" s="24"/>
      <c r="W135" s="21"/>
      <c r="Y135" s="490"/>
    </row>
    <row r="136" spans="1:25" ht="30">
      <c r="A136" s="31">
        <v>133</v>
      </c>
      <c r="B136" s="22" t="s">
        <v>39</v>
      </c>
      <c r="C136" s="22" t="s">
        <v>216</v>
      </c>
      <c r="D136" s="22" t="s">
        <v>275</v>
      </c>
      <c r="E136" s="23" t="s">
        <v>91</v>
      </c>
      <c r="F136" s="22" t="s">
        <v>96</v>
      </c>
      <c r="G136" s="22" t="s">
        <v>93</v>
      </c>
      <c r="H136" s="22" t="s">
        <v>30</v>
      </c>
      <c r="I136" s="22" t="s">
        <v>276</v>
      </c>
      <c r="J136" s="22" t="s">
        <v>96</v>
      </c>
      <c r="K136" s="519" t="s">
        <v>969</v>
      </c>
      <c r="L136" s="521" t="s">
        <v>1080</v>
      </c>
      <c r="M136" s="521" t="s">
        <v>1081</v>
      </c>
      <c r="N136" s="521" t="s">
        <v>885</v>
      </c>
      <c r="O136" s="22" t="s">
        <v>174</v>
      </c>
      <c r="P136" s="426">
        <v>2018</v>
      </c>
      <c r="Q136" s="414">
        <f t="shared" ca="1" si="8"/>
        <v>-5.9101710527065938</v>
      </c>
      <c r="R136" s="335">
        <f t="shared" ca="1" si="6"/>
        <v>0</v>
      </c>
      <c r="S136" s="335">
        <f t="shared" ca="1" si="7"/>
        <v>0</v>
      </c>
      <c r="T136" s="429" t="s">
        <v>48</v>
      </c>
      <c r="U136" s="22" t="s">
        <v>49</v>
      </c>
      <c r="V136" s="24"/>
      <c r="W136" s="21"/>
      <c r="Y136" s="490"/>
    </row>
    <row r="137" spans="1:25" ht="30">
      <c r="A137" s="31">
        <v>134</v>
      </c>
      <c r="B137" s="22" t="s">
        <v>39</v>
      </c>
      <c r="C137" s="22" t="s">
        <v>216</v>
      </c>
      <c r="D137" s="22" t="s">
        <v>275</v>
      </c>
      <c r="E137" s="23" t="s">
        <v>91</v>
      </c>
      <c r="F137" s="22" t="s">
        <v>97</v>
      </c>
      <c r="G137" s="22" t="s">
        <v>93</v>
      </c>
      <c r="H137" s="22" t="s">
        <v>30</v>
      </c>
      <c r="I137" s="22" t="s">
        <v>276</v>
      </c>
      <c r="J137" s="22" t="s">
        <v>97</v>
      </c>
      <c r="K137" s="519" t="s">
        <v>969</v>
      </c>
      <c r="L137" s="521" t="s">
        <v>1082</v>
      </c>
      <c r="M137" s="521" t="s">
        <v>1083</v>
      </c>
      <c r="N137" s="521" t="s">
        <v>885</v>
      </c>
      <c r="O137" s="22" t="s">
        <v>174</v>
      </c>
      <c r="P137" s="426">
        <v>2018</v>
      </c>
      <c r="Q137" s="414">
        <f t="shared" ca="1" si="8"/>
        <v>1217.9598725917929</v>
      </c>
      <c r="R137" s="335">
        <f t="shared" ca="1" si="6"/>
        <v>0</v>
      </c>
      <c r="S137" s="335">
        <f t="shared" ca="1" si="7"/>
        <v>0</v>
      </c>
      <c r="T137" s="429"/>
      <c r="U137" s="22"/>
      <c r="V137" s="24"/>
      <c r="W137" s="21"/>
      <c r="Y137" s="490"/>
    </row>
    <row r="138" spans="1:25" ht="30">
      <c r="A138" s="31">
        <v>135</v>
      </c>
      <c r="B138" s="22" t="s">
        <v>39</v>
      </c>
      <c r="C138" s="22" t="s">
        <v>216</v>
      </c>
      <c r="D138" s="22" t="s">
        <v>275</v>
      </c>
      <c r="E138" s="23" t="s">
        <v>91</v>
      </c>
      <c r="F138" s="22" t="s">
        <v>98</v>
      </c>
      <c r="G138" s="22" t="s">
        <v>93</v>
      </c>
      <c r="H138" s="22" t="s">
        <v>30</v>
      </c>
      <c r="I138" s="22" t="s">
        <v>276</v>
      </c>
      <c r="J138" s="22" t="s">
        <v>98</v>
      </c>
      <c r="K138" s="519" t="s">
        <v>969</v>
      </c>
      <c r="L138" s="521" t="s">
        <v>1084</v>
      </c>
      <c r="M138" s="521" t="s">
        <v>1085</v>
      </c>
      <c r="N138" s="521" t="s">
        <v>885</v>
      </c>
      <c r="O138" s="22" t="s">
        <v>174</v>
      </c>
      <c r="P138" s="426">
        <v>2018</v>
      </c>
      <c r="Q138" s="414">
        <f t="shared" ca="1" si="8"/>
        <v>0.24315208984559331</v>
      </c>
      <c r="R138" s="335">
        <f t="shared" ca="1" si="6"/>
        <v>0</v>
      </c>
      <c r="S138" s="335">
        <f t="shared" ca="1" si="7"/>
        <v>0</v>
      </c>
      <c r="T138" s="429"/>
      <c r="U138" s="22"/>
      <c r="V138" s="24"/>
      <c r="W138" s="21"/>
      <c r="Y138" s="490"/>
    </row>
    <row r="139" spans="1:25" ht="30">
      <c r="A139" s="31">
        <v>136</v>
      </c>
      <c r="B139" s="22" t="s">
        <v>39</v>
      </c>
      <c r="C139" s="22" t="s">
        <v>216</v>
      </c>
      <c r="D139" s="22" t="s">
        <v>275</v>
      </c>
      <c r="E139" s="23" t="s">
        <v>91</v>
      </c>
      <c r="F139" s="22" t="s">
        <v>99</v>
      </c>
      <c r="G139" s="22" t="s">
        <v>93</v>
      </c>
      <c r="H139" s="22" t="s">
        <v>30</v>
      </c>
      <c r="I139" s="22" t="s">
        <v>276</v>
      </c>
      <c r="J139" s="22" t="s">
        <v>99</v>
      </c>
      <c r="K139" s="519" t="s">
        <v>969</v>
      </c>
      <c r="L139" s="521" t="s">
        <v>1086</v>
      </c>
      <c r="M139" s="521" t="s">
        <v>1087</v>
      </c>
      <c r="N139" s="521" t="s">
        <v>885</v>
      </c>
      <c r="O139" s="22" t="s">
        <v>174</v>
      </c>
      <c r="P139" s="426">
        <v>2018</v>
      </c>
      <c r="Q139" s="414">
        <f t="shared" ca="1" si="8"/>
        <v>1.626305568224182</v>
      </c>
      <c r="R139" s="335">
        <f t="shared" ca="1" si="6"/>
        <v>0</v>
      </c>
      <c r="S139" s="335">
        <f t="shared" ca="1" si="7"/>
        <v>0</v>
      </c>
      <c r="T139" s="429" t="s">
        <v>48</v>
      </c>
      <c r="U139" s="22" t="s">
        <v>49</v>
      </c>
      <c r="V139" s="24"/>
      <c r="W139" s="21"/>
      <c r="Y139" s="490"/>
    </row>
    <row r="140" spans="1:25" ht="30">
      <c r="A140" s="31">
        <v>137</v>
      </c>
      <c r="B140" s="22" t="s">
        <v>39</v>
      </c>
      <c r="C140" s="22" t="s">
        <v>216</v>
      </c>
      <c r="D140" s="22" t="s">
        <v>277</v>
      </c>
      <c r="E140" s="23" t="s">
        <v>278</v>
      </c>
      <c r="F140" s="22" t="s">
        <v>279</v>
      </c>
      <c r="G140" s="22" t="s">
        <v>280</v>
      </c>
      <c r="H140" s="22" t="s">
        <v>164</v>
      </c>
      <c r="I140" s="22" t="s">
        <v>281</v>
      </c>
      <c r="J140" s="22" t="s">
        <v>282</v>
      </c>
      <c r="K140" s="519" t="s">
        <v>969</v>
      </c>
      <c r="L140" s="521" t="s">
        <v>1088</v>
      </c>
      <c r="M140" s="521" t="s">
        <v>1089</v>
      </c>
      <c r="N140" s="521" t="s">
        <v>885</v>
      </c>
      <c r="O140" s="22" t="s">
        <v>174</v>
      </c>
      <c r="P140" s="426">
        <v>2018</v>
      </c>
      <c r="Q140" s="414">
        <f t="shared" ca="1" si="8"/>
        <v>11337.076056072163</v>
      </c>
      <c r="R140" s="335">
        <f t="shared" ca="1" si="6"/>
        <v>0</v>
      </c>
      <c r="S140" s="335">
        <f t="shared" ca="1" si="7"/>
        <v>0</v>
      </c>
      <c r="T140" s="429" t="s">
        <v>283</v>
      </c>
      <c r="U140" s="22"/>
      <c r="V140" s="24"/>
      <c r="W140" s="21"/>
      <c r="Y140" s="490"/>
    </row>
    <row r="141" spans="1:25" ht="45">
      <c r="A141" s="31">
        <v>138</v>
      </c>
      <c r="B141" s="22" t="s">
        <v>39</v>
      </c>
      <c r="C141" s="22" t="s">
        <v>216</v>
      </c>
      <c r="D141" s="22" t="s">
        <v>277</v>
      </c>
      <c r="E141" s="23" t="s">
        <v>284</v>
      </c>
      <c r="F141" s="22" t="s">
        <v>285</v>
      </c>
      <c r="G141" s="22" t="s">
        <v>286</v>
      </c>
      <c r="H141" s="22" t="s">
        <v>164</v>
      </c>
      <c r="I141" s="22" t="s">
        <v>287</v>
      </c>
      <c r="J141" s="22" t="s">
        <v>288</v>
      </c>
      <c r="K141" s="519" t="s">
        <v>969</v>
      </c>
      <c r="L141" s="521" t="s">
        <v>1090</v>
      </c>
      <c r="M141" s="521" t="s">
        <v>1091</v>
      </c>
      <c r="N141" s="521" t="s">
        <v>885</v>
      </c>
      <c r="O141" s="22" t="s">
        <v>174</v>
      </c>
      <c r="P141" s="426">
        <v>2018</v>
      </c>
      <c r="Q141" s="414">
        <f t="shared" ca="1" si="8"/>
        <v>13.708677214113861</v>
      </c>
      <c r="R141" s="335">
        <f t="shared" ca="1" si="6"/>
        <v>0</v>
      </c>
      <c r="S141" s="335">
        <f t="shared" ca="1" si="7"/>
        <v>0</v>
      </c>
      <c r="T141" s="429" t="s">
        <v>289</v>
      </c>
      <c r="U141" s="22"/>
      <c r="V141" s="24"/>
      <c r="W141" s="21"/>
      <c r="Y141" s="490"/>
    </row>
    <row r="142" spans="1:25" ht="45">
      <c r="A142" s="31">
        <v>139</v>
      </c>
      <c r="B142" s="22" t="s">
        <v>39</v>
      </c>
      <c r="C142" s="22" t="s">
        <v>290</v>
      </c>
      <c r="D142" s="22" t="s">
        <v>291</v>
      </c>
      <c r="E142" s="23" t="s">
        <v>51</v>
      </c>
      <c r="F142" s="22" t="s">
        <v>52</v>
      </c>
      <c r="G142" s="22" t="s">
        <v>53</v>
      </c>
      <c r="H142" s="22" t="s">
        <v>30</v>
      </c>
      <c r="I142" s="22" t="s">
        <v>292</v>
      </c>
      <c r="J142" s="22" t="s">
        <v>52</v>
      </c>
      <c r="K142" s="519" t="s">
        <v>1092</v>
      </c>
      <c r="L142" s="521" t="s">
        <v>1093</v>
      </c>
      <c r="M142" s="521" t="s">
        <v>1094</v>
      </c>
      <c r="N142" s="521" t="s">
        <v>815</v>
      </c>
      <c r="O142" s="22" t="s">
        <v>293</v>
      </c>
      <c r="P142" s="426">
        <v>2018</v>
      </c>
      <c r="Q142" s="414">
        <f t="shared" ca="1" si="8"/>
        <v>17977.164602045003</v>
      </c>
      <c r="R142" s="335" t="str">
        <f t="shared" ca="1" si="6"/>
        <v>N/A</v>
      </c>
      <c r="S142" s="335" t="str">
        <f t="shared" ca="1" si="7"/>
        <v>N/A</v>
      </c>
      <c r="T142" s="429" t="s">
        <v>899</v>
      </c>
      <c r="U142" s="22"/>
      <c r="V142" s="24"/>
      <c r="W142" s="21"/>
      <c r="Y142" s="490"/>
    </row>
    <row r="143" spans="1:25" ht="45">
      <c r="A143" s="31">
        <v>140</v>
      </c>
      <c r="B143" s="22" t="s">
        <v>39</v>
      </c>
      <c r="C143" s="22" t="s">
        <v>290</v>
      </c>
      <c r="D143" s="22" t="s">
        <v>291</v>
      </c>
      <c r="E143" s="23" t="s">
        <v>51</v>
      </c>
      <c r="F143" s="22" t="s">
        <v>55</v>
      </c>
      <c r="G143" s="22" t="s">
        <v>53</v>
      </c>
      <c r="H143" s="22" t="s">
        <v>30</v>
      </c>
      <c r="I143" s="22" t="s">
        <v>292</v>
      </c>
      <c r="J143" s="22" t="s">
        <v>55</v>
      </c>
      <c r="K143" s="519" t="s">
        <v>1092</v>
      </c>
      <c r="L143" s="521" t="s">
        <v>1095</v>
      </c>
      <c r="M143" s="521" t="s">
        <v>1096</v>
      </c>
      <c r="N143" s="521" t="s">
        <v>815</v>
      </c>
      <c r="O143" s="22" t="s">
        <v>293</v>
      </c>
      <c r="P143" s="426">
        <v>2018</v>
      </c>
      <c r="Q143" s="414">
        <f t="shared" ca="1" si="8"/>
        <v>15325.22723764494</v>
      </c>
      <c r="R143" s="335" t="str">
        <f t="shared" ca="1" si="6"/>
        <v>N/A</v>
      </c>
      <c r="S143" s="335" t="str">
        <f t="shared" ca="1" si="7"/>
        <v>N/A</v>
      </c>
      <c r="T143" s="429" t="s">
        <v>899</v>
      </c>
      <c r="U143" s="22"/>
      <c r="V143" s="24"/>
      <c r="W143" s="21"/>
      <c r="Y143" s="490"/>
    </row>
    <row r="144" spans="1:25" ht="45">
      <c r="A144" s="31">
        <v>141</v>
      </c>
      <c r="B144" s="22" t="s">
        <v>39</v>
      </c>
      <c r="C144" s="22" t="s">
        <v>290</v>
      </c>
      <c r="D144" s="22" t="s">
        <v>291</v>
      </c>
      <c r="E144" s="23" t="s">
        <v>51</v>
      </c>
      <c r="F144" s="22" t="s">
        <v>56</v>
      </c>
      <c r="G144" s="22" t="s">
        <v>53</v>
      </c>
      <c r="H144" s="22" t="s">
        <v>30</v>
      </c>
      <c r="I144" s="22" t="s">
        <v>292</v>
      </c>
      <c r="J144" s="22" t="s">
        <v>56</v>
      </c>
      <c r="K144" s="519" t="s">
        <v>1092</v>
      </c>
      <c r="L144" s="521" t="s">
        <v>1097</v>
      </c>
      <c r="M144" s="521" t="s">
        <v>1098</v>
      </c>
      <c r="N144" s="521" t="s">
        <v>815</v>
      </c>
      <c r="O144" s="22" t="s">
        <v>293</v>
      </c>
      <c r="P144" s="426">
        <v>2018</v>
      </c>
      <c r="Q144" s="414">
        <f t="shared" ca="1" si="8"/>
        <v>71809803.551935911</v>
      </c>
      <c r="R144" s="335" t="str">
        <f t="shared" ca="1" si="6"/>
        <v>N/A</v>
      </c>
      <c r="S144" s="335" t="str">
        <f t="shared" ca="1" si="7"/>
        <v>N/A</v>
      </c>
      <c r="T144" s="429" t="s">
        <v>899</v>
      </c>
      <c r="U144" s="22"/>
      <c r="V144" s="24"/>
      <c r="W144" s="21"/>
      <c r="Y144" s="490"/>
    </row>
    <row r="145" spans="1:25" ht="45">
      <c r="A145" s="31">
        <v>142</v>
      </c>
      <c r="B145" s="22" t="s">
        <v>39</v>
      </c>
      <c r="C145" s="22" t="s">
        <v>290</v>
      </c>
      <c r="D145" s="22" t="s">
        <v>291</v>
      </c>
      <c r="E145" s="23" t="s">
        <v>51</v>
      </c>
      <c r="F145" s="22" t="s">
        <v>57</v>
      </c>
      <c r="G145" s="22" t="s">
        <v>53</v>
      </c>
      <c r="H145" s="22" t="s">
        <v>30</v>
      </c>
      <c r="I145" s="22" t="s">
        <v>292</v>
      </c>
      <c r="J145" s="22" t="s">
        <v>57</v>
      </c>
      <c r="K145" s="519" t="s">
        <v>1092</v>
      </c>
      <c r="L145" s="521" t="s">
        <v>1099</v>
      </c>
      <c r="M145" s="521" t="s">
        <v>1100</v>
      </c>
      <c r="N145" s="521" t="s">
        <v>815</v>
      </c>
      <c r="O145" s="22" t="s">
        <v>293</v>
      </c>
      <c r="P145" s="426">
        <v>2018</v>
      </c>
      <c r="Q145" s="414">
        <f t="shared" ca="1" si="8"/>
        <v>60445200.336516038</v>
      </c>
      <c r="R145" s="335" t="str">
        <f t="shared" ca="1" si="6"/>
        <v>N/A</v>
      </c>
      <c r="S145" s="335" t="str">
        <f t="shared" ca="1" si="7"/>
        <v>N/A</v>
      </c>
      <c r="T145" s="429" t="s">
        <v>899</v>
      </c>
      <c r="U145" s="22"/>
      <c r="V145" s="24"/>
      <c r="W145" s="21"/>
      <c r="Y145" s="490"/>
    </row>
    <row r="146" spans="1:25" ht="45">
      <c r="A146" s="31">
        <v>143</v>
      </c>
      <c r="B146" s="22" t="s">
        <v>39</v>
      </c>
      <c r="C146" s="22" t="s">
        <v>290</v>
      </c>
      <c r="D146" s="22" t="s">
        <v>291</v>
      </c>
      <c r="E146" s="23" t="s">
        <v>51</v>
      </c>
      <c r="F146" s="22" t="s">
        <v>58</v>
      </c>
      <c r="G146" s="22" t="s">
        <v>53</v>
      </c>
      <c r="H146" s="22" t="s">
        <v>30</v>
      </c>
      <c r="I146" s="22" t="s">
        <v>292</v>
      </c>
      <c r="J146" s="22" t="s">
        <v>58</v>
      </c>
      <c r="K146" s="519" t="s">
        <v>1092</v>
      </c>
      <c r="L146" s="521" t="s">
        <v>1101</v>
      </c>
      <c r="M146" s="521" t="s">
        <v>1102</v>
      </c>
      <c r="N146" s="521" t="s">
        <v>815</v>
      </c>
      <c r="O146" s="22" t="s">
        <v>293</v>
      </c>
      <c r="P146" s="426">
        <v>2018</v>
      </c>
      <c r="Q146" s="414">
        <f t="shared" ca="1" si="8"/>
        <v>197407.13417670046</v>
      </c>
      <c r="R146" s="335" t="str">
        <f t="shared" ca="1" si="6"/>
        <v>N/A</v>
      </c>
      <c r="S146" s="335" t="str">
        <f t="shared" ca="1" si="7"/>
        <v>N/A</v>
      </c>
      <c r="T146" s="429" t="s">
        <v>899</v>
      </c>
      <c r="U146" s="22" t="s">
        <v>295</v>
      </c>
      <c r="V146" s="24"/>
      <c r="W146" s="21"/>
      <c r="Y146" s="490"/>
    </row>
    <row r="147" spans="1:25" ht="45">
      <c r="A147" s="31">
        <v>144</v>
      </c>
      <c r="B147" s="22" t="s">
        <v>39</v>
      </c>
      <c r="C147" s="22" t="s">
        <v>290</v>
      </c>
      <c r="D147" s="22" t="s">
        <v>291</v>
      </c>
      <c r="E147" s="23" t="s">
        <v>51</v>
      </c>
      <c r="F147" s="22" t="s">
        <v>60</v>
      </c>
      <c r="G147" s="22" t="s">
        <v>53</v>
      </c>
      <c r="H147" s="22" t="s">
        <v>30</v>
      </c>
      <c r="I147" s="22" t="s">
        <v>292</v>
      </c>
      <c r="J147" s="22" t="s">
        <v>60</v>
      </c>
      <c r="K147" s="519" t="s">
        <v>1092</v>
      </c>
      <c r="L147" s="521" t="s">
        <v>1103</v>
      </c>
      <c r="M147" s="521" t="s">
        <v>1104</v>
      </c>
      <c r="N147" s="521" t="s">
        <v>815</v>
      </c>
      <c r="O147" s="22" t="s">
        <v>293</v>
      </c>
      <c r="P147" s="426">
        <v>2018</v>
      </c>
      <c r="Q147" s="414">
        <f t="shared" ca="1" si="8"/>
        <v>38041.337353056893</v>
      </c>
      <c r="R147" s="335" t="str">
        <f t="shared" ca="1" si="6"/>
        <v>N/A</v>
      </c>
      <c r="S147" s="335" t="str">
        <f t="shared" ca="1" si="7"/>
        <v>N/A</v>
      </c>
      <c r="T147" s="429" t="s">
        <v>899</v>
      </c>
      <c r="U147" s="22" t="s">
        <v>49</v>
      </c>
      <c r="V147" s="24"/>
      <c r="W147" s="21"/>
      <c r="Y147" s="490"/>
    </row>
    <row r="148" spans="1:25" ht="45">
      <c r="A148" s="31">
        <v>145</v>
      </c>
      <c r="B148" s="22" t="s">
        <v>39</v>
      </c>
      <c r="C148" s="22" t="s">
        <v>290</v>
      </c>
      <c r="D148" s="22" t="s">
        <v>291</v>
      </c>
      <c r="E148" s="23" t="s">
        <v>51</v>
      </c>
      <c r="F148" s="22" t="s">
        <v>61</v>
      </c>
      <c r="G148" s="22" t="s">
        <v>53</v>
      </c>
      <c r="H148" s="22" t="s">
        <v>30</v>
      </c>
      <c r="I148" s="22" t="s">
        <v>292</v>
      </c>
      <c r="J148" s="22" t="s">
        <v>61</v>
      </c>
      <c r="K148" s="519" t="s">
        <v>1092</v>
      </c>
      <c r="L148" s="521" t="s">
        <v>1105</v>
      </c>
      <c r="M148" s="521" t="s">
        <v>1106</v>
      </c>
      <c r="N148" s="521" t="s">
        <v>815</v>
      </c>
      <c r="O148" s="22" t="s">
        <v>293</v>
      </c>
      <c r="P148" s="426">
        <v>2018</v>
      </c>
      <c r="Q148" s="414">
        <f t="shared" ca="1" si="8"/>
        <v>130331.78629003785</v>
      </c>
      <c r="R148" s="335" t="str">
        <f t="shared" ca="1" si="6"/>
        <v>N/A</v>
      </c>
      <c r="S148" s="335" t="str">
        <f t="shared" ca="1" si="7"/>
        <v>N/A</v>
      </c>
      <c r="T148" s="429" t="s">
        <v>899</v>
      </c>
      <c r="U148" s="22"/>
      <c r="V148" s="24"/>
      <c r="W148" s="21"/>
      <c r="Y148" s="490"/>
    </row>
    <row r="149" spans="1:25" ht="45">
      <c r="A149" s="31">
        <v>146</v>
      </c>
      <c r="B149" s="22" t="s">
        <v>39</v>
      </c>
      <c r="C149" s="22" t="s">
        <v>290</v>
      </c>
      <c r="D149" s="22" t="s">
        <v>291</v>
      </c>
      <c r="E149" s="23" t="s">
        <v>51</v>
      </c>
      <c r="F149" s="22" t="s">
        <v>62</v>
      </c>
      <c r="G149" s="22" t="s">
        <v>53</v>
      </c>
      <c r="H149" s="22" t="s">
        <v>30</v>
      </c>
      <c r="I149" s="22" t="s">
        <v>292</v>
      </c>
      <c r="J149" s="22" t="s">
        <v>62</v>
      </c>
      <c r="K149" s="519" t="s">
        <v>1092</v>
      </c>
      <c r="L149" s="521" t="s">
        <v>1107</v>
      </c>
      <c r="M149" s="521" t="s">
        <v>1108</v>
      </c>
      <c r="N149" s="521" t="s">
        <v>815</v>
      </c>
      <c r="O149" s="22" t="s">
        <v>293</v>
      </c>
      <c r="P149" s="426">
        <v>2018</v>
      </c>
      <c r="Q149" s="414">
        <f t="shared" ca="1" si="8"/>
        <v>113966.1670359182</v>
      </c>
      <c r="R149" s="335" t="str">
        <f t="shared" ca="1" si="6"/>
        <v>N/A</v>
      </c>
      <c r="S149" s="335" t="str">
        <f t="shared" ca="1" si="7"/>
        <v>N/A</v>
      </c>
      <c r="T149" s="429" t="s">
        <v>899</v>
      </c>
      <c r="U149" s="22"/>
      <c r="V149" s="24"/>
      <c r="W149" s="21"/>
      <c r="Y149" s="490"/>
    </row>
    <row r="150" spans="1:25" ht="45">
      <c r="A150" s="31">
        <v>147</v>
      </c>
      <c r="B150" s="22" t="s">
        <v>39</v>
      </c>
      <c r="C150" s="22" t="s">
        <v>290</v>
      </c>
      <c r="D150" s="22" t="s">
        <v>291</v>
      </c>
      <c r="E150" s="23" t="s">
        <v>51</v>
      </c>
      <c r="F150" s="22" t="s">
        <v>63</v>
      </c>
      <c r="G150" s="22" t="s">
        <v>53</v>
      </c>
      <c r="H150" s="22" t="s">
        <v>30</v>
      </c>
      <c r="I150" s="22" t="s">
        <v>292</v>
      </c>
      <c r="J150" s="22" t="s">
        <v>63</v>
      </c>
      <c r="K150" s="519" t="s">
        <v>1092</v>
      </c>
      <c r="L150" s="521" t="s">
        <v>1109</v>
      </c>
      <c r="M150" s="521" t="s">
        <v>1110</v>
      </c>
      <c r="N150" s="521" t="s">
        <v>815</v>
      </c>
      <c r="O150" s="22" t="s">
        <v>293</v>
      </c>
      <c r="P150" s="426">
        <v>2018</v>
      </c>
      <c r="Q150" s="414">
        <f t="shared" ca="1" si="8"/>
        <v>550622819.52010953</v>
      </c>
      <c r="R150" s="335" t="str">
        <f t="shared" ca="1" si="6"/>
        <v>N/A</v>
      </c>
      <c r="S150" s="335" t="str">
        <f t="shared" ca="1" si="7"/>
        <v>N/A</v>
      </c>
      <c r="T150" s="429" t="s">
        <v>899</v>
      </c>
      <c r="U150" s="22"/>
      <c r="V150" s="24"/>
      <c r="W150" s="21"/>
      <c r="Y150" s="490"/>
    </row>
    <row r="151" spans="1:25" ht="45">
      <c r="A151" s="31">
        <v>148</v>
      </c>
      <c r="B151" s="22" t="s">
        <v>39</v>
      </c>
      <c r="C151" s="22" t="s">
        <v>290</v>
      </c>
      <c r="D151" s="22" t="s">
        <v>291</v>
      </c>
      <c r="E151" s="23" t="s">
        <v>51</v>
      </c>
      <c r="F151" s="22" t="s">
        <v>64</v>
      </c>
      <c r="G151" s="22" t="s">
        <v>53</v>
      </c>
      <c r="H151" s="22" t="s">
        <v>30</v>
      </c>
      <c r="I151" s="22" t="s">
        <v>292</v>
      </c>
      <c r="J151" s="22" t="s">
        <v>64</v>
      </c>
      <c r="K151" s="519" t="s">
        <v>1092</v>
      </c>
      <c r="L151" s="521" t="s">
        <v>1111</v>
      </c>
      <c r="M151" s="521" t="s">
        <v>1112</v>
      </c>
      <c r="N151" s="521" t="s">
        <v>815</v>
      </c>
      <c r="O151" s="22" t="s">
        <v>293</v>
      </c>
      <c r="P151" s="426">
        <v>2018</v>
      </c>
      <c r="Q151" s="414">
        <f t="shared" ca="1" si="8"/>
        <v>471792053.97521979</v>
      </c>
      <c r="R151" s="335" t="str">
        <f t="shared" ca="1" si="6"/>
        <v>N/A</v>
      </c>
      <c r="S151" s="335" t="str">
        <f t="shared" ca="1" si="7"/>
        <v>N/A</v>
      </c>
      <c r="T151" s="429" t="s">
        <v>899</v>
      </c>
      <c r="U151" s="22"/>
      <c r="V151" s="24"/>
      <c r="W151" s="21"/>
      <c r="Y151" s="490"/>
    </row>
    <row r="152" spans="1:25" ht="45">
      <c r="A152" s="31">
        <v>149</v>
      </c>
      <c r="B152" s="22" t="s">
        <v>39</v>
      </c>
      <c r="C152" s="22" t="s">
        <v>290</v>
      </c>
      <c r="D152" s="22" t="s">
        <v>291</v>
      </c>
      <c r="E152" s="23" t="s">
        <v>51</v>
      </c>
      <c r="F152" s="22" t="s">
        <v>65</v>
      </c>
      <c r="G152" s="22" t="s">
        <v>53</v>
      </c>
      <c r="H152" s="22" t="s">
        <v>30</v>
      </c>
      <c r="I152" s="22" t="s">
        <v>292</v>
      </c>
      <c r="J152" s="22" t="s">
        <v>65</v>
      </c>
      <c r="K152" s="519" t="s">
        <v>1092</v>
      </c>
      <c r="L152" s="521" t="s">
        <v>1113</v>
      </c>
      <c r="M152" s="521" t="s">
        <v>1114</v>
      </c>
      <c r="N152" s="521" t="s">
        <v>815</v>
      </c>
      <c r="O152" s="22" t="s">
        <v>293</v>
      </c>
      <c r="P152" s="426">
        <v>2018</v>
      </c>
      <c r="Q152" s="414">
        <f t="shared" ca="1" si="8"/>
        <v>4996277.7143258769</v>
      </c>
      <c r="R152" s="335" t="str">
        <f t="shared" ca="1" si="6"/>
        <v>N/A</v>
      </c>
      <c r="S152" s="335" t="str">
        <f t="shared" ca="1" si="7"/>
        <v>N/A</v>
      </c>
      <c r="T152" s="429" t="s">
        <v>899</v>
      </c>
      <c r="U152" s="22" t="s">
        <v>49</v>
      </c>
      <c r="V152" s="24"/>
      <c r="W152" s="21"/>
      <c r="Y152" s="490"/>
    </row>
    <row r="153" spans="1:25" ht="45">
      <c r="A153" s="31">
        <v>150</v>
      </c>
      <c r="B153" s="22" t="s">
        <v>39</v>
      </c>
      <c r="C153" s="22" t="s">
        <v>290</v>
      </c>
      <c r="D153" s="22" t="s">
        <v>291</v>
      </c>
      <c r="E153" s="23" t="s">
        <v>51</v>
      </c>
      <c r="F153" s="22" t="s">
        <v>66</v>
      </c>
      <c r="G153" s="22" t="s">
        <v>53</v>
      </c>
      <c r="H153" s="22" t="s">
        <v>30</v>
      </c>
      <c r="I153" s="22" t="s">
        <v>292</v>
      </c>
      <c r="J153" s="22" t="s">
        <v>66</v>
      </c>
      <c r="K153" s="519" t="s">
        <v>1092</v>
      </c>
      <c r="L153" s="521" t="s">
        <v>1115</v>
      </c>
      <c r="M153" s="521" t="s">
        <v>1116</v>
      </c>
      <c r="N153" s="521" t="s">
        <v>815</v>
      </c>
      <c r="O153" s="22" t="s">
        <v>293</v>
      </c>
      <c r="P153" s="426">
        <v>2018</v>
      </c>
      <c r="Q153" s="414">
        <f t="shared" ca="1" si="8"/>
        <v>2254121.2592335637</v>
      </c>
      <c r="R153" s="335" t="str">
        <f t="shared" ca="1" si="6"/>
        <v>N/A</v>
      </c>
      <c r="S153" s="335" t="str">
        <f t="shared" ca="1" si="7"/>
        <v>N/A</v>
      </c>
      <c r="T153" s="429" t="s">
        <v>899</v>
      </c>
      <c r="U153" s="22" t="s">
        <v>49</v>
      </c>
      <c r="V153" s="24"/>
      <c r="W153" s="21"/>
      <c r="Y153" s="490"/>
    </row>
    <row r="154" spans="1:25" ht="45">
      <c r="A154" s="31">
        <v>151</v>
      </c>
      <c r="B154" s="22" t="s">
        <v>39</v>
      </c>
      <c r="C154" s="22" t="s">
        <v>290</v>
      </c>
      <c r="D154" s="22" t="s">
        <v>291</v>
      </c>
      <c r="E154" s="23" t="s">
        <v>296</v>
      </c>
      <c r="F154" s="22" t="s">
        <v>297</v>
      </c>
      <c r="G154" s="22" t="s">
        <v>298</v>
      </c>
      <c r="H154" s="22" t="s">
        <v>30</v>
      </c>
      <c r="I154" s="22" t="s">
        <v>299</v>
      </c>
      <c r="J154" s="22" t="s">
        <v>297</v>
      </c>
      <c r="K154" s="519" t="s">
        <v>1092</v>
      </c>
      <c r="L154" s="521" t="s">
        <v>1117</v>
      </c>
      <c r="M154" s="521" t="s">
        <v>1118</v>
      </c>
      <c r="N154" s="521" t="s">
        <v>885</v>
      </c>
      <c r="O154" s="22" t="s">
        <v>293</v>
      </c>
      <c r="P154" s="426">
        <v>2018</v>
      </c>
      <c r="Q154" s="533">
        <f t="shared" ca="1" si="8"/>
        <v>1.3093636258644636E-2</v>
      </c>
      <c r="R154" s="335">
        <f t="shared" ca="1" si="6"/>
        <v>0</v>
      </c>
      <c r="S154" s="335">
        <f t="shared" ca="1" si="7"/>
        <v>0</v>
      </c>
      <c r="T154" s="429"/>
      <c r="U154" s="22"/>
      <c r="V154" s="24"/>
      <c r="W154" s="21"/>
      <c r="Y154" s="490"/>
    </row>
    <row r="155" spans="1:25" ht="45">
      <c r="A155" s="31">
        <v>152</v>
      </c>
      <c r="B155" s="22" t="s">
        <v>39</v>
      </c>
      <c r="C155" s="22" t="s">
        <v>290</v>
      </c>
      <c r="D155" s="22" t="s">
        <v>291</v>
      </c>
      <c r="E155" s="23" t="s">
        <v>296</v>
      </c>
      <c r="F155" s="22" t="s">
        <v>300</v>
      </c>
      <c r="G155" s="22" t="s">
        <v>298</v>
      </c>
      <c r="H155" s="22" t="s">
        <v>30</v>
      </c>
      <c r="I155" s="22" t="s">
        <v>299</v>
      </c>
      <c r="J155" s="22" t="s">
        <v>300</v>
      </c>
      <c r="K155" s="519" t="s">
        <v>1092</v>
      </c>
      <c r="L155" s="521" t="s">
        <v>1119</v>
      </c>
      <c r="M155" s="521" t="s">
        <v>1120</v>
      </c>
      <c r="N155" s="521" t="s">
        <v>885</v>
      </c>
      <c r="O155" s="22" t="s">
        <v>293</v>
      </c>
      <c r="P155" s="426">
        <v>2018</v>
      </c>
      <c r="Q155" s="533">
        <f t="shared" ca="1" si="8"/>
        <v>1.116210233776074E-2</v>
      </c>
      <c r="R155" s="335">
        <f t="shared" ca="1" si="6"/>
        <v>0</v>
      </c>
      <c r="S155" s="335">
        <f t="shared" ca="1" si="7"/>
        <v>0</v>
      </c>
      <c r="T155" s="429"/>
      <c r="U155" s="22"/>
      <c r="V155" s="24"/>
      <c r="W155" s="21"/>
      <c r="Y155" s="490"/>
    </row>
    <row r="156" spans="1:25" ht="45">
      <c r="A156" s="31">
        <v>153</v>
      </c>
      <c r="B156" s="22" t="s">
        <v>39</v>
      </c>
      <c r="C156" s="22" t="s">
        <v>290</v>
      </c>
      <c r="D156" s="22" t="s">
        <v>291</v>
      </c>
      <c r="E156" s="23" t="s">
        <v>296</v>
      </c>
      <c r="F156" s="22" t="s">
        <v>301</v>
      </c>
      <c r="G156" s="22" t="s">
        <v>298</v>
      </c>
      <c r="H156" s="22" t="s">
        <v>30</v>
      </c>
      <c r="I156" s="22" t="s">
        <v>299</v>
      </c>
      <c r="J156" s="22" t="s">
        <v>301</v>
      </c>
      <c r="K156" s="519" t="s">
        <v>1092</v>
      </c>
      <c r="L156" s="521" t="s">
        <v>1121</v>
      </c>
      <c r="M156" s="521" t="s">
        <v>1122</v>
      </c>
      <c r="N156" s="521" t="s">
        <v>885</v>
      </c>
      <c r="O156" s="22" t="s">
        <v>293</v>
      </c>
      <c r="P156" s="426">
        <v>2018</v>
      </c>
      <c r="Q156" s="533">
        <f t="shared" ca="1" si="8"/>
        <v>1.0701845320799602E-2</v>
      </c>
      <c r="R156" s="335">
        <f t="shared" ca="1" si="6"/>
        <v>0</v>
      </c>
      <c r="S156" s="335">
        <f t="shared" ca="1" si="7"/>
        <v>0</v>
      </c>
      <c r="T156" s="429"/>
      <c r="U156" s="22"/>
      <c r="V156" s="24"/>
      <c r="W156" s="21"/>
      <c r="Y156" s="490"/>
    </row>
    <row r="157" spans="1:25" ht="45">
      <c r="A157" s="31">
        <v>154</v>
      </c>
      <c r="B157" s="22" t="s">
        <v>39</v>
      </c>
      <c r="C157" s="22" t="s">
        <v>290</v>
      </c>
      <c r="D157" s="22" t="s">
        <v>291</v>
      </c>
      <c r="E157" s="23" t="s">
        <v>296</v>
      </c>
      <c r="F157" s="22" t="s">
        <v>302</v>
      </c>
      <c r="G157" s="22" t="s">
        <v>298</v>
      </c>
      <c r="H157" s="22" t="s">
        <v>30</v>
      </c>
      <c r="I157" s="22" t="s">
        <v>299</v>
      </c>
      <c r="J157" s="22" t="s">
        <v>302</v>
      </c>
      <c r="K157" s="519" t="s">
        <v>1092</v>
      </c>
      <c r="L157" s="521" t="s">
        <v>1123</v>
      </c>
      <c r="M157" s="521" t="s">
        <v>1124</v>
      </c>
      <c r="N157" s="521" t="s">
        <v>885</v>
      </c>
      <c r="O157" s="22" t="s">
        <v>293</v>
      </c>
      <c r="P157" s="426">
        <v>2018</v>
      </c>
      <c r="Q157" s="533">
        <f t="shared" ca="1" si="8"/>
        <v>9.0081737087372889E-3</v>
      </c>
      <c r="R157" s="335">
        <f t="shared" ca="1" si="6"/>
        <v>0</v>
      </c>
      <c r="S157" s="335">
        <f t="shared" ca="1" si="7"/>
        <v>0</v>
      </c>
      <c r="T157" s="429"/>
      <c r="U157" s="22"/>
      <c r="V157" s="24"/>
      <c r="W157" s="21"/>
      <c r="Y157" s="490"/>
    </row>
    <row r="158" spans="1:25" ht="45">
      <c r="A158" s="31">
        <v>155</v>
      </c>
      <c r="B158" s="22" t="s">
        <v>39</v>
      </c>
      <c r="C158" s="22" t="s">
        <v>290</v>
      </c>
      <c r="D158" s="22" t="s">
        <v>291</v>
      </c>
      <c r="E158" s="23" t="s">
        <v>296</v>
      </c>
      <c r="F158" s="22" t="s">
        <v>303</v>
      </c>
      <c r="G158" s="22" t="s">
        <v>298</v>
      </c>
      <c r="H158" s="22" t="s">
        <v>30</v>
      </c>
      <c r="I158" s="22" t="s">
        <v>299</v>
      </c>
      <c r="J158" s="22" t="s">
        <v>303</v>
      </c>
      <c r="K158" s="519" t="s">
        <v>1092</v>
      </c>
      <c r="L158" s="521" t="s">
        <v>1125</v>
      </c>
      <c r="M158" s="521" t="s">
        <v>1126</v>
      </c>
      <c r="N158" s="521" t="s">
        <v>885</v>
      </c>
      <c r="O158" s="22" t="s">
        <v>293</v>
      </c>
      <c r="P158" s="426">
        <v>2018</v>
      </c>
      <c r="Q158" s="533">
        <f t="shared" ca="1" si="8"/>
        <v>9.6261642648832763E-4</v>
      </c>
      <c r="R158" s="335">
        <f t="shared" ca="1" si="6"/>
        <v>0</v>
      </c>
      <c r="S158" s="335">
        <f t="shared" ca="1" si="7"/>
        <v>0</v>
      </c>
      <c r="T158" s="429" t="s">
        <v>304</v>
      </c>
      <c r="U158" s="22" t="s">
        <v>49</v>
      </c>
      <c r="V158" s="24"/>
      <c r="W158" s="21"/>
      <c r="Y158" s="490"/>
    </row>
    <row r="159" spans="1:25" ht="45">
      <c r="A159" s="31">
        <v>156</v>
      </c>
      <c r="B159" s="22" t="s">
        <v>39</v>
      </c>
      <c r="C159" s="22" t="s">
        <v>290</v>
      </c>
      <c r="D159" s="22" t="s">
        <v>291</v>
      </c>
      <c r="E159" s="23" t="s">
        <v>296</v>
      </c>
      <c r="F159" s="22" t="s">
        <v>305</v>
      </c>
      <c r="G159" s="22" t="s">
        <v>298</v>
      </c>
      <c r="H159" s="22" t="s">
        <v>30</v>
      </c>
      <c r="I159" s="22" t="s">
        <v>299</v>
      </c>
      <c r="J159" s="22" t="s">
        <v>305</v>
      </c>
      <c r="K159" s="519" t="s">
        <v>1092</v>
      </c>
      <c r="L159" s="521" t="s">
        <v>1127</v>
      </c>
      <c r="M159" s="521" t="s">
        <v>1128</v>
      </c>
      <c r="N159" s="521" t="s">
        <v>885</v>
      </c>
      <c r="O159" s="22" t="s">
        <v>293</v>
      </c>
      <c r="P159" s="426">
        <v>2018</v>
      </c>
      <c r="Q159" s="533">
        <f t="shared" ca="1" si="8"/>
        <v>1.8550097682314994E-4</v>
      </c>
      <c r="R159" s="335">
        <f t="shared" ca="1" si="6"/>
        <v>0</v>
      </c>
      <c r="S159" s="335">
        <f t="shared" ca="1" si="7"/>
        <v>0</v>
      </c>
      <c r="T159" s="429" t="s">
        <v>304</v>
      </c>
      <c r="U159" s="22" t="s">
        <v>49</v>
      </c>
      <c r="V159" s="24"/>
      <c r="W159" s="21"/>
      <c r="Y159" s="490"/>
    </row>
    <row r="160" spans="1:25" ht="45">
      <c r="A160" s="31">
        <v>157</v>
      </c>
      <c r="B160" s="22" t="s">
        <v>39</v>
      </c>
      <c r="C160" s="22" t="s">
        <v>290</v>
      </c>
      <c r="D160" s="22" t="s">
        <v>291</v>
      </c>
      <c r="E160" s="23" t="s">
        <v>296</v>
      </c>
      <c r="F160" s="22" t="s">
        <v>306</v>
      </c>
      <c r="G160" s="22" t="s">
        <v>298</v>
      </c>
      <c r="H160" s="22" t="s">
        <v>30</v>
      </c>
      <c r="I160" s="22" t="s">
        <v>299</v>
      </c>
      <c r="J160" s="22" t="s">
        <v>306</v>
      </c>
      <c r="K160" s="519" t="s">
        <v>1092</v>
      </c>
      <c r="L160" s="521" t="s">
        <v>1129</v>
      </c>
      <c r="M160" s="521" t="s">
        <v>1130</v>
      </c>
      <c r="N160" s="521" t="s">
        <v>885</v>
      </c>
      <c r="O160" s="22" t="s">
        <v>293</v>
      </c>
      <c r="P160" s="426">
        <v>2018</v>
      </c>
      <c r="Q160" s="533">
        <f t="shared" ca="1" si="8"/>
        <v>9.4926927599418967E-2</v>
      </c>
      <c r="R160" s="335">
        <f t="shared" ca="1" si="6"/>
        <v>0</v>
      </c>
      <c r="S160" s="335">
        <f t="shared" ca="1" si="7"/>
        <v>0</v>
      </c>
      <c r="T160" s="429"/>
      <c r="U160" s="22"/>
      <c r="V160" s="24"/>
      <c r="W160" s="21"/>
      <c r="Y160" s="490"/>
    </row>
    <row r="161" spans="1:25" ht="45">
      <c r="A161" s="31">
        <v>158</v>
      </c>
      <c r="B161" s="22" t="s">
        <v>39</v>
      </c>
      <c r="C161" s="22" t="s">
        <v>290</v>
      </c>
      <c r="D161" s="22" t="s">
        <v>291</v>
      </c>
      <c r="E161" s="23" t="s">
        <v>296</v>
      </c>
      <c r="F161" s="22" t="s">
        <v>307</v>
      </c>
      <c r="G161" s="22" t="s">
        <v>298</v>
      </c>
      <c r="H161" s="22" t="s">
        <v>30</v>
      </c>
      <c r="I161" s="22" t="s">
        <v>299</v>
      </c>
      <c r="J161" s="22" t="s">
        <v>307</v>
      </c>
      <c r="K161" s="519" t="s">
        <v>1092</v>
      </c>
      <c r="L161" s="521" t="s">
        <v>1131</v>
      </c>
      <c r="M161" s="521" t="s">
        <v>1132</v>
      </c>
      <c r="N161" s="521" t="s">
        <v>885</v>
      </c>
      <c r="O161" s="22" t="s">
        <v>293</v>
      </c>
      <c r="P161" s="426">
        <v>2018</v>
      </c>
      <c r="Q161" s="533">
        <f t="shared" ca="1" si="8"/>
        <v>8.3007057564044334E-2</v>
      </c>
      <c r="R161" s="335">
        <f t="shared" ca="1" si="6"/>
        <v>0</v>
      </c>
      <c r="S161" s="335">
        <f t="shared" ca="1" si="7"/>
        <v>0</v>
      </c>
      <c r="T161" s="429"/>
      <c r="U161" s="22"/>
      <c r="V161" s="24"/>
      <c r="W161" s="21"/>
      <c r="Y161" s="490"/>
    </row>
    <row r="162" spans="1:25" ht="45">
      <c r="A162" s="31">
        <v>159</v>
      </c>
      <c r="B162" s="22" t="s">
        <v>39</v>
      </c>
      <c r="C162" s="22" t="s">
        <v>290</v>
      </c>
      <c r="D162" s="22" t="s">
        <v>291</v>
      </c>
      <c r="E162" s="23" t="s">
        <v>296</v>
      </c>
      <c r="F162" s="22" t="s">
        <v>308</v>
      </c>
      <c r="G162" s="22" t="s">
        <v>298</v>
      </c>
      <c r="H162" s="22" t="s">
        <v>30</v>
      </c>
      <c r="I162" s="22" t="s">
        <v>299</v>
      </c>
      <c r="J162" s="22" t="s">
        <v>308</v>
      </c>
      <c r="K162" s="519" t="s">
        <v>1092</v>
      </c>
      <c r="L162" s="521" t="s">
        <v>1133</v>
      </c>
      <c r="M162" s="521" t="s">
        <v>1134</v>
      </c>
      <c r="N162" s="521" t="s">
        <v>885</v>
      </c>
      <c r="O162" s="22" t="s">
        <v>293</v>
      </c>
      <c r="P162" s="426">
        <v>2018</v>
      </c>
      <c r="Q162" s="533">
        <f t="shared" ca="1" si="8"/>
        <v>8.2059551107738798E-2</v>
      </c>
      <c r="R162" s="335">
        <f t="shared" ca="1" si="6"/>
        <v>0</v>
      </c>
      <c r="S162" s="335">
        <f t="shared" ca="1" si="7"/>
        <v>0</v>
      </c>
      <c r="T162" s="429"/>
      <c r="U162" s="22"/>
      <c r="V162" s="24"/>
      <c r="W162" s="21"/>
      <c r="Y162" s="490"/>
    </row>
    <row r="163" spans="1:25" ht="45">
      <c r="A163" s="31">
        <v>160</v>
      </c>
      <c r="B163" s="22" t="s">
        <v>39</v>
      </c>
      <c r="C163" s="22" t="s">
        <v>290</v>
      </c>
      <c r="D163" s="22" t="s">
        <v>291</v>
      </c>
      <c r="E163" s="23" t="s">
        <v>296</v>
      </c>
      <c r="F163" s="22" t="s">
        <v>309</v>
      </c>
      <c r="G163" s="22" t="s">
        <v>298</v>
      </c>
      <c r="H163" s="22" t="s">
        <v>30</v>
      </c>
      <c r="I163" s="22" t="s">
        <v>299</v>
      </c>
      <c r="J163" s="22" t="s">
        <v>309</v>
      </c>
      <c r="K163" s="519" t="s">
        <v>1092</v>
      </c>
      <c r="L163" s="521" t="s">
        <v>1135</v>
      </c>
      <c r="M163" s="521" t="s">
        <v>1136</v>
      </c>
      <c r="N163" s="521" t="s">
        <v>885</v>
      </c>
      <c r="O163" s="22" t="s">
        <v>293</v>
      </c>
      <c r="P163" s="426">
        <v>2018</v>
      </c>
      <c r="Q163" s="533">
        <f t="shared" ca="1" si="8"/>
        <v>7.0311368858897577E-2</v>
      </c>
      <c r="R163" s="335">
        <f t="shared" ca="1" si="6"/>
        <v>0</v>
      </c>
      <c r="S163" s="335">
        <f t="shared" ca="1" si="7"/>
        <v>0</v>
      </c>
      <c r="T163" s="429"/>
      <c r="U163" s="22"/>
      <c r="V163" s="24"/>
      <c r="W163" s="21"/>
      <c r="Y163" s="490"/>
    </row>
    <row r="164" spans="1:25" ht="45">
      <c r="A164" s="31">
        <v>161</v>
      </c>
      <c r="B164" s="22" t="s">
        <v>39</v>
      </c>
      <c r="C164" s="22" t="s">
        <v>290</v>
      </c>
      <c r="D164" s="22" t="s">
        <v>291</v>
      </c>
      <c r="E164" s="23" t="s">
        <v>296</v>
      </c>
      <c r="F164" s="22" t="s">
        <v>310</v>
      </c>
      <c r="G164" s="22" t="s">
        <v>298</v>
      </c>
      <c r="H164" s="22" t="s">
        <v>30</v>
      </c>
      <c r="I164" s="22" t="s">
        <v>299</v>
      </c>
      <c r="J164" s="22" t="s">
        <v>310</v>
      </c>
      <c r="K164" s="519" t="s">
        <v>1092</v>
      </c>
      <c r="L164" s="521" t="s">
        <v>1137</v>
      </c>
      <c r="M164" s="521" t="s">
        <v>1138</v>
      </c>
      <c r="N164" s="521" t="s">
        <v>885</v>
      </c>
      <c r="O164" s="22" t="s">
        <v>293</v>
      </c>
      <c r="P164" s="426">
        <v>2018</v>
      </c>
      <c r="Q164" s="533">
        <f t="shared" ca="1" si="8"/>
        <v>2.4363349476532244E-2</v>
      </c>
      <c r="R164" s="335">
        <f t="shared" ca="1" si="6"/>
        <v>0</v>
      </c>
      <c r="S164" s="335">
        <f t="shared" ca="1" si="7"/>
        <v>0</v>
      </c>
      <c r="T164" s="429" t="s">
        <v>304</v>
      </c>
      <c r="U164" s="22" t="s">
        <v>49</v>
      </c>
      <c r="V164" s="24"/>
      <c r="W164" s="21"/>
      <c r="Y164" s="490"/>
    </row>
    <row r="165" spans="1:25" ht="45">
      <c r="A165" s="31">
        <v>162</v>
      </c>
      <c r="B165" s="22" t="s">
        <v>39</v>
      </c>
      <c r="C165" s="22" t="s">
        <v>290</v>
      </c>
      <c r="D165" s="22" t="s">
        <v>291</v>
      </c>
      <c r="E165" s="23" t="s">
        <v>296</v>
      </c>
      <c r="F165" s="22" t="s">
        <v>311</v>
      </c>
      <c r="G165" s="22" t="s">
        <v>298</v>
      </c>
      <c r="H165" s="22" t="s">
        <v>30</v>
      </c>
      <c r="I165" s="22" t="s">
        <v>299</v>
      </c>
      <c r="J165" s="22" t="s">
        <v>311</v>
      </c>
      <c r="K165" s="519" t="s">
        <v>1092</v>
      </c>
      <c r="L165" s="521" t="s">
        <v>1139</v>
      </c>
      <c r="M165" s="521" t="s">
        <v>1140</v>
      </c>
      <c r="N165" s="521" t="s">
        <v>885</v>
      </c>
      <c r="O165" s="22" t="s">
        <v>293</v>
      </c>
      <c r="P165" s="426">
        <v>2018</v>
      </c>
      <c r="Q165" s="533">
        <f t="shared" ca="1" si="8"/>
        <v>1.099177170310639E-2</v>
      </c>
      <c r="R165" s="335">
        <f t="shared" ca="1" si="6"/>
        <v>0</v>
      </c>
      <c r="S165" s="335">
        <f t="shared" ca="1" si="7"/>
        <v>0</v>
      </c>
      <c r="T165" s="429" t="s">
        <v>304</v>
      </c>
      <c r="U165" s="22" t="s">
        <v>49</v>
      </c>
      <c r="V165" s="24"/>
      <c r="W165" s="21"/>
      <c r="Y165" s="490"/>
    </row>
    <row r="166" spans="1:25" ht="30">
      <c r="A166" s="31">
        <v>163</v>
      </c>
      <c r="B166" s="22" t="s">
        <v>39</v>
      </c>
      <c r="C166" s="22" t="s">
        <v>290</v>
      </c>
      <c r="D166" s="22" t="s">
        <v>312</v>
      </c>
      <c r="E166" s="23" t="s">
        <v>42</v>
      </c>
      <c r="F166" s="22" t="s">
        <v>43</v>
      </c>
      <c r="G166" s="22" t="s">
        <v>44</v>
      </c>
      <c r="H166" s="22" t="s">
        <v>30</v>
      </c>
      <c r="I166" s="22" t="s">
        <v>313</v>
      </c>
      <c r="J166" s="22" t="s">
        <v>314</v>
      </c>
      <c r="K166" s="519" t="s">
        <v>1092</v>
      </c>
      <c r="L166" s="521" t="s">
        <v>1141</v>
      </c>
      <c r="M166" s="521" t="s">
        <v>1142</v>
      </c>
      <c r="N166" s="521" t="s">
        <v>815</v>
      </c>
      <c r="O166" s="22" t="s">
        <v>293</v>
      </c>
      <c r="P166" s="426">
        <v>2018</v>
      </c>
      <c r="Q166" s="414">
        <f t="shared" ca="1" si="8"/>
        <v>42936.375725888036</v>
      </c>
      <c r="R166" s="335" t="str">
        <f t="shared" ca="1" si="6"/>
        <v>N/A</v>
      </c>
      <c r="S166" s="335" t="str">
        <f t="shared" ca="1" si="7"/>
        <v>N/A</v>
      </c>
      <c r="T166" s="429" t="s">
        <v>48</v>
      </c>
      <c r="U166" s="22"/>
      <c r="V166" s="24"/>
      <c r="W166" s="21"/>
      <c r="Y166" s="490"/>
    </row>
    <row r="167" spans="1:25" ht="45">
      <c r="A167" s="31">
        <v>164</v>
      </c>
      <c r="B167" s="22" t="s">
        <v>39</v>
      </c>
      <c r="C167" s="22" t="s">
        <v>290</v>
      </c>
      <c r="D167" s="22" t="s">
        <v>315</v>
      </c>
      <c r="E167" s="23" t="s">
        <v>316</v>
      </c>
      <c r="F167" s="22" t="s">
        <v>317</v>
      </c>
      <c r="G167" s="22" t="s">
        <v>318</v>
      </c>
      <c r="H167" s="22" t="s">
        <v>30</v>
      </c>
      <c r="I167" s="22" t="s">
        <v>319</v>
      </c>
      <c r="J167" s="22" t="s">
        <v>317</v>
      </c>
      <c r="K167" s="519" t="s">
        <v>1092</v>
      </c>
      <c r="L167" s="521" t="s">
        <v>1143</v>
      </c>
      <c r="M167" s="521" t="s">
        <v>1144</v>
      </c>
      <c r="N167" s="521" t="s">
        <v>885</v>
      </c>
      <c r="O167" s="22" t="s">
        <v>293</v>
      </c>
      <c r="P167" s="426">
        <v>2018</v>
      </c>
      <c r="Q167" s="533">
        <f t="shared" ca="1" si="8"/>
        <v>0</v>
      </c>
      <c r="R167" s="335">
        <f t="shared" ca="1" si="6"/>
        <v>0</v>
      </c>
      <c r="S167" s="335">
        <f t="shared" ca="1" si="7"/>
        <v>0</v>
      </c>
      <c r="T167" s="429"/>
      <c r="U167" s="22"/>
      <c r="V167" s="24"/>
      <c r="W167" s="21"/>
      <c r="Y167" s="490"/>
    </row>
    <row r="168" spans="1:25" ht="45">
      <c r="A168" s="31">
        <v>165</v>
      </c>
      <c r="B168" s="22" t="s">
        <v>39</v>
      </c>
      <c r="C168" s="22" t="s">
        <v>290</v>
      </c>
      <c r="D168" s="22" t="s">
        <v>315</v>
      </c>
      <c r="E168" s="23" t="s">
        <v>316</v>
      </c>
      <c r="F168" s="22" t="s">
        <v>320</v>
      </c>
      <c r="G168" s="22" t="s">
        <v>318</v>
      </c>
      <c r="H168" s="22" t="s">
        <v>30</v>
      </c>
      <c r="I168" s="22" t="s">
        <v>319</v>
      </c>
      <c r="J168" s="22" t="s">
        <v>320</v>
      </c>
      <c r="K168" s="519" t="s">
        <v>1092</v>
      </c>
      <c r="L168" s="521" t="s">
        <v>1145</v>
      </c>
      <c r="M168" s="521" t="s">
        <v>1146</v>
      </c>
      <c r="N168" s="521" t="s">
        <v>885</v>
      </c>
      <c r="O168" s="22" t="s">
        <v>293</v>
      </c>
      <c r="P168" s="426">
        <v>2018</v>
      </c>
      <c r="Q168" s="533">
        <f t="shared" ca="1" si="8"/>
        <v>0.29803950384441308</v>
      </c>
      <c r="R168" s="335">
        <f t="shared" ca="1" si="6"/>
        <v>0</v>
      </c>
      <c r="S168" s="335">
        <f t="shared" ca="1" si="7"/>
        <v>0</v>
      </c>
      <c r="T168" s="429"/>
      <c r="U168" s="22"/>
      <c r="V168" s="24"/>
      <c r="W168" s="21"/>
      <c r="Y168" s="490"/>
    </row>
    <row r="169" spans="1:25" ht="105">
      <c r="A169" s="31">
        <v>166</v>
      </c>
      <c r="B169" s="22" t="s">
        <v>39</v>
      </c>
      <c r="C169" s="22" t="s">
        <v>290</v>
      </c>
      <c r="D169" s="22" t="s">
        <v>315</v>
      </c>
      <c r="E169" s="23" t="s">
        <v>316</v>
      </c>
      <c r="F169" s="22" t="s">
        <v>321</v>
      </c>
      <c r="G169" s="22" t="s">
        <v>318</v>
      </c>
      <c r="H169" s="22" t="s">
        <v>30</v>
      </c>
      <c r="I169" s="22" t="s">
        <v>319</v>
      </c>
      <c r="J169" s="22" t="s">
        <v>321</v>
      </c>
      <c r="K169" s="519" t="s">
        <v>1092</v>
      </c>
      <c r="L169" s="521" t="s">
        <v>1147</v>
      </c>
      <c r="M169" s="521" t="s">
        <v>1148</v>
      </c>
      <c r="N169" s="521" t="s">
        <v>885</v>
      </c>
      <c r="O169" s="22" t="s">
        <v>293</v>
      </c>
      <c r="P169" s="426">
        <v>2018</v>
      </c>
      <c r="Q169" s="533">
        <f t="shared" ca="1" si="8"/>
        <v>2.4319729335962388E-2</v>
      </c>
      <c r="R169" s="335">
        <f t="shared" ca="1" si="6"/>
        <v>0</v>
      </c>
      <c r="S169" s="335">
        <f t="shared" ca="1" si="7"/>
        <v>0</v>
      </c>
      <c r="T169" s="429" t="s">
        <v>322</v>
      </c>
      <c r="U169" s="22"/>
      <c r="V169" s="24" t="s">
        <v>323</v>
      </c>
      <c r="W169" s="21"/>
      <c r="Y169" s="490"/>
    </row>
    <row r="170" spans="1:25" ht="75">
      <c r="A170" s="31">
        <v>167</v>
      </c>
      <c r="B170" s="22" t="s">
        <v>39</v>
      </c>
      <c r="C170" s="22" t="s">
        <v>290</v>
      </c>
      <c r="D170" s="22" t="s">
        <v>324</v>
      </c>
      <c r="E170" s="23" t="s">
        <v>325</v>
      </c>
      <c r="F170" s="22" t="s">
        <v>142</v>
      </c>
      <c r="G170" s="22" t="s">
        <v>143</v>
      </c>
      <c r="H170" s="22" t="s">
        <v>30</v>
      </c>
      <c r="I170" s="22" t="s">
        <v>326</v>
      </c>
      <c r="J170" s="22" t="s">
        <v>327</v>
      </c>
      <c r="K170" s="519" t="s">
        <v>1092</v>
      </c>
      <c r="L170" s="521" t="s">
        <v>1149</v>
      </c>
      <c r="M170" s="521" t="s">
        <v>1150</v>
      </c>
      <c r="N170" s="521" t="s">
        <v>885</v>
      </c>
      <c r="O170" s="22" t="s">
        <v>293</v>
      </c>
      <c r="P170" s="426">
        <v>2018</v>
      </c>
      <c r="Q170" s="533">
        <f t="shared" ca="1" si="8"/>
        <v>0.13900414937759337</v>
      </c>
      <c r="R170" s="335">
        <f t="shared" ca="1" si="6"/>
        <v>0</v>
      </c>
      <c r="S170" s="335">
        <f t="shared" ca="1" si="7"/>
        <v>0</v>
      </c>
      <c r="T170" s="429" t="s">
        <v>328</v>
      </c>
      <c r="U170" s="22" t="s">
        <v>246</v>
      </c>
      <c r="V170" s="24"/>
      <c r="W170" s="21"/>
      <c r="Y170" s="490"/>
    </row>
    <row r="171" spans="1:25" ht="75">
      <c r="A171" s="31">
        <v>168</v>
      </c>
      <c r="B171" s="22" t="s">
        <v>39</v>
      </c>
      <c r="C171" s="22" t="s">
        <v>290</v>
      </c>
      <c r="D171" s="22" t="s">
        <v>324</v>
      </c>
      <c r="E171" s="23" t="s">
        <v>329</v>
      </c>
      <c r="F171" s="22" t="s">
        <v>142</v>
      </c>
      <c r="G171" s="22" t="s">
        <v>143</v>
      </c>
      <c r="H171" s="22" t="s">
        <v>30</v>
      </c>
      <c r="I171" s="22" t="s">
        <v>326</v>
      </c>
      <c r="J171" s="22" t="s">
        <v>330</v>
      </c>
      <c r="K171" s="519" t="s">
        <v>1092</v>
      </c>
      <c r="L171" s="521" t="s">
        <v>1151</v>
      </c>
      <c r="M171" s="521" t="s">
        <v>1152</v>
      </c>
      <c r="N171" s="521" t="s">
        <v>885</v>
      </c>
      <c r="O171" s="22" t="s">
        <v>293</v>
      </c>
      <c r="P171" s="426">
        <v>2018</v>
      </c>
      <c r="Q171" s="533">
        <f t="shared" ca="1" si="8"/>
        <v>5.598802395209581E-2</v>
      </c>
      <c r="R171" s="335">
        <f t="shared" ca="1" si="6"/>
        <v>0</v>
      </c>
      <c r="S171" s="335">
        <f t="shared" ca="1" si="7"/>
        <v>0</v>
      </c>
      <c r="T171" s="429" t="s">
        <v>328</v>
      </c>
      <c r="U171" s="22" t="s">
        <v>246</v>
      </c>
      <c r="V171" s="24"/>
      <c r="W171" s="21"/>
      <c r="Y171" s="490"/>
    </row>
    <row r="172" spans="1:25" ht="75">
      <c r="A172" s="31">
        <v>169</v>
      </c>
      <c r="B172" s="22" t="s">
        <v>39</v>
      </c>
      <c r="C172" s="22" t="s">
        <v>290</v>
      </c>
      <c r="D172" s="22" t="s">
        <v>324</v>
      </c>
      <c r="E172" s="23" t="s">
        <v>331</v>
      </c>
      <c r="F172" s="22" t="s">
        <v>142</v>
      </c>
      <c r="G172" s="22" t="s">
        <v>143</v>
      </c>
      <c r="H172" s="22" t="s">
        <v>30</v>
      </c>
      <c r="I172" s="22" t="s">
        <v>332</v>
      </c>
      <c r="J172" s="22" t="s">
        <v>333</v>
      </c>
      <c r="K172" s="519" t="s">
        <v>1092</v>
      </c>
      <c r="L172" s="521" t="s">
        <v>1153</v>
      </c>
      <c r="M172" s="521" t="s">
        <v>1154</v>
      </c>
      <c r="N172" s="521" t="s">
        <v>885</v>
      </c>
      <c r="O172" s="22" t="s">
        <v>293</v>
      </c>
      <c r="P172" s="426">
        <v>2018</v>
      </c>
      <c r="Q172" s="533">
        <f t="shared" ca="1" si="8"/>
        <v>2.1564372988066231E-2</v>
      </c>
      <c r="R172" s="335">
        <f t="shared" ca="1" si="6"/>
        <v>0</v>
      </c>
      <c r="S172" s="335">
        <f t="shared" ca="1" si="7"/>
        <v>0</v>
      </c>
      <c r="T172" s="429" t="s">
        <v>328</v>
      </c>
      <c r="U172" s="22" t="s">
        <v>246</v>
      </c>
      <c r="V172" s="24"/>
      <c r="W172" s="21"/>
      <c r="Y172" s="490"/>
    </row>
    <row r="173" spans="1:25" ht="120">
      <c r="A173" s="31">
        <v>170</v>
      </c>
      <c r="B173" s="22" t="s">
        <v>39</v>
      </c>
      <c r="C173" s="22" t="s">
        <v>290</v>
      </c>
      <c r="D173" s="22" t="s">
        <v>324</v>
      </c>
      <c r="E173" s="23" t="s">
        <v>252</v>
      </c>
      <c r="F173" s="22" t="s">
        <v>142</v>
      </c>
      <c r="G173" s="22" t="s">
        <v>253</v>
      </c>
      <c r="H173" s="22" t="s">
        <v>30</v>
      </c>
      <c r="I173" s="22" t="s">
        <v>334</v>
      </c>
      <c r="J173" s="22" t="s">
        <v>335</v>
      </c>
      <c r="K173" s="519" t="s">
        <v>1092</v>
      </c>
      <c r="L173" s="521" t="s">
        <v>1155</v>
      </c>
      <c r="M173" s="521" t="s">
        <v>1156</v>
      </c>
      <c r="N173" s="521" t="s">
        <v>885</v>
      </c>
      <c r="O173" s="22" t="s">
        <v>293</v>
      </c>
      <c r="P173" s="426">
        <v>2018</v>
      </c>
      <c r="Q173" s="533">
        <f t="shared" ca="1" si="8"/>
        <v>2.3596968231056791E-2</v>
      </c>
      <c r="R173" s="335">
        <f t="shared" ca="1" si="6"/>
        <v>0</v>
      </c>
      <c r="S173" s="335">
        <f t="shared" ca="1" si="7"/>
        <v>0</v>
      </c>
      <c r="T173" s="429" t="s">
        <v>336</v>
      </c>
      <c r="U173" s="96" t="s">
        <v>337</v>
      </c>
      <c r="V173" s="24" t="s">
        <v>338</v>
      </c>
      <c r="W173" s="21"/>
      <c r="Y173" s="490"/>
    </row>
    <row r="174" spans="1:25" ht="90">
      <c r="A174" s="31">
        <v>171</v>
      </c>
      <c r="B174" s="22" t="s">
        <v>39</v>
      </c>
      <c r="C174" s="22" t="s">
        <v>290</v>
      </c>
      <c r="D174" s="22" t="s">
        <v>324</v>
      </c>
      <c r="E174" s="23" t="s">
        <v>153</v>
      </c>
      <c r="F174" s="22" t="s">
        <v>142</v>
      </c>
      <c r="G174" s="22" t="s">
        <v>154</v>
      </c>
      <c r="H174" s="22" t="s">
        <v>30</v>
      </c>
      <c r="I174" s="22" t="s">
        <v>339</v>
      </c>
      <c r="J174" s="22" t="s">
        <v>156</v>
      </c>
      <c r="K174" s="519" t="s">
        <v>1092</v>
      </c>
      <c r="L174" s="521" t="s">
        <v>1157</v>
      </c>
      <c r="M174" s="521" t="s">
        <v>1158</v>
      </c>
      <c r="N174" s="521" t="s">
        <v>885</v>
      </c>
      <c r="O174" s="22" t="s">
        <v>293</v>
      </c>
      <c r="P174" s="426">
        <v>2018</v>
      </c>
      <c r="Q174" s="533">
        <f t="shared" ca="1" si="8"/>
        <v>2.7390044772188569E-2</v>
      </c>
      <c r="R174" s="335">
        <f t="shared" ca="1" si="6"/>
        <v>0</v>
      </c>
      <c r="S174" s="335">
        <f t="shared" ca="1" si="7"/>
        <v>0</v>
      </c>
      <c r="T174" s="429" t="s">
        <v>340</v>
      </c>
      <c r="U174"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74" s="24"/>
      <c r="W174" s="21"/>
      <c r="Y174" s="490"/>
    </row>
    <row r="175" spans="1:25" ht="120">
      <c r="A175" s="31">
        <v>172</v>
      </c>
      <c r="B175" s="22" t="s">
        <v>39</v>
      </c>
      <c r="C175" s="22" t="s">
        <v>290</v>
      </c>
      <c r="D175" s="22" t="s">
        <v>341</v>
      </c>
      <c r="E175" s="23" t="s">
        <v>342</v>
      </c>
      <c r="F175" s="22" t="s">
        <v>142</v>
      </c>
      <c r="G175" s="22" t="s">
        <v>343</v>
      </c>
      <c r="H175" s="22" t="s">
        <v>30</v>
      </c>
      <c r="I175" s="22" t="s">
        <v>344</v>
      </c>
      <c r="J175" s="22" t="s">
        <v>345</v>
      </c>
      <c r="K175" s="519" t="s">
        <v>1092</v>
      </c>
      <c r="L175" s="521" t="s">
        <v>1159</v>
      </c>
      <c r="M175" s="521" t="s">
        <v>1160</v>
      </c>
      <c r="N175" s="521" t="s">
        <v>885</v>
      </c>
      <c r="O175" s="22" t="s">
        <v>293</v>
      </c>
      <c r="P175" s="426">
        <v>2018</v>
      </c>
      <c r="Q175" s="533">
        <f t="shared" ca="1" si="8"/>
        <v>5.0820587780012312E-2</v>
      </c>
      <c r="R175" s="335">
        <f t="shared" ca="1" si="6"/>
        <v>0</v>
      </c>
      <c r="S175" s="335">
        <f t="shared" ca="1" si="7"/>
        <v>0</v>
      </c>
      <c r="T175" s="429" t="s">
        <v>336</v>
      </c>
      <c r="U175" s="96" t="s">
        <v>337</v>
      </c>
      <c r="V175" s="24" t="s">
        <v>338</v>
      </c>
      <c r="W175" s="21"/>
      <c r="Y175" s="490"/>
    </row>
    <row r="176" spans="1:25" ht="60">
      <c r="A176" s="31">
        <v>173</v>
      </c>
      <c r="B176" s="22" t="s">
        <v>39</v>
      </c>
      <c r="C176" s="22" t="s">
        <v>290</v>
      </c>
      <c r="D176" s="22" t="s">
        <v>341</v>
      </c>
      <c r="E176" s="23" t="s">
        <v>346</v>
      </c>
      <c r="F176" s="22" t="s">
        <v>142</v>
      </c>
      <c r="G176" s="22" t="s">
        <v>347</v>
      </c>
      <c r="H176" s="22" t="s">
        <v>30</v>
      </c>
      <c r="I176" s="22" t="s">
        <v>348</v>
      </c>
      <c r="J176" s="22" t="s">
        <v>349</v>
      </c>
      <c r="K176" s="519" t="s">
        <v>1092</v>
      </c>
      <c r="L176" s="521" t="s">
        <v>1161</v>
      </c>
      <c r="M176" s="521" t="s">
        <v>1162</v>
      </c>
      <c r="N176" s="521" t="s">
        <v>885</v>
      </c>
      <c r="O176" s="22" t="s">
        <v>293</v>
      </c>
      <c r="P176" s="426">
        <v>2018</v>
      </c>
      <c r="Q176" s="533">
        <f t="shared" ca="1" si="8"/>
        <v>5.8091286307053944E-2</v>
      </c>
      <c r="R176" s="335">
        <f t="shared" ca="1" si="6"/>
        <v>0</v>
      </c>
      <c r="S176" s="335">
        <f t="shared" ca="1" si="7"/>
        <v>0</v>
      </c>
      <c r="T176" s="429" t="s">
        <v>350</v>
      </c>
      <c r="U176" s="96" t="s">
        <v>351</v>
      </c>
      <c r="V176" s="24"/>
      <c r="W176" s="21"/>
      <c r="Y176" s="490"/>
    </row>
    <row r="177" spans="1:25" ht="60">
      <c r="A177" s="31">
        <v>174</v>
      </c>
      <c r="B177" s="22" t="s">
        <v>39</v>
      </c>
      <c r="C177" s="22" t="s">
        <v>290</v>
      </c>
      <c r="D177" s="22" t="s">
        <v>341</v>
      </c>
      <c r="E177" s="23" t="s">
        <v>352</v>
      </c>
      <c r="F177" s="22" t="s">
        <v>142</v>
      </c>
      <c r="G177" s="22" t="s">
        <v>347</v>
      </c>
      <c r="H177" s="22" t="s">
        <v>30</v>
      </c>
      <c r="I177" s="22" t="s">
        <v>353</v>
      </c>
      <c r="J177" s="22" t="s">
        <v>354</v>
      </c>
      <c r="K177" s="519" t="s">
        <v>1092</v>
      </c>
      <c r="L177" s="521" t="s">
        <v>1163</v>
      </c>
      <c r="M177" s="521" t="s">
        <v>1164</v>
      </c>
      <c r="N177" s="521" t="s">
        <v>885</v>
      </c>
      <c r="O177" s="22" t="s">
        <v>293</v>
      </c>
      <c r="P177" s="426">
        <v>2018</v>
      </c>
      <c r="Q177" s="533">
        <f t="shared" ca="1" si="8"/>
        <v>3.6655260906757914E-2</v>
      </c>
      <c r="R177" s="335">
        <f t="shared" ca="1" si="6"/>
        <v>0</v>
      </c>
      <c r="S177" s="335">
        <f t="shared" ca="1" si="7"/>
        <v>0</v>
      </c>
      <c r="T177" s="429" t="s">
        <v>355</v>
      </c>
      <c r="U177" s="96" t="s">
        <v>351</v>
      </c>
      <c r="V177" s="24"/>
      <c r="W177" s="21"/>
      <c r="Y177" s="490"/>
    </row>
    <row r="178" spans="1:25" ht="60">
      <c r="A178" s="31">
        <v>175</v>
      </c>
      <c r="B178" s="22" t="s">
        <v>39</v>
      </c>
      <c r="C178" s="22" t="s">
        <v>290</v>
      </c>
      <c r="D178" s="22" t="s">
        <v>341</v>
      </c>
      <c r="E178" s="23" t="s">
        <v>356</v>
      </c>
      <c r="F178" s="22" t="s">
        <v>142</v>
      </c>
      <c r="G178" s="22" t="s">
        <v>347</v>
      </c>
      <c r="H178" s="22" t="s">
        <v>30</v>
      </c>
      <c r="I178" s="22" t="s">
        <v>357</v>
      </c>
      <c r="J178" s="22" t="s">
        <v>358</v>
      </c>
      <c r="K178" s="519" t="s">
        <v>1092</v>
      </c>
      <c r="L178" s="521" t="s">
        <v>1165</v>
      </c>
      <c r="M178" s="521" t="s">
        <v>1166</v>
      </c>
      <c r="N178" s="521" t="s">
        <v>885</v>
      </c>
      <c r="O178" s="22" t="s">
        <v>293</v>
      </c>
      <c r="P178" s="426">
        <v>2018</v>
      </c>
      <c r="Q178" s="533">
        <f t="shared" ca="1" si="8"/>
        <v>2.220463478400057E-2</v>
      </c>
      <c r="R178" s="335">
        <f t="shared" ca="1" si="6"/>
        <v>0</v>
      </c>
      <c r="S178" s="335">
        <f t="shared" ca="1" si="7"/>
        <v>0</v>
      </c>
      <c r="T178" s="429" t="s">
        <v>359</v>
      </c>
      <c r="U178" s="96" t="s">
        <v>351</v>
      </c>
      <c r="V178" s="24"/>
      <c r="W178" s="21"/>
      <c r="Y178" s="490"/>
    </row>
    <row r="179" spans="1:25" ht="75">
      <c r="A179" s="31">
        <v>176</v>
      </c>
      <c r="B179" s="22" t="s">
        <v>39</v>
      </c>
      <c r="C179" s="22" t="s">
        <v>290</v>
      </c>
      <c r="D179" s="22" t="s">
        <v>341</v>
      </c>
      <c r="E179" s="23" t="s">
        <v>270</v>
      </c>
      <c r="F179" s="22" t="s">
        <v>142</v>
      </c>
      <c r="G179" s="22" t="s">
        <v>360</v>
      </c>
      <c r="H179" s="22" t="s">
        <v>30</v>
      </c>
      <c r="I179" s="22" t="s">
        <v>361</v>
      </c>
      <c r="J179" s="22" t="s">
        <v>362</v>
      </c>
      <c r="K179" s="519" t="s">
        <v>1092</v>
      </c>
      <c r="L179" s="521" t="s">
        <v>1167</v>
      </c>
      <c r="M179" s="521" t="s">
        <v>1168</v>
      </c>
      <c r="N179" s="521" t="s">
        <v>885</v>
      </c>
      <c r="O179" s="22" t="s">
        <v>293</v>
      </c>
      <c r="P179" s="426">
        <v>2018</v>
      </c>
      <c r="Q179" s="533">
        <f t="shared" ca="1" si="8"/>
        <v>1.7901803343425036E-2</v>
      </c>
      <c r="R179" s="335">
        <f t="shared" ca="1" si="6"/>
        <v>0</v>
      </c>
      <c r="S179" s="335">
        <f t="shared" ca="1" si="7"/>
        <v>0</v>
      </c>
      <c r="T179" s="429" t="s">
        <v>363</v>
      </c>
      <c r="U179" s="22"/>
      <c r="V179" s="24"/>
      <c r="W179" s="21"/>
      <c r="Y179" s="490"/>
    </row>
    <row r="180" spans="1:25" ht="30">
      <c r="A180" s="31">
        <v>177</v>
      </c>
      <c r="B180" s="22" t="s">
        <v>39</v>
      </c>
      <c r="C180" s="22" t="s">
        <v>290</v>
      </c>
      <c r="D180" s="22" t="s">
        <v>364</v>
      </c>
      <c r="E180" s="23" t="s">
        <v>91</v>
      </c>
      <c r="F180" s="22" t="s">
        <v>92</v>
      </c>
      <c r="G180" s="22" t="s">
        <v>93</v>
      </c>
      <c r="H180" s="22" t="s">
        <v>30</v>
      </c>
      <c r="I180" s="22" t="s">
        <v>365</v>
      </c>
      <c r="J180" s="22" t="s">
        <v>92</v>
      </c>
      <c r="K180" s="519" t="s">
        <v>1092</v>
      </c>
      <c r="L180" s="521" t="s">
        <v>1169</v>
      </c>
      <c r="M180" s="521" t="s">
        <v>1170</v>
      </c>
      <c r="N180" s="521" t="s">
        <v>885</v>
      </c>
      <c r="O180" s="22" t="s">
        <v>293</v>
      </c>
      <c r="P180" s="426">
        <v>2018</v>
      </c>
      <c r="Q180" s="414">
        <f t="shared" ca="1" si="8"/>
        <v>126.72592204790902</v>
      </c>
      <c r="R180" s="335">
        <f t="shared" ca="1" si="6"/>
        <v>0</v>
      </c>
      <c r="S180" s="335">
        <f t="shared" ca="1" si="7"/>
        <v>0</v>
      </c>
      <c r="T180" s="429"/>
      <c r="U180" s="22"/>
      <c r="V180" s="24"/>
      <c r="W180" s="21"/>
      <c r="Y180" s="490"/>
    </row>
    <row r="181" spans="1:25" ht="30">
      <c r="A181" s="31">
        <v>178</v>
      </c>
      <c r="B181" s="22" t="s">
        <v>39</v>
      </c>
      <c r="C181" s="22" t="s">
        <v>290</v>
      </c>
      <c r="D181" s="22" t="s">
        <v>364</v>
      </c>
      <c r="E181" s="23" t="s">
        <v>91</v>
      </c>
      <c r="F181" s="22" t="s">
        <v>95</v>
      </c>
      <c r="G181" s="22" t="s">
        <v>93</v>
      </c>
      <c r="H181" s="22" t="s">
        <v>30</v>
      </c>
      <c r="I181" s="22" t="s">
        <v>365</v>
      </c>
      <c r="J181" s="22" t="s">
        <v>95</v>
      </c>
      <c r="K181" s="519" t="s">
        <v>1092</v>
      </c>
      <c r="L181" s="521" t="s">
        <v>1171</v>
      </c>
      <c r="M181" s="521" t="s">
        <v>1172</v>
      </c>
      <c r="N181" s="521" t="s">
        <v>885</v>
      </c>
      <c r="O181" s="22" t="s">
        <v>293</v>
      </c>
      <c r="P181" s="426">
        <v>2018</v>
      </c>
      <c r="Q181" s="414">
        <f t="shared" ca="1" si="8"/>
        <v>3.0611934809421856E-2</v>
      </c>
      <c r="R181" s="335">
        <f t="shared" ca="1" si="6"/>
        <v>0</v>
      </c>
      <c r="S181" s="335">
        <f t="shared" ca="1" si="7"/>
        <v>0</v>
      </c>
      <c r="T181" s="429"/>
      <c r="U181" s="22"/>
      <c r="V181" s="24"/>
      <c r="W181" s="21"/>
      <c r="Y181" s="490"/>
    </row>
    <row r="182" spans="1:25" ht="30">
      <c r="A182" s="31">
        <v>179</v>
      </c>
      <c r="B182" s="22" t="s">
        <v>39</v>
      </c>
      <c r="C182" s="22" t="s">
        <v>290</v>
      </c>
      <c r="D182" s="22" t="s">
        <v>364</v>
      </c>
      <c r="E182" s="23" t="s">
        <v>91</v>
      </c>
      <c r="F182" s="22" t="s">
        <v>96</v>
      </c>
      <c r="G182" s="22" t="s">
        <v>93</v>
      </c>
      <c r="H182" s="22" t="s">
        <v>30</v>
      </c>
      <c r="I182" s="22" t="s">
        <v>365</v>
      </c>
      <c r="J182" s="22" t="s">
        <v>96</v>
      </c>
      <c r="K182" s="519" t="s">
        <v>1092</v>
      </c>
      <c r="L182" s="521" t="s">
        <v>1173</v>
      </c>
      <c r="M182" s="521" t="s">
        <v>1174</v>
      </c>
      <c r="N182" s="521" t="s">
        <v>885</v>
      </c>
      <c r="O182" s="22" t="s">
        <v>293</v>
      </c>
      <c r="P182" s="426">
        <v>2018</v>
      </c>
      <c r="Q182" s="414">
        <f t="shared" ca="1" si="8"/>
        <v>0.29694917736404691</v>
      </c>
      <c r="R182" s="335">
        <f t="shared" ca="1" si="6"/>
        <v>0</v>
      </c>
      <c r="S182" s="335">
        <f t="shared" ca="1" si="7"/>
        <v>0</v>
      </c>
      <c r="T182" s="429" t="s">
        <v>48</v>
      </c>
      <c r="U182" s="22" t="s">
        <v>49</v>
      </c>
      <c r="V182" s="24"/>
      <c r="W182" s="21"/>
      <c r="Y182" s="490"/>
    </row>
    <row r="183" spans="1:25" ht="30">
      <c r="A183" s="31">
        <v>180</v>
      </c>
      <c r="B183" s="22" t="s">
        <v>39</v>
      </c>
      <c r="C183" s="22" t="s">
        <v>290</v>
      </c>
      <c r="D183" s="22" t="s">
        <v>364</v>
      </c>
      <c r="E183" s="23" t="s">
        <v>91</v>
      </c>
      <c r="F183" s="22" t="s">
        <v>97</v>
      </c>
      <c r="G183" s="22" t="s">
        <v>93</v>
      </c>
      <c r="H183" s="22" t="s">
        <v>30</v>
      </c>
      <c r="I183" s="22" t="s">
        <v>365</v>
      </c>
      <c r="J183" s="22" t="s">
        <v>97</v>
      </c>
      <c r="K183" s="519" t="s">
        <v>1092</v>
      </c>
      <c r="L183" s="521" t="s">
        <v>1175</v>
      </c>
      <c r="M183" s="521" t="s">
        <v>1176</v>
      </c>
      <c r="N183" s="521" t="s">
        <v>885</v>
      </c>
      <c r="O183" s="22" t="s">
        <v>293</v>
      </c>
      <c r="P183" s="426">
        <v>2018</v>
      </c>
      <c r="Q183" s="414">
        <f t="shared" ca="1" si="8"/>
        <v>176.21722775693706</v>
      </c>
      <c r="R183" s="335">
        <f t="shared" ca="1" si="6"/>
        <v>0</v>
      </c>
      <c r="S183" s="335">
        <f t="shared" ca="1" si="7"/>
        <v>0</v>
      </c>
      <c r="T183" s="429"/>
      <c r="U183" s="22"/>
      <c r="V183" s="24"/>
      <c r="W183" s="21"/>
      <c r="Y183" s="490"/>
    </row>
    <row r="184" spans="1:25" ht="30">
      <c r="A184" s="31">
        <v>181</v>
      </c>
      <c r="B184" s="22" t="s">
        <v>39</v>
      </c>
      <c r="C184" s="22" t="s">
        <v>290</v>
      </c>
      <c r="D184" s="22" t="s">
        <v>364</v>
      </c>
      <c r="E184" s="23" t="s">
        <v>91</v>
      </c>
      <c r="F184" s="22" t="s">
        <v>98</v>
      </c>
      <c r="G184" s="22" t="s">
        <v>93</v>
      </c>
      <c r="H184" s="22" t="s">
        <v>30</v>
      </c>
      <c r="I184" s="22" t="s">
        <v>365</v>
      </c>
      <c r="J184" s="22" t="s">
        <v>98</v>
      </c>
      <c r="K184" s="519" t="s">
        <v>1092</v>
      </c>
      <c r="L184" s="521" t="s">
        <v>1177</v>
      </c>
      <c r="M184" s="521" t="s">
        <v>1178</v>
      </c>
      <c r="N184" s="521" t="s">
        <v>885</v>
      </c>
      <c r="O184" s="22" t="s">
        <v>293</v>
      </c>
      <c r="P184" s="426">
        <v>2018</v>
      </c>
      <c r="Q184" s="414">
        <f t="shared" ca="1" si="8"/>
        <v>4.2567062848854663E-2</v>
      </c>
      <c r="R184" s="335">
        <f t="shared" ca="1" si="6"/>
        <v>0</v>
      </c>
      <c r="S184" s="335">
        <f t="shared" ca="1" si="7"/>
        <v>0</v>
      </c>
      <c r="T184" s="429"/>
      <c r="U184" s="22"/>
      <c r="V184" s="24"/>
      <c r="W184" s="21"/>
      <c r="Y184" s="490"/>
    </row>
    <row r="185" spans="1:25" ht="30">
      <c r="A185" s="31">
        <v>182</v>
      </c>
      <c r="B185" s="22" t="s">
        <v>39</v>
      </c>
      <c r="C185" s="22" t="s">
        <v>290</v>
      </c>
      <c r="D185" s="22" t="s">
        <v>364</v>
      </c>
      <c r="E185" s="23" t="s">
        <v>91</v>
      </c>
      <c r="F185" s="22" t="s">
        <v>99</v>
      </c>
      <c r="G185" s="22" t="s">
        <v>93</v>
      </c>
      <c r="H185" s="22" t="s">
        <v>30</v>
      </c>
      <c r="I185" s="22" t="s">
        <v>365</v>
      </c>
      <c r="J185" s="22" t="s">
        <v>99</v>
      </c>
      <c r="K185" s="519" t="s">
        <v>1092</v>
      </c>
      <c r="L185" s="521" t="s">
        <v>1179</v>
      </c>
      <c r="M185" s="521" t="s">
        <v>1180</v>
      </c>
      <c r="N185" s="521" t="s">
        <v>885</v>
      </c>
      <c r="O185" s="22" t="s">
        <v>293</v>
      </c>
      <c r="P185" s="426">
        <v>2018</v>
      </c>
      <c r="Q185" s="414">
        <f t="shared" ca="1" si="8"/>
        <v>0.41291915635076459</v>
      </c>
      <c r="R185" s="335">
        <f t="shared" ca="1" si="6"/>
        <v>0</v>
      </c>
      <c r="S185" s="335">
        <f t="shared" ca="1" si="7"/>
        <v>0</v>
      </c>
      <c r="T185" s="429" t="s">
        <v>48</v>
      </c>
      <c r="U185" s="22" t="s">
        <v>49</v>
      </c>
      <c r="V185" s="24"/>
      <c r="W185" s="21"/>
      <c r="Y185" s="490"/>
    </row>
    <row r="186" spans="1:25" ht="60">
      <c r="A186" s="31">
        <v>183</v>
      </c>
      <c r="B186" s="22" t="s">
        <v>39</v>
      </c>
      <c r="C186" s="22" t="s">
        <v>366</v>
      </c>
      <c r="D186" s="22" t="s">
        <v>367</v>
      </c>
      <c r="E186" s="23" t="s">
        <v>368</v>
      </c>
      <c r="F186" s="22" t="s">
        <v>142</v>
      </c>
      <c r="G186" s="22" t="s">
        <v>369</v>
      </c>
      <c r="H186" s="22" t="s">
        <v>164</v>
      </c>
      <c r="I186" s="22" t="s">
        <v>370</v>
      </c>
      <c r="J186" s="22" t="s">
        <v>371</v>
      </c>
      <c r="K186" s="519" t="s">
        <v>1092</v>
      </c>
      <c r="L186" s="521" t="s">
        <v>1181</v>
      </c>
      <c r="M186" s="521" t="s">
        <v>1182</v>
      </c>
      <c r="N186" s="521" t="s">
        <v>885</v>
      </c>
      <c r="O186" s="22" t="s">
        <v>293</v>
      </c>
      <c r="P186" s="426">
        <v>2018</v>
      </c>
      <c r="Q186" s="533">
        <f t="shared" ca="1" si="8"/>
        <v>0</v>
      </c>
      <c r="R186" s="335">
        <f t="shared" ca="1" si="6"/>
        <v>0</v>
      </c>
      <c r="S186" s="335">
        <f t="shared" ca="1" si="7"/>
        <v>0</v>
      </c>
      <c r="T186" s="429" t="s">
        <v>372</v>
      </c>
      <c r="U186" s="22"/>
      <c r="V186" s="24"/>
      <c r="W186" s="21"/>
      <c r="Y186" s="490"/>
    </row>
    <row r="187" spans="1:25" ht="30">
      <c r="A187" s="31">
        <v>184</v>
      </c>
      <c r="B187" s="22" t="s">
        <v>39</v>
      </c>
      <c r="C187" s="22" t="s">
        <v>366</v>
      </c>
      <c r="D187" s="22" t="s">
        <v>367</v>
      </c>
      <c r="E187" s="23" t="s">
        <v>373</v>
      </c>
      <c r="F187" s="22" t="s">
        <v>142</v>
      </c>
      <c r="G187" s="22" t="s">
        <v>369</v>
      </c>
      <c r="H187" s="22" t="s">
        <v>164</v>
      </c>
      <c r="I187" s="22" t="s">
        <v>374</v>
      </c>
      <c r="J187" s="22" t="s">
        <v>375</v>
      </c>
      <c r="K187" s="519" t="s">
        <v>1092</v>
      </c>
      <c r="L187" s="521" t="s">
        <v>1183</v>
      </c>
      <c r="M187" s="521" t="s">
        <v>1184</v>
      </c>
      <c r="N187" s="521" t="s">
        <v>885</v>
      </c>
      <c r="O187" s="22" t="s">
        <v>293</v>
      </c>
      <c r="P187" s="426">
        <v>2018</v>
      </c>
      <c r="Q187" s="533">
        <f t="shared" ca="1" si="8"/>
        <v>0</v>
      </c>
      <c r="R187" s="335">
        <f t="shared" ca="1" si="6"/>
        <v>0</v>
      </c>
      <c r="S187" s="335">
        <f t="shared" ca="1" si="7"/>
        <v>0</v>
      </c>
      <c r="T187" s="429" t="s">
        <v>376</v>
      </c>
      <c r="U187" s="22"/>
      <c r="V187" s="24"/>
      <c r="W187" s="21"/>
      <c r="Y187" s="490"/>
    </row>
    <row r="188" spans="1:25" ht="30">
      <c r="A188" s="31">
        <v>185</v>
      </c>
      <c r="B188" s="22" t="s">
        <v>39</v>
      </c>
      <c r="C188" s="22" t="s">
        <v>366</v>
      </c>
      <c r="D188" s="22" t="s">
        <v>377</v>
      </c>
      <c r="E188" s="23" t="s">
        <v>378</v>
      </c>
      <c r="F188" s="22" t="s">
        <v>142</v>
      </c>
      <c r="G188" s="22" t="s">
        <v>379</v>
      </c>
      <c r="H188" s="22" t="s">
        <v>164</v>
      </c>
      <c r="I188" s="22" t="s">
        <v>380</v>
      </c>
      <c r="J188" s="22" t="s">
        <v>381</v>
      </c>
      <c r="K188" s="519" t="s">
        <v>1092</v>
      </c>
      <c r="L188" s="521" t="s">
        <v>1185</v>
      </c>
      <c r="M188" s="521" t="s">
        <v>1186</v>
      </c>
      <c r="N188" s="521" t="s">
        <v>885</v>
      </c>
      <c r="O188" s="22" t="s">
        <v>293</v>
      </c>
      <c r="P188" s="426">
        <v>2018</v>
      </c>
      <c r="Q188" s="533">
        <f t="shared" ca="1" si="8"/>
        <v>0</v>
      </c>
      <c r="R188" s="335">
        <f t="shared" ca="1" si="6"/>
        <v>0</v>
      </c>
      <c r="S188" s="335">
        <f t="shared" ca="1" si="7"/>
        <v>0</v>
      </c>
      <c r="T188" s="429" t="s">
        <v>383</v>
      </c>
      <c r="U188" s="22"/>
      <c r="V188" s="24"/>
      <c r="W188" s="21"/>
      <c r="Y188" s="490"/>
    </row>
    <row r="189" spans="1:25" ht="30">
      <c r="A189" s="31">
        <v>186</v>
      </c>
      <c r="B189" s="22" t="s">
        <v>39</v>
      </c>
      <c r="C189" s="22" t="s">
        <v>366</v>
      </c>
      <c r="D189" s="22" t="s">
        <v>377</v>
      </c>
      <c r="E189" s="23" t="s">
        <v>384</v>
      </c>
      <c r="F189" s="22" t="s">
        <v>142</v>
      </c>
      <c r="G189" s="22" t="s">
        <v>379</v>
      </c>
      <c r="H189" s="22" t="s">
        <v>164</v>
      </c>
      <c r="I189" s="22" t="s">
        <v>385</v>
      </c>
      <c r="J189" s="22" t="s">
        <v>386</v>
      </c>
      <c r="K189" s="519" t="s">
        <v>1092</v>
      </c>
      <c r="L189" s="521" t="s">
        <v>1187</v>
      </c>
      <c r="M189" s="521" t="s">
        <v>1188</v>
      </c>
      <c r="N189" s="521" t="s">
        <v>885</v>
      </c>
      <c r="O189" s="22" t="s">
        <v>293</v>
      </c>
      <c r="P189" s="426">
        <v>2018</v>
      </c>
      <c r="Q189" s="533">
        <f t="shared" ca="1" si="8"/>
        <v>0</v>
      </c>
      <c r="R189" s="335">
        <f t="shared" ca="1" si="6"/>
        <v>0</v>
      </c>
      <c r="S189" s="335">
        <f t="shared" ca="1" si="7"/>
        <v>0</v>
      </c>
      <c r="T189" s="429" t="s">
        <v>383</v>
      </c>
      <c r="U189" s="22"/>
      <c r="V189" s="24"/>
      <c r="W189" s="21"/>
      <c r="Y189" s="490"/>
    </row>
    <row r="190" spans="1:25" ht="30">
      <c r="A190" s="31">
        <v>187</v>
      </c>
      <c r="B190" s="22" t="s">
        <v>39</v>
      </c>
      <c r="C190" s="22" t="s">
        <v>366</v>
      </c>
      <c r="D190" s="22" t="s">
        <v>387</v>
      </c>
      <c r="E190" s="23" t="s">
        <v>388</v>
      </c>
      <c r="F190" s="22" t="s">
        <v>142</v>
      </c>
      <c r="G190" s="22" t="s">
        <v>389</v>
      </c>
      <c r="H190" s="22" t="s">
        <v>164</v>
      </c>
      <c r="I190" s="22" t="s">
        <v>390</v>
      </c>
      <c r="J190" s="22" t="s">
        <v>391</v>
      </c>
      <c r="K190" s="519" t="s">
        <v>1092</v>
      </c>
      <c r="L190" s="521" t="s">
        <v>1189</v>
      </c>
      <c r="M190" s="521" t="s">
        <v>1190</v>
      </c>
      <c r="N190" s="521" t="s">
        <v>885</v>
      </c>
      <c r="O190" s="22" t="s">
        <v>293</v>
      </c>
      <c r="P190" s="426">
        <v>2018</v>
      </c>
      <c r="Q190" s="533">
        <f t="shared" ca="1" si="8"/>
        <v>0</v>
      </c>
      <c r="R190" s="335">
        <f t="shared" ca="1" si="6"/>
        <v>0</v>
      </c>
      <c r="S190" s="335">
        <f t="shared" ca="1" si="7"/>
        <v>0</v>
      </c>
      <c r="T190" s="429" t="s">
        <v>392</v>
      </c>
      <c r="U190" s="22"/>
      <c r="V190" s="24"/>
      <c r="W190" s="21"/>
      <c r="Y190" s="490"/>
    </row>
    <row r="191" spans="1:25" ht="45">
      <c r="A191" s="31">
        <v>188</v>
      </c>
      <c r="B191" s="22" t="s">
        <v>39</v>
      </c>
      <c r="C191" s="22" t="s">
        <v>366</v>
      </c>
      <c r="D191" s="22" t="s">
        <v>141</v>
      </c>
      <c r="E191" s="23" t="s">
        <v>51</v>
      </c>
      <c r="F191" s="22" t="s">
        <v>52</v>
      </c>
      <c r="G191" s="22" t="s">
        <v>53</v>
      </c>
      <c r="H191" s="22" t="s">
        <v>30</v>
      </c>
      <c r="I191" s="22" t="s">
        <v>393</v>
      </c>
      <c r="J191" s="22" t="s">
        <v>52</v>
      </c>
      <c r="K191" s="519" t="s">
        <v>1191</v>
      </c>
      <c r="L191" s="521" t="s">
        <v>1192</v>
      </c>
      <c r="M191" s="521" t="s">
        <v>1193</v>
      </c>
      <c r="N191" s="521" t="s">
        <v>815</v>
      </c>
      <c r="O191" s="22" t="s">
        <v>394</v>
      </c>
      <c r="P191" s="426">
        <v>2018</v>
      </c>
      <c r="Q191" s="414">
        <f t="shared" ca="1" si="8"/>
        <v>4869.3797351635285</v>
      </c>
      <c r="R191" s="335" t="str">
        <f t="shared" ca="1" si="6"/>
        <v>N/A</v>
      </c>
      <c r="S191" s="335" t="str">
        <f t="shared" ca="1" si="7"/>
        <v>N/A</v>
      </c>
      <c r="T191" s="429" t="s">
        <v>899</v>
      </c>
      <c r="U191" s="22"/>
      <c r="V191" s="24"/>
      <c r="W191" s="21"/>
      <c r="Y191" s="490"/>
    </row>
    <row r="192" spans="1:25" ht="45">
      <c r="A192" s="31">
        <v>189</v>
      </c>
      <c r="B192" s="22" t="s">
        <v>39</v>
      </c>
      <c r="C192" s="22" t="s">
        <v>366</v>
      </c>
      <c r="D192" s="22" t="s">
        <v>141</v>
      </c>
      <c r="E192" s="23" t="s">
        <v>51</v>
      </c>
      <c r="F192" s="22" t="s">
        <v>55</v>
      </c>
      <c r="G192" s="22" t="s">
        <v>53</v>
      </c>
      <c r="H192" s="22" t="s">
        <v>30</v>
      </c>
      <c r="I192" s="22" t="s">
        <v>393</v>
      </c>
      <c r="J192" s="22" t="s">
        <v>55</v>
      </c>
      <c r="K192" s="519" t="s">
        <v>1191</v>
      </c>
      <c r="L192" s="521" t="s">
        <v>1194</v>
      </c>
      <c r="M192" s="521" t="s">
        <v>1195</v>
      </c>
      <c r="N192" s="521" t="s">
        <v>815</v>
      </c>
      <c r="O192" s="22" t="s">
        <v>394</v>
      </c>
      <c r="P192" s="426">
        <v>2018</v>
      </c>
      <c r="Q192" s="414">
        <f t="shared" ca="1" si="8"/>
        <v>3771.8348593808496</v>
      </c>
      <c r="R192" s="335" t="str">
        <f t="shared" ca="1" si="6"/>
        <v>N/A</v>
      </c>
      <c r="S192" s="335" t="str">
        <f t="shared" ca="1" si="7"/>
        <v>N/A</v>
      </c>
      <c r="T192" s="429" t="s">
        <v>899</v>
      </c>
      <c r="U192" s="22"/>
      <c r="V192" s="24"/>
      <c r="W192" s="21"/>
      <c r="Y192" s="490"/>
    </row>
    <row r="193" spans="1:25" ht="45">
      <c r="A193" s="31">
        <v>190</v>
      </c>
      <c r="B193" s="22" t="s">
        <v>39</v>
      </c>
      <c r="C193" s="22" t="s">
        <v>366</v>
      </c>
      <c r="D193" s="22" t="s">
        <v>141</v>
      </c>
      <c r="E193" s="23" t="s">
        <v>51</v>
      </c>
      <c r="F193" s="22" t="s">
        <v>56</v>
      </c>
      <c r="G193" s="22" t="s">
        <v>53</v>
      </c>
      <c r="H193" s="22" t="s">
        <v>30</v>
      </c>
      <c r="I193" s="22" t="s">
        <v>393</v>
      </c>
      <c r="J193" s="22" t="s">
        <v>56</v>
      </c>
      <c r="K193" s="519" t="s">
        <v>1191</v>
      </c>
      <c r="L193" s="521" t="s">
        <v>1196</v>
      </c>
      <c r="M193" s="521" t="s">
        <v>1197</v>
      </c>
      <c r="N193" s="521" t="s">
        <v>815</v>
      </c>
      <c r="O193" s="22" t="s">
        <v>394</v>
      </c>
      <c r="P193" s="426">
        <v>2018</v>
      </c>
      <c r="Q193" s="414">
        <f t="shared" ca="1" si="8"/>
        <v>25281292.089263417</v>
      </c>
      <c r="R193" s="335" t="str">
        <f t="shared" ca="1" si="6"/>
        <v>N/A</v>
      </c>
      <c r="S193" s="335" t="str">
        <f t="shared" ca="1" si="7"/>
        <v>N/A</v>
      </c>
      <c r="T193" s="429" t="s">
        <v>899</v>
      </c>
      <c r="U193" s="22"/>
      <c r="V193" s="24"/>
      <c r="W193" s="21"/>
      <c r="Y193" s="490"/>
    </row>
    <row r="194" spans="1:25" ht="45">
      <c r="A194" s="31">
        <v>191</v>
      </c>
      <c r="B194" s="22" t="s">
        <v>39</v>
      </c>
      <c r="C194" s="22" t="s">
        <v>366</v>
      </c>
      <c r="D194" s="22" t="s">
        <v>141</v>
      </c>
      <c r="E194" s="23" t="s">
        <v>51</v>
      </c>
      <c r="F194" s="22" t="s">
        <v>57</v>
      </c>
      <c r="G194" s="22" t="s">
        <v>53</v>
      </c>
      <c r="H194" s="22" t="s">
        <v>30</v>
      </c>
      <c r="I194" s="22" t="s">
        <v>393</v>
      </c>
      <c r="J194" s="22" t="s">
        <v>57</v>
      </c>
      <c r="K194" s="519" t="s">
        <v>1191</v>
      </c>
      <c r="L194" s="521" t="s">
        <v>1198</v>
      </c>
      <c r="M194" s="521" t="s">
        <v>1199</v>
      </c>
      <c r="N194" s="521" t="s">
        <v>815</v>
      </c>
      <c r="O194" s="22" t="s">
        <v>394</v>
      </c>
      <c r="P194" s="426">
        <v>2018</v>
      </c>
      <c r="Q194" s="414">
        <f t="shared" ca="1" si="8"/>
        <v>19629014.223912973</v>
      </c>
      <c r="R194" s="335" t="str">
        <f t="shared" ca="1" si="6"/>
        <v>N/A</v>
      </c>
      <c r="S194" s="335" t="str">
        <f t="shared" ca="1" si="7"/>
        <v>N/A</v>
      </c>
      <c r="T194" s="429" t="s">
        <v>899</v>
      </c>
      <c r="U194" s="22"/>
      <c r="V194" s="24"/>
      <c r="W194" s="21"/>
      <c r="Y194" s="490"/>
    </row>
    <row r="195" spans="1:25" ht="45">
      <c r="A195" s="31">
        <v>192</v>
      </c>
      <c r="B195" s="22" t="s">
        <v>39</v>
      </c>
      <c r="C195" s="22" t="s">
        <v>366</v>
      </c>
      <c r="D195" s="22" t="s">
        <v>141</v>
      </c>
      <c r="E195" s="23" t="s">
        <v>51</v>
      </c>
      <c r="F195" s="22" t="s">
        <v>58</v>
      </c>
      <c r="G195" s="22" t="s">
        <v>53</v>
      </c>
      <c r="H195" s="22" t="s">
        <v>30</v>
      </c>
      <c r="I195" s="22" t="s">
        <v>393</v>
      </c>
      <c r="J195" s="22" t="s">
        <v>58</v>
      </c>
      <c r="K195" s="519" t="s">
        <v>1191</v>
      </c>
      <c r="L195" s="521" t="s">
        <v>1200</v>
      </c>
      <c r="M195" s="521" t="s">
        <v>1201</v>
      </c>
      <c r="N195" s="521" t="s">
        <v>815</v>
      </c>
      <c r="O195" s="22" t="s">
        <v>394</v>
      </c>
      <c r="P195" s="426">
        <v>2018</v>
      </c>
      <c r="Q195" s="414">
        <f t="shared" ca="1" si="8"/>
        <v>165007.97731415418</v>
      </c>
      <c r="R195" s="335" t="str">
        <f t="shared" ref="R195:R258" ca="1" si="9">IF($N195 = "N","N/A",SUMIF(INDIRECT("'"&amp;K195&amp;"'!i:i"),L195,INDIRECT("'"&amp;K195&amp;"'!m:m")))</f>
        <v>N/A</v>
      </c>
      <c r="S195" s="335" t="str">
        <f t="shared" ref="S195:S258" ca="1" si="10">IF($N195 = "N","N/A",SUMIF(INDIRECT("'"&amp;K195&amp;"'!i:i"),M195,INDIRECT("'"&amp;K195&amp;"'!m:m")))</f>
        <v>N/A</v>
      </c>
      <c r="T195" s="429" t="s">
        <v>899</v>
      </c>
      <c r="U195" s="305" t="s">
        <v>395</v>
      </c>
      <c r="V195" s="24"/>
      <c r="W195" s="21"/>
      <c r="Y195" s="490"/>
    </row>
    <row r="196" spans="1:25" ht="45">
      <c r="A196" s="31">
        <v>193</v>
      </c>
      <c r="B196" s="22" t="s">
        <v>39</v>
      </c>
      <c r="C196" s="22" t="s">
        <v>366</v>
      </c>
      <c r="D196" s="22" t="s">
        <v>141</v>
      </c>
      <c r="E196" s="23" t="s">
        <v>51</v>
      </c>
      <c r="F196" s="22" t="s">
        <v>60</v>
      </c>
      <c r="G196" s="22" t="s">
        <v>53</v>
      </c>
      <c r="H196" s="22" t="s">
        <v>30</v>
      </c>
      <c r="I196" s="22" t="s">
        <v>393</v>
      </c>
      <c r="J196" s="22" t="s">
        <v>60</v>
      </c>
      <c r="K196" s="519" t="s">
        <v>1191</v>
      </c>
      <c r="L196" s="521" t="s">
        <v>1202</v>
      </c>
      <c r="M196" s="521" t="s">
        <v>1203</v>
      </c>
      <c r="N196" s="521" t="s">
        <v>815</v>
      </c>
      <c r="O196" s="22" t="s">
        <v>394</v>
      </c>
      <c r="P196" s="426">
        <v>2018</v>
      </c>
      <c r="Q196" s="414">
        <f t="shared" ref="Q196:Q259" ca="1" si="11">SUMIF(INDIRECT("'"&amp;K196&amp;"'!c:c"),A196,INDIRECT("'"&amp;K196&amp;"'!f:f"))</f>
        <v>99632.881440777332</v>
      </c>
      <c r="R196" s="335" t="str">
        <f t="shared" ca="1" si="9"/>
        <v>N/A</v>
      </c>
      <c r="S196" s="335" t="str">
        <f t="shared" ca="1" si="10"/>
        <v>N/A</v>
      </c>
      <c r="T196" s="429" t="s">
        <v>899</v>
      </c>
      <c r="U196" s="305" t="s">
        <v>395</v>
      </c>
      <c r="V196" s="24"/>
      <c r="W196" s="21"/>
      <c r="Y196" s="490"/>
    </row>
    <row r="197" spans="1:25" ht="45">
      <c r="A197" s="31">
        <v>194</v>
      </c>
      <c r="B197" s="22" t="s">
        <v>39</v>
      </c>
      <c r="C197" s="22" t="s">
        <v>366</v>
      </c>
      <c r="D197" s="22" t="s">
        <v>141</v>
      </c>
      <c r="E197" s="23" t="s">
        <v>51</v>
      </c>
      <c r="F197" s="22" t="s">
        <v>61</v>
      </c>
      <c r="G197" s="22" t="s">
        <v>53</v>
      </c>
      <c r="H197" s="22" t="s">
        <v>30</v>
      </c>
      <c r="I197" s="22" t="s">
        <v>393</v>
      </c>
      <c r="J197" s="22" t="s">
        <v>61</v>
      </c>
      <c r="K197" s="519" t="s">
        <v>1191</v>
      </c>
      <c r="L197" s="521" t="s">
        <v>1204</v>
      </c>
      <c r="M197" s="521" t="s">
        <v>1205</v>
      </c>
      <c r="N197" s="521" t="s">
        <v>815</v>
      </c>
      <c r="O197" s="22" t="s">
        <v>394</v>
      </c>
      <c r="P197" s="426">
        <v>2018</v>
      </c>
      <c r="Q197" s="414">
        <f t="shared" ca="1" si="11"/>
        <v>44541.967750757394</v>
      </c>
      <c r="R197" s="335" t="str">
        <f t="shared" ca="1" si="9"/>
        <v>N/A</v>
      </c>
      <c r="S197" s="335" t="str">
        <f t="shared" ca="1" si="10"/>
        <v>N/A</v>
      </c>
      <c r="T197" s="429" t="s">
        <v>899</v>
      </c>
      <c r="U197" s="22"/>
      <c r="V197" s="24"/>
      <c r="W197" s="21"/>
      <c r="Y197" s="490"/>
    </row>
    <row r="198" spans="1:25" ht="45">
      <c r="A198" s="31">
        <v>195</v>
      </c>
      <c r="B198" s="22" t="s">
        <v>39</v>
      </c>
      <c r="C198" s="22" t="s">
        <v>366</v>
      </c>
      <c r="D198" s="22" t="s">
        <v>141</v>
      </c>
      <c r="E198" s="23" t="s">
        <v>51</v>
      </c>
      <c r="F198" s="22" t="s">
        <v>62</v>
      </c>
      <c r="G198" s="22" t="s">
        <v>53</v>
      </c>
      <c r="H198" s="22" t="s">
        <v>30</v>
      </c>
      <c r="I198" s="22" t="s">
        <v>393</v>
      </c>
      <c r="J198" s="22" t="s">
        <v>62</v>
      </c>
      <c r="K198" s="519" t="s">
        <v>1191</v>
      </c>
      <c r="L198" s="521" t="s">
        <v>1206</v>
      </c>
      <c r="M198" s="521" t="s">
        <v>1207</v>
      </c>
      <c r="N198" s="521" t="s">
        <v>815</v>
      </c>
      <c r="O198" s="22" t="s">
        <v>394</v>
      </c>
      <c r="P198" s="426">
        <v>2018</v>
      </c>
      <c r="Q198" s="414">
        <f t="shared" ca="1" si="11"/>
        <v>34211.996240279623</v>
      </c>
      <c r="R198" s="335" t="str">
        <f t="shared" ca="1" si="9"/>
        <v>N/A</v>
      </c>
      <c r="S198" s="335" t="str">
        <f t="shared" ca="1" si="10"/>
        <v>N/A</v>
      </c>
      <c r="T198" s="429" t="s">
        <v>899</v>
      </c>
      <c r="U198" s="22"/>
      <c r="V198" s="24"/>
      <c r="W198" s="21"/>
      <c r="Y198" s="490"/>
    </row>
    <row r="199" spans="1:25" ht="45">
      <c r="A199" s="31">
        <v>196</v>
      </c>
      <c r="B199" s="22" t="s">
        <v>39</v>
      </c>
      <c r="C199" s="22" t="s">
        <v>366</v>
      </c>
      <c r="D199" s="22" t="s">
        <v>141</v>
      </c>
      <c r="E199" s="23" t="s">
        <v>51</v>
      </c>
      <c r="F199" s="22" t="s">
        <v>63</v>
      </c>
      <c r="G199" s="22" t="s">
        <v>53</v>
      </c>
      <c r="H199" s="22" t="s">
        <v>30</v>
      </c>
      <c r="I199" s="22" t="s">
        <v>393</v>
      </c>
      <c r="J199" s="22" t="s">
        <v>63</v>
      </c>
      <c r="K199" s="519" t="s">
        <v>1191</v>
      </c>
      <c r="L199" s="521" t="s">
        <v>1208</v>
      </c>
      <c r="M199" s="521" t="s">
        <v>1209</v>
      </c>
      <c r="N199" s="521" t="s">
        <v>815</v>
      </c>
      <c r="O199" s="22" t="s">
        <v>394</v>
      </c>
      <c r="P199" s="426">
        <v>2018</v>
      </c>
      <c r="Q199" s="414">
        <f t="shared" ca="1" si="11"/>
        <v>264032344.80648011</v>
      </c>
      <c r="R199" s="335" t="str">
        <f t="shared" ca="1" si="9"/>
        <v>N/A</v>
      </c>
      <c r="S199" s="335" t="str">
        <f t="shared" ca="1" si="10"/>
        <v>N/A</v>
      </c>
      <c r="T199" s="429" t="s">
        <v>899</v>
      </c>
      <c r="U199" s="22"/>
      <c r="V199" s="24"/>
      <c r="W199" s="21"/>
      <c r="Y199" s="490"/>
    </row>
    <row r="200" spans="1:25" ht="45">
      <c r="A200" s="31">
        <v>197</v>
      </c>
      <c r="B200" s="22" t="s">
        <v>39</v>
      </c>
      <c r="C200" s="22" t="s">
        <v>366</v>
      </c>
      <c r="D200" s="22" t="s">
        <v>141</v>
      </c>
      <c r="E200" s="23" t="s">
        <v>51</v>
      </c>
      <c r="F200" s="22" t="s">
        <v>64</v>
      </c>
      <c r="G200" s="22" t="s">
        <v>53</v>
      </c>
      <c r="H200" s="22" t="s">
        <v>30</v>
      </c>
      <c r="I200" s="22" t="s">
        <v>393</v>
      </c>
      <c r="J200" s="22" t="s">
        <v>64</v>
      </c>
      <c r="K200" s="519" t="s">
        <v>1191</v>
      </c>
      <c r="L200" s="521" t="s">
        <v>1210</v>
      </c>
      <c r="M200" s="521" t="s">
        <v>1211</v>
      </c>
      <c r="N200" s="521" t="s">
        <v>815</v>
      </c>
      <c r="O200" s="22" t="s">
        <v>394</v>
      </c>
      <c r="P200" s="426">
        <v>2018</v>
      </c>
      <c r="Q200" s="414">
        <f t="shared" ca="1" si="11"/>
        <v>203184949.41917124</v>
      </c>
      <c r="R200" s="335" t="str">
        <f t="shared" ca="1" si="9"/>
        <v>N/A</v>
      </c>
      <c r="S200" s="335" t="str">
        <f t="shared" ca="1" si="10"/>
        <v>N/A</v>
      </c>
      <c r="T200" s="429" t="s">
        <v>899</v>
      </c>
      <c r="U200" s="22"/>
      <c r="V200" s="24"/>
      <c r="W200" s="21"/>
      <c r="Y200" s="490"/>
    </row>
    <row r="201" spans="1:25" ht="45">
      <c r="A201" s="31">
        <v>198</v>
      </c>
      <c r="B201" s="22" t="s">
        <v>39</v>
      </c>
      <c r="C201" s="22" t="s">
        <v>366</v>
      </c>
      <c r="D201" s="22" t="s">
        <v>141</v>
      </c>
      <c r="E201" s="23" t="s">
        <v>51</v>
      </c>
      <c r="F201" s="22" t="s">
        <v>65</v>
      </c>
      <c r="G201" s="22" t="s">
        <v>53</v>
      </c>
      <c r="H201" s="22" t="s">
        <v>30</v>
      </c>
      <c r="I201" s="22" t="s">
        <v>393</v>
      </c>
      <c r="J201" s="22" t="s">
        <v>65</v>
      </c>
      <c r="K201" s="519" t="s">
        <v>1191</v>
      </c>
      <c r="L201" s="521" t="s">
        <v>1212</v>
      </c>
      <c r="M201" s="521" t="s">
        <v>1213</v>
      </c>
      <c r="N201" s="521" t="s">
        <v>815</v>
      </c>
      <c r="O201" s="22" t="s">
        <v>394</v>
      </c>
      <c r="P201" s="426">
        <v>2018</v>
      </c>
      <c r="Q201" s="414">
        <f t="shared" ca="1" si="11"/>
        <v>1457968.9561695815</v>
      </c>
      <c r="R201" s="335" t="str">
        <f t="shared" ca="1" si="9"/>
        <v>N/A</v>
      </c>
      <c r="S201" s="335" t="str">
        <f t="shared" ca="1" si="10"/>
        <v>N/A</v>
      </c>
      <c r="T201" s="429" t="s">
        <v>899</v>
      </c>
      <c r="U201" s="305"/>
      <c r="V201" s="24"/>
      <c r="W201" s="21"/>
      <c r="Y201" s="490"/>
    </row>
    <row r="202" spans="1:25" ht="45">
      <c r="A202" s="31">
        <v>199</v>
      </c>
      <c r="B202" s="22" t="s">
        <v>39</v>
      </c>
      <c r="C202" s="22" t="s">
        <v>366</v>
      </c>
      <c r="D202" s="22" t="s">
        <v>141</v>
      </c>
      <c r="E202" s="23" t="s">
        <v>51</v>
      </c>
      <c r="F202" s="22" t="s">
        <v>66</v>
      </c>
      <c r="G202" s="22" t="s">
        <v>53</v>
      </c>
      <c r="H202" s="22" t="s">
        <v>30</v>
      </c>
      <c r="I202" s="22" t="s">
        <v>393</v>
      </c>
      <c r="J202" s="22" t="s">
        <v>66</v>
      </c>
      <c r="K202" s="519" t="s">
        <v>1191</v>
      </c>
      <c r="L202" s="521" t="s">
        <v>1214</v>
      </c>
      <c r="M202" s="521" t="s">
        <v>1215</v>
      </c>
      <c r="N202" s="521" t="s">
        <v>815</v>
      </c>
      <c r="O202" s="22" t="s">
        <v>394</v>
      </c>
      <c r="P202" s="426">
        <v>2018</v>
      </c>
      <c r="Q202" s="414">
        <f t="shared" ca="1" si="11"/>
        <v>908171.25417388184</v>
      </c>
      <c r="R202" s="335" t="str">
        <f t="shared" ca="1" si="9"/>
        <v>N/A</v>
      </c>
      <c r="S202" s="335" t="str">
        <f t="shared" ca="1" si="10"/>
        <v>N/A</v>
      </c>
      <c r="T202" s="429" t="s">
        <v>899</v>
      </c>
      <c r="U202" s="305"/>
      <c r="V202" s="24"/>
      <c r="W202" s="21"/>
      <c r="Y202" s="490"/>
    </row>
    <row r="203" spans="1:25" ht="45">
      <c r="A203" s="31">
        <v>200</v>
      </c>
      <c r="B203" s="22" t="s">
        <v>39</v>
      </c>
      <c r="C203" s="22" t="s">
        <v>366</v>
      </c>
      <c r="D203" s="22" t="s">
        <v>252</v>
      </c>
      <c r="E203" s="23" t="s">
        <v>42</v>
      </c>
      <c r="F203" s="22" t="s">
        <v>43</v>
      </c>
      <c r="G203" s="22" t="s">
        <v>44</v>
      </c>
      <c r="H203" s="22" t="s">
        <v>30</v>
      </c>
      <c r="I203" s="22" t="s">
        <v>396</v>
      </c>
      <c r="J203" s="22" t="s">
        <v>314</v>
      </c>
      <c r="K203" s="519" t="s">
        <v>1191</v>
      </c>
      <c r="L203" s="521" t="s">
        <v>1216</v>
      </c>
      <c r="M203" s="521" t="s">
        <v>1217</v>
      </c>
      <c r="N203" s="521" t="s">
        <v>815</v>
      </c>
      <c r="O203" s="22" t="s">
        <v>394</v>
      </c>
      <c r="P203" s="426">
        <v>2018</v>
      </c>
      <c r="Q203" s="414">
        <f t="shared" ca="1" si="11"/>
        <v>14405.767327942591</v>
      </c>
      <c r="R203" s="335" t="str">
        <f t="shared" ca="1" si="9"/>
        <v>N/A</v>
      </c>
      <c r="S203" s="335" t="str">
        <f t="shared" ca="1" si="10"/>
        <v>N/A</v>
      </c>
      <c r="T203" s="429" t="s">
        <v>48</v>
      </c>
      <c r="U203" s="22"/>
      <c r="V203" s="24"/>
      <c r="W203" s="21"/>
      <c r="Y203" s="490"/>
    </row>
    <row r="204" spans="1:25" ht="45">
      <c r="A204" s="31">
        <v>201</v>
      </c>
      <c r="B204" s="22" t="s">
        <v>39</v>
      </c>
      <c r="C204" s="22" t="s">
        <v>366</v>
      </c>
      <c r="D204" s="22" t="s">
        <v>397</v>
      </c>
      <c r="E204" s="23" t="s">
        <v>398</v>
      </c>
      <c r="F204" s="22" t="s">
        <v>399</v>
      </c>
      <c r="G204" s="22" t="s">
        <v>219</v>
      </c>
      <c r="H204" s="22" t="s">
        <v>164</v>
      </c>
      <c r="I204" s="22" t="s">
        <v>400</v>
      </c>
      <c r="J204" s="22" t="s">
        <v>401</v>
      </c>
      <c r="K204" s="519" t="s">
        <v>1191</v>
      </c>
      <c r="L204" s="521" t="s">
        <v>1218</v>
      </c>
      <c r="M204" s="521" t="s">
        <v>1219</v>
      </c>
      <c r="N204" s="521" t="s">
        <v>885</v>
      </c>
      <c r="O204" s="22" t="s">
        <v>394</v>
      </c>
      <c r="P204" s="426">
        <v>2018</v>
      </c>
      <c r="Q204" s="533">
        <f t="shared" ca="1" si="11"/>
        <v>0</v>
      </c>
      <c r="R204" s="335">
        <f t="shared" ca="1" si="9"/>
        <v>0</v>
      </c>
      <c r="S204" s="335">
        <f t="shared" ca="1" si="10"/>
        <v>0</v>
      </c>
      <c r="T204" s="429"/>
      <c r="U204" s="22"/>
      <c r="V204" s="24"/>
      <c r="W204" s="21"/>
      <c r="Y204" s="490"/>
    </row>
    <row r="205" spans="1:25" ht="45">
      <c r="A205" s="31">
        <v>202</v>
      </c>
      <c r="B205" s="22" t="s">
        <v>39</v>
      </c>
      <c r="C205" s="22" t="s">
        <v>366</v>
      </c>
      <c r="D205" s="22" t="s">
        <v>397</v>
      </c>
      <c r="E205" s="23" t="s">
        <v>398</v>
      </c>
      <c r="F205" s="22" t="s">
        <v>402</v>
      </c>
      <c r="G205" s="22" t="s">
        <v>219</v>
      </c>
      <c r="H205" s="22" t="s">
        <v>164</v>
      </c>
      <c r="I205" s="22" t="s">
        <v>400</v>
      </c>
      <c r="J205" s="22" t="s">
        <v>403</v>
      </c>
      <c r="K205" s="519" t="s">
        <v>1191</v>
      </c>
      <c r="L205" s="521" t="s">
        <v>1220</v>
      </c>
      <c r="M205" s="521" t="s">
        <v>1221</v>
      </c>
      <c r="N205" s="521" t="s">
        <v>885</v>
      </c>
      <c r="O205" s="22" t="s">
        <v>394</v>
      </c>
      <c r="P205" s="426">
        <v>2018</v>
      </c>
      <c r="Q205" s="533">
        <f t="shared" ca="1" si="11"/>
        <v>0</v>
      </c>
      <c r="R205" s="335">
        <f t="shared" ca="1" si="9"/>
        <v>0</v>
      </c>
      <c r="S205" s="335">
        <f t="shared" ca="1" si="10"/>
        <v>0</v>
      </c>
      <c r="T205" s="429"/>
      <c r="U205" s="22"/>
      <c r="V205" s="24"/>
      <c r="W205" s="21"/>
      <c r="Y205" s="490"/>
    </row>
    <row r="206" spans="1:25" ht="75">
      <c r="A206" s="31">
        <v>203</v>
      </c>
      <c r="B206" s="22" t="s">
        <v>39</v>
      </c>
      <c r="C206" s="22" t="s">
        <v>366</v>
      </c>
      <c r="D206" s="22" t="s">
        <v>397</v>
      </c>
      <c r="E206" s="23" t="s">
        <v>398</v>
      </c>
      <c r="F206" s="22" t="s">
        <v>404</v>
      </c>
      <c r="G206" s="22" t="s">
        <v>219</v>
      </c>
      <c r="H206" s="22" t="s">
        <v>164</v>
      </c>
      <c r="I206" s="22" t="s">
        <v>400</v>
      </c>
      <c r="J206" s="22" t="s">
        <v>405</v>
      </c>
      <c r="K206" s="519" t="s">
        <v>1191</v>
      </c>
      <c r="L206" s="521" t="s">
        <v>1222</v>
      </c>
      <c r="M206" s="521" t="s">
        <v>1223</v>
      </c>
      <c r="N206" s="521" t="s">
        <v>885</v>
      </c>
      <c r="O206" s="22" t="s">
        <v>394</v>
      </c>
      <c r="P206" s="426">
        <v>2018</v>
      </c>
      <c r="Q206" s="533">
        <f t="shared" ca="1" si="11"/>
        <v>0</v>
      </c>
      <c r="R206" s="335">
        <f t="shared" ca="1" si="9"/>
        <v>0</v>
      </c>
      <c r="S206" s="335">
        <f t="shared" ca="1" si="10"/>
        <v>0</v>
      </c>
      <c r="T206" s="429" t="s">
        <v>406</v>
      </c>
      <c r="U206" s="22" t="s">
        <v>407</v>
      </c>
      <c r="V206" s="24"/>
      <c r="W206" s="21"/>
      <c r="Y206" s="490"/>
    </row>
    <row r="207" spans="1:25" ht="45">
      <c r="A207" s="31">
        <v>204</v>
      </c>
      <c r="B207" s="22" t="s">
        <v>39</v>
      </c>
      <c r="C207" s="22" t="s">
        <v>366</v>
      </c>
      <c r="D207" s="22" t="s">
        <v>397</v>
      </c>
      <c r="E207" s="23" t="s">
        <v>234</v>
      </c>
      <c r="F207" s="22" t="s">
        <v>408</v>
      </c>
      <c r="G207" s="22" t="s">
        <v>235</v>
      </c>
      <c r="H207" s="22" t="s">
        <v>164</v>
      </c>
      <c r="I207" s="22" t="s">
        <v>409</v>
      </c>
      <c r="J207" s="22" t="s">
        <v>410</v>
      </c>
      <c r="K207" s="519" t="s">
        <v>1191</v>
      </c>
      <c r="L207" s="521" t="s">
        <v>1224</v>
      </c>
      <c r="M207" s="521" t="s">
        <v>1225</v>
      </c>
      <c r="N207" s="521" t="s">
        <v>815</v>
      </c>
      <c r="O207" s="22" t="s">
        <v>394</v>
      </c>
      <c r="P207" s="426">
        <v>2018</v>
      </c>
      <c r="Q207" s="414">
        <f t="shared" ca="1" si="11"/>
        <v>0</v>
      </c>
      <c r="R207" s="335" t="str">
        <f t="shared" ca="1" si="9"/>
        <v>N/A</v>
      </c>
      <c r="S207" s="335" t="str">
        <f t="shared" ca="1" si="10"/>
        <v>N/A</v>
      </c>
      <c r="T207" s="429"/>
      <c r="U207" s="22"/>
      <c r="V207" s="24"/>
      <c r="W207" s="21"/>
      <c r="Y207" s="490"/>
    </row>
    <row r="208" spans="1:25" ht="45">
      <c r="A208" s="31">
        <v>205</v>
      </c>
      <c r="B208" s="22" t="s">
        <v>39</v>
      </c>
      <c r="C208" s="22" t="s">
        <v>366</v>
      </c>
      <c r="D208" s="22" t="s">
        <v>397</v>
      </c>
      <c r="E208" s="23" t="s">
        <v>234</v>
      </c>
      <c r="F208" s="22" t="s">
        <v>411</v>
      </c>
      <c r="G208" s="22" t="s">
        <v>235</v>
      </c>
      <c r="H208" s="22" t="s">
        <v>164</v>
      </c>
      <c r="I208" s="22" t="s">
        <v>409</v>
      </c>
      <c r="J208" s="22" t="s">
        <v>410</v>
      </c>
      <c r="K208" s="519" t="s">
        <v>1191</v>
      </c>
      <c r="L208" s="521" t="s">
        <v>1226</v>
      </c>
      <c r="M208" s="521" t="s">
        <v>1227</v>
      </c>
      <c r="N208" s="521" t="s">
        <v>815</v>
      </c>
      <c r="O208" s="22" t="s">
        <v>394</v>
      </c>
      <c r="P208" s="426">
        <v>2018</v>
      </c>
      <c r="Q208" s="414">
        <f t="shared" ca="1" si="11"/>
        <v>0</v>
      </c>
      <c r="R208" s="335" t="str">
        <f t="shared" ca="1" si="9"/>
        <v>N/A</v>
      </c>
      <c r="S208" s="335" t="str">
        <f t="shared" ca="1" si="10"/>
        <v>N/A</v>
      </c>
      <c r="T208" s="429"/>
      <c r="U208" s="22"/>
      <c r="V208" s="24"/>
      <c r="W208" s="21"/>
      <c r="Y208" s="490"/>
    </row>
    <row r="209" spans="1:25" ht="60">
      <c r="A209" s="31">
        <v>206</v>
      </c>
      <c r="B209" s="22" t="s">
        <v>39</v>
      </c>
      <c r="C209" s="22" t="s">
        <v>366</v>
      </c>
      <c r="D209" s="22" t="s">
        <v>397</v>
      </c>
      <c r="E209" s="23" t="s">
        <v>234</v>
      </c>
      <c r="F209" s="22" t="s">
        <v>412</v>
      </c>
      <c r="G209" s="22" t="s">
        <v>235</v>
      </c>
      <c r="H209" s="22" t="s">
        <v>164</v>
      </c>
      <c r="I209" s="22" t="s">
        <v>409</v>
      </c>
      <c r="J209" s="22" t="s">
        <v>413</v>
      </c>
      <c r="K209" s="519" t="s">
        <v>1191</v>
      </c>
      <c r="L209" s="521" t="s">
        <v>1228</v>
      </c>
      <c r="M209" s="521" t="s">
        <v>1229</v>
      </c>
      <c r="N209" s="521" t="s">
        <v>815</v>
      </c>
      <c r="O209" s="22" t="s">
        <v>394</v>
      </c>
      <c r="P209" s="426">
        <v>2018</v>
      </c>
      <c r="Q209" s="414">
        <f t="shared" ca="1" si="11"/>
        <v>0</v>
      </c>
      <c r="R209" s="335" t="str">
        <f t="shared" ca="1" si="9"/>
        <v>N/A</v>
      </c>
      <c r="S209" s="335" t="str">
        <f t="shared" ca="1" si="10"/>
        <v>N/A</v>
      </c>
      <c r="T209" s="429" t="s">
        <v>414</v>
      </c>
      <c r="U209" s="22"/>
      <c r="V209" s="24"/>
      <c r="W209" s="21"/>
      <c r="Y209" s="490"/>
    </row>
    <row r="210" spans="1:25" ht="45">
      <c r="A210" s="31">
        <v>207</v>
      </c>
      <c r="B210" s="22" t="s">
        <v>39</v>
      </c>
      <c r="C210" s="22" t="s">
        <v>366</v>
      </c>
      <c r="D210" s="22" t="s">
        <v>397</v>
      </c>
      <c r="E210" s="23" t="s">
        <v>415</v>
      </c>
      <c r="F210" s="22" t="s">
        <v>408</v>
      </c>
      <c r="G210" s="22" t="s">
        <v>416</v>
      </c>
      <c r="H210" s="22" t="s">
        <v>164</v>
      </c>
      <c r="I210" s="22" t="s">
        <v>417</v>
      </c>
      <c r="J210" s="22" t="s">
        <v>418</v>
      </c>
      <c r="K210" s="519" t="s">
        <v>1191</v>
      </c>
      <c r="L210" s="521" t="s">
        <v>1230</v>
      </c>
      <c r="M210" s="521" t="s">
        <v>1231</v>
      </c>
      <c r="N210" s="521" t="s">
        <v>885</v>
      </c>
      <c r="O210" s="22" t="s">
        <v>394</v>
      </c>
      <c r="P210" s="426">
        <v>2018</v>
      </c>
      <c r="Q210" s="414">
        <f t="shared" ca="1" si="11"/>
        <v>0</v>
      </c>
      <c r="R210" s="335">
        <f t="shared" ca="1" si="9"/>
        <v>0</v>
      </c>
      <c r="S210" s="335">
        <f t="shared" ca="1" si="10"/>
        <v>0</v>
      </c>
      <c r="T210" s="429"/>
      <c r="U210" s="22"/>
      <c r="V210" s="24"/>
      <c r="W210" s="21"/>
      <c r="Y210" s="490"/>
    </row>
    <row r="211" spans="1:25" ht="45">
      <c r="A211" s="31">
        <v>208</v>
      </c>
      <c r="B211" s="22" t="s">
        <v>39</v>
      </c>
      <c r="C211" s="22" t="s">
        <v>366</v>
      </c>
      <c r="D211" s="22" t="s">
        <v>397</v>
      </c>
      <c r="E211" s="23" t="s">
        <v>415</v>
      </c>
      <c r="F211" s="22" t="s">
        <v>411</v>
      </c>
      <c r="G211" s="22" t="s">
        <v>416</v>
      </c>
      <c r="H211" s="22" t="s">
        <v>164</v>
      </c>
      <c r="I211" s="22" t="s">
        <v>417</v>
      </c>
      <c r="J211" s="22" t="s">
        <v>419</v>
      </c>
      <c r="K211" s="519" t="s">
        <v>1191</v>
      </c>
      <c r="L211" s="521" t="s">
        <v>1232</v>
      </c>
      <c r="M211" s="521" t="s">
        <v>1233</v>
      </c>
      <c r="N211" s="521" t="s">
        <v>885</v>
      </c>
      <c r="O211" s="22" t="s">
        <v>394</v>
      </c>
      <c r="P211" s="426">
        <v>2018</v>
      </c>
      <c r="Q211" s="414">
        <f t="shared" ca="1" si="11"/>
        <v>0</v>
      </c>
      <c r="R211" s="335">
        <f t="shared" ca="1" si="9"/>
        <v>0</v>
      </c>
      <c r="S211" s="335">
        <f t="shared" ca="1" si="10"/>
        <v>0</v>
      </c>
      <c r="T211" s="429"/>
      <c r="U211" s="22"/>
      <c r="V211" s="24"/>
      <c r="W211" s="21"/>
      <c r="Y211" s="490"/>
    </row>
    <row r="212" spans="1:25" ht="45">
      <c r="A212" s="31">
        <v>209</v>
      </c>
      <c r="B212" s="22" t="s">
        <v>39</v>
      </c>
      <c r="C212" s="22" t="s">
        <v>366</v>
      </c>
      <c r="D212" s="22" t="s">
        <v>397</v>
      </c>
      <c r="E212" s="23" t="s">
        <v>415</v>
      </c>
      <c r="F212" s="22" t="s">
        <v>412</v>
      </c>
      <c r="G212" s="22" t="s">
        <v>416</v>
      </c>
      <c r="H212" s="22" t="s">
        <v>164</v>
      </c>
      <c r="I212" s="22" t="s">
        <v>417</v>
      </c>
      <c r="J212" s="22" t="s">
        <v>420</v>
      </c>
      <c r="K212" s="519" t="s">
        <v>1191</v>
      </c>
      <c r="L212" s="521" t="s">
        <v>1234</v>
      </c>
      <c r="M212" s="521" t="s">
        <v>1235</v>
      </c>
      <c r="N212" s="521" t="s">
        <v>885</v>
      </c>
      <c r="O212" s="22" t="s">
        <v>394</v>
      </c>
      <c r="P212" s="426">
        <v>2018</v>
      </c>
      <c r="Q212" s="414">
        <f t="shared" ca="1" si="11"/>
        <v>0</v>
      </c>
      <c r="R212" s="335">
        <f t="shared" ca="1" si="9"/>
        <v>0</v>
      </c>
      <c r="S212" s="335">
        <f t="shared" ca="1" si="10"/>
        <v>0</v>
      </c>
      <c r="T212" s="429" t="s">
        <v>421</v>
      </c>
      <c r="U212" s="22"/>
      <c r="V212" s="24"/>
      <c r="W212" s="21"/>
      <c r="Y212" s="490"/>
    </row>
    <row r="213" spans="1:25" ht="75">
      <c r="A213" s="31">
        <v>210</v>
      </c>
      <c r="B213" s="22" t="s">
        <v>39</v>
      </c>
      <c r="C213" s="22" t="s">
        <v>422</v>
      </c>
      <c r="D213" s="22" t="s">
        <v>153</v>
      </c>
      <c r="E213" s="23" t="s">
        <v>141</v>
      </c>
      <c r="F213" s="22" t="s">
        <v>142</v>
      </c>
      <c r="G213" s="22" t="s">
        <v>143</v>
      </c>
      <c r="H213" s="22" t="s">
        <v>30</v>
      </c>
      <c r="I213" s="22" t="s">
        <v>423</v>
      </c>
      <c r="J213" s="22" t="s">
        <v>424</v>
      </c>
      <c r="K213" s="519" t="s">
        <v>1191</v>
      </c>
      <c r="L213" s="521" t="s">
        <v>1236</v>
      </c>
      <c r="M213" s="521" t="s">
        <v>1237</v>
      </c>
      <c r="N213" s="521" t="s">
        <v>885</v>
      </c>
      <c r="O213" s="22" t="s">
        <v>394</v>
      </c>
      <c r="P213" s="426">
        <v>2018</v>
      </c>
      <c r="Q213" s="533">
        <f t="shared" ca="1" si="11"/>
        <v>2.2501747030048917E-2</v>
      </c>
      <c r="R213" s="335">
        <f t="shared" ca="1" si="9"/>
        <v>0</v>
      </c>
      <c r="S213" s="335">
        <f t="shared" ca="1" si="10"/>
        <v>0</v>
      </c>
      <c r="T213" s="429" t="s">
        <v>425</v>
      </c>
      <c r="U213" s="22" t="s">
        <v>246</v>
      </c>
      <c r="V213" s="24"/>
      <c r="W213" s="21"/>
      <c r="Y213" s="490"/>
    </row>
    <row r="214" spans="1:25" ht="75">
      <c r="A214" s="31">
        <v>211</v>
      </c>
      <c r="B214" s="22" t="s">
        <v>39</v>
      </c>
      <c r="C214" s="22" t="s">
        <v>422</v>
      </c>
      <c r="D214" s="22" t="s">
        <v>426</v>
      </c>
      <c r="E214" s="23" t="s">
        <v>252</v>
      </c>
      <c r="F214" s="22" t="s">
        <v>142</v>
      </c>
      <c r="G214" s="22" t="s">
        <v>253</v>
      </c>
      <c r="H214" s="22" t="s">
        <v>164</v>
      </c>
      <c r="I214" s="22" t="s">
        <v>427</v>
      </c>
      <c r="J214" s="22" t="s">
        <v>428</v>
      </c>
      <c r="K214" s="519" t="s">
        <v>1191</v>
      </c>
      <c r="L214" s="521" t="s">
        <v>1238</v>
      </c>
      <c r="M214" s="521" t="s">
        <v>1239</v>
      </c>
      <c r="N214" s="521" t="s">
        <v>885</v>
      </c>
      <c r="O214" s="22" t="s">
        <v>394</v>
      </c>
      <c r="P214" s="426">
        <v>2018</v>
      </c>
      <c r="Q214" s="533">
        <f t="shared" ca="1" si="11"/>
        <v>2.2501747030048917E-2</v>
      </c>
      <c r="R214" s="335">
        <f t="shared" ca="1" si="9"/>
        <v>0</v>
      </c>
      <c r="S214" s="335">
        <f t="shared" ca="1" si="10"/>
        <v>0</v>
      </c>
      <c r="T214" s="429" t="s">
        <v>429</v>
      </c>
      <c r="U214" s="22"/>
      <c r="V214" s="24"/>
      <c r="W214" s="21"/>
      <c r="Y214" s="490"/>
    </row>
    <row r="215" spans="1:25" ht="105">
      <c r="A215" s="31">
        <v>212</v>
      </c>
      <c r="B215" s="22" t="s">
        <v>39</v>
      </c>
      <c r="C215" s="22" t="s">
        <v>422</v>
      </c>
      <c r="D215" s="22" t="s">
        <v>426</v>
      </c>
      <c r="E215" s="23" t="s">
        <v>430</v>
      </c>
      <c r="F215" s="22" t="s">
        <v>142</v>
      </c>
      <c r="G215" s="22" t="s">
        <v>416</v>
      </c>
      <c r="H215" s="22" t="s">
        <v>164</v>
      </c>
      <c r="I215" s="22" t="s">
        <v>431</v>
      </c>
      <c r="J215" s="22" t="s">
        <v>432</v>
      </c>
      <c r="K215" s="519" t="s">
        <v>1191</v>
      </c>
      <c r="L215" s="521" t="s">
        <v>1240</v>
      </c>
      <c r="M215" s="521" t="s">
        <v>1241</v>
      </c>
      <c r="N215" s="521" t="s">
        <v>885</v>
      </c>
      <c r="O215" s="22" t="s">
        <v>394</v>
      </c>
      <c r="P215" s="426">
        <v>2018</v>
      </c>
      <c r="Q215" s="533">
        <f t="shared" ca="1" si="11"/>
        <v>0</v>
      </c>
      <c r="R215" s="335">
        <f t="shared" ca="1" si="9"/>
        <v>0</v>
      </c>
      <c r="S215" s="335">
        <f t="shared" ca="1" si="10"/>
        <v>0</v>
      </c>
      <c r="T215" s="429" t="s">
        <v>433</v>
      </c>
      <c r="U215" s="22"/>
      <c r="V215" s="24"/>
      <c r="W215" s="21"/>
      <c r="Y215" s="490"/>
    </row>
    <row r="216" spans="1:25" ht="30">
      <c r="A216" s="31">
        <v>213</v>
      </c>
      <c r="B216" s="22" t="s">
        <v>39</v>
      </c>
      <c r="C216" s="22" t="s">
        <v>422</v>
      </c>
      <c r="D216" s="22" t="s">
        <v>434</v>
      </c>
      <c r="E216" s="23" t="s">
        <v>91</v>
      </c>
      <c r="F216" s="22" t="s">
        <v>92</v>
      </c>
      <c r="G216" s="22" t="s">
        <v>93</v>
      </c>
      <c r="H216" s="22" t="s">
        <v>30</v>
      </c>
      <c r="I216" s="22" t="s">
        <v>435</v>
      </c>
      <c r="J216" s="22" t="s">
        <v>92</v>
      </c>
      <c r="K216" s="519" t="s">
        <v>1191</v>
      </c>
      <c r="L216" s="521" t="s">
        <v>1242</v>
      </c>
      <c r="M216" s="521" t="s">
        <v>1243</v>
      </c>
      <c r="N216" s="521" t="s">
        <v>885</v>
      </c>
      <c r="O216" s="22" t="s">
        <v>394</v>
      </c>
      <c r="P216" s="426">
        <v>2018</v>
      </c>
      <c r="Q216" s="414">
        <f t="shared" ca="1" si="11"/>
        <v>219.63457345377984</v>
      </c>
      <c r="R216" s="335">
        <f t="shared" ca="1" si="9"/>
        <v>0</v>
      </c>
      <c r="S216" s="335">
        <f t="shared" ca="1" si="10"/>
        <v>0</v>
      </c>
      <c r="T216" s="429"/>
      <c r="U216" s="22"/>
      <c r="V216" s="24"/>
      <c r="W216" s="21"/>
      <c r="Y216" s="490"/>
    </row>
    <row r="217" spans="1:25" ht="30">
      <c r="A217" s="31">
        <v>214</v>
      </c>
      <c r="B217" s="22" t="s">
        <v>39</v>
      </c>
      <c r="C217" s="22" t="s">
        <v>422</v>
      </c>
      <c r="D217" s="22" t="s">
        <v>434</v>
      </c>
      <c r="E217" s="23" t="s">
        <v>91</v>
      </c>
      <c r="F217" s="22" t="s">
        <v>95</v>
      </c>
      <c r="G217" s="22" t="s">
        <v>93</v>
      </c>
      <c r="H217" s="22" t="s">
        <v>30</v>
      </c>
      <c r="I217" s="22" t="s">
        <v>435</v>
      </c>
      <c r="J217" s="22" t="s">
        <v>95</v>
      </c>
      <c r="K217" s="519" t="s">
        <v>1191</v>
      </c>
      <c r="L217" s="521" t="s">
        <v>1244</v>
      </c>
      <c r="M217" s="521" t="s">
        <v>1245</v>
      </c>
      <c r="N217" s="521" t="s">
        <v>885</v>
      </c>
      <c r="O217" s="22" t="s">
        <v>394</v>
      </c>
      <c r="P217" s="426">
        <v>2018</v>
      </c>
      <c r="Q217" s="414">
        <f t="shared" ca="1" si="11"/>
        <v>3.6981760817995001E-2</v>
      </c>
      <c r="R217" s="335">
        <f t="shared" ca="1" si="9"/>
        <v>0</v>
      </c>
      <c r="S217" s="335">
        <f t="shared" ca="1" si="10"/>
        <v>0</v>
      </c>
      <c r="T217" s="429"/>
      <c r="U217" s="22"/>
      <c r="V217" s="24"/>
      <c r="W217" s="21"/>
      <c r="Y217" s="490"/>
    </row>
    <row r="218" spans="1:25" ht="30">
      <c r="A218" s="31">
        <v>215</v>
      </c>
      <c r="B218" s="22" t="s">
        <v>39</v>
      </c>
      <c r="C218" s="22" t="s">
        <v>422</v>
      </c>
      <c r="D218" s="22" t="s">
        <v>434</v>
      </c>
      <c r="E218" s="23" t="s">
        <v>91</v>
      </c>
      <c r="F218" s="22" t="s">
        <v>96</v>
      </c>
      <c r="G218" s="22" t="s">
        <v>93</v>
      </c>
      <c r="H218" s="22" t="s">
        <v>30</v>
      </c>
      <c r="I218" s="22" t="s">
        <v>435</v>
      </c>
      <c r="J218" s="22" t="s">
        <v>96</v>
      </c>
      <c r="K218" s="519" t="s">
        <v>1191</v>
      </c>
      <c r="L218" s="521" t="s">
        <v>1246</v>
      </c>
      <c r="M218" s="521" t="s">
        <v>1247</v>
      </c>
      <c r="N218" s="521" t="s">
        <v>885</v>
      </c>
      <c r="O218" s="22" t="s">
        <v>394</v>
      </c>
      <c r="P218" s="426">
        <v>2018</v>
      </c>
      <c r="Q218" s="414">
        <f t="shared" ca="1" si="11"/>
        <v>0.41831196269124932</v>
      </c>
      <c r="R218" s="335">
        <f t="shared" ca="1" si="9"/>
        <v>0</v>
      </c>
      <c r="S218" s="335">
        <f t="shared" ca="1" si="10"/>
        <v>0</v>
      </c>
      <c r="T218" s="429" t="s">
        <v>48</v>
      </c>
      <c r="U218" s="22" t="s">
        <v>49</v>
      </c>
      <c r="V218" s="24"/>
      <c r="W218" s="21"/>
      <c r="Y218" s="490"/>
    </row>
    <row r="219" spans="1:25" ht="30">
      <c r="A219" s="31">
        <v>216</v>
      </c>
      <c r="B219" s="22" t="s">
        <v>39</v>
      </c>
      <c r="C219" s="22" t="s">
        <v>422</v>
      </c>
      <c r="D219" s="22" t="s">
        <v>434</v>
      </c>
      <c r="E219" s="23" t="s">
        <v>91</v>
      </c>
      <c r="F219" s="22" t="s">
        <v>97</v>
      </c>
      <c r="G219" s="22" t="s">
        <v>93</v>
      </c>
      <c r="H219" s="22" t="s">
        <v>30</v>
      </c>
      <c r="I219" s="22" t="s">
        <v>435</v>
      </c>
      <c r="J219" s="22" t="s">
        <v>97</v>
      </c>
      <c r="K219" s="519" t="s">
        <v>1191</v>
      </c>
      <c r="L219" s="521" t="s">
        <v>1248</v>
      </c>
      <c r="M219" s="521" t="s">
        <v>1249</v>
      </c>
      <c r="N219" s="521" t="s">
        <v>885</v>
      </c>
      <c r="O219" s="22" t="s">
        <v>394</v>
      </c>
      <c r="P219" s="426">
        <v>2018</v>
      </c>
      <c r="Q219" s="414">
        <f t="shared" ca="1" si="11"/>
        <v>587.01052905849212</v>
      </c>
      <c r="R219" s="335">
        <f t="shared" ca="1" si="9"/>
        <v>0</v>
      </c>
      <c r="S219" s="335">
        <f t="shared" ca="1" si="10"/>
        <v>0</v>
      </c>
      <c r="T219" s="429"/>
      <c r="U219" s="22"/>
      <c r="V219" s="24"/>
      <c r="W219" s="21"/>
      <c r="Y219" s="490"/>
    </row>
    <row r="220" spans="1:25" ht="30">
      <c r="A220" s="31">
        <v>217</v>
      </c>
      <c r="B220" s="22" t="s">
        <v>39</v>
      </c>
      <c r="C220" s="22" t="s">
        <v>422</v>
      </c>
      <c r="D220" s="22" t="s">
        <v>434</v>
      </c>
      <c r="E220" s="23" t="s">
        <v>91</v>
      </c>
      <c r="F220" s="22" t="s">
        <v>98</v>
      </c>
      <c r="G220" s="22" t="s">
        <v>93</v>
      </c>
      <c r="H220" s="22" t="s">
        <v>30</v>
      </c>
      <c r="I220" s="22" t="s">
        <v>435</v>
      </c>
      <c r="J220" s="22" t="s">
        <v>98</v>
      </c>
      <c r="K220" s="519" t="s">
        <v>1191</v>
      </c>
      <c r="L220" s="521" t="s">
        <v>1250</v>
      </c>
      <c r="M220" s="521" t="s">
        <v>1251</v>
      </c>
      <c r="N220" s="521" t="s">
        <v>885</v>
      </c>
      <c r="O220" s="22" t="s">
        <v>394</v>
      </c>
      <c r="P220" s="426">
        <v>2018</v>
      </c>
      <c r="Q220" s="414">
        <f t="shared" ca="1" si="11"/>
        <v>9.8840007936429303E-2</v>
      </c>
      <c r="R220" s="335">
        <f t="shared" ca="1" si="9"/>
        <v>0</v>
      </c>
      <c r="S220" s="335">
        <f t="shared" ca="1" si="10"/>
        <v>0</v>
      </c>
      <c r="T220" s="429"/>
      <c r="U220" s="22"/>
      <c r="V220" s="24"/>
      <c r="W220" s="21"/>
      <c r="Y220" s="490"/>
    </row>
    <row r="221" spans="1:25" ht="30">
      <c r="A221" s="31">
        <v>218</v>
      </c>
      <c r="B221" s="22" t="s">
        <v>39</v>
      </c>
      <c r="C221" s="22" t="s">
        <v>422</v>
      </c>
      <c r="D221" s="22" t="s">
        <v>434</v>
      </c>
      <c r="E221" s="23" t="s">
        <v>91</v>
      </c>
      <c r="F221" s="22" t="s">
        <v>99</v>
      </c>
      <c r="G221" s="22" t="s">
        <v>93</v>
      </c>
      <c r="H221" s="22" t="s">
        <v>30</v>
      </c>
      <c r="I221" s="22" t="s">
        <v>435</v>
      </c>
      <c r="J221" s="22" t="s">
        <v>99</v>
      </c>
      <c r="K221" s="519" t="s">
        <v>1191</v>
      </c>
      <c r="L221" s="521" t="s">
        <v>1252</v>
      </c>
      <c r="M221" s="521" t="s">
        <v>1253</v>
      </c>
      <c r="N221" s="521" t="s">
        <v>885</v>
      </c>
      <c r="O221" s="22" t="s">
        <v>394</v>
      </c>
      <c r="P221" s="426">
        <v>2018</v>
      </c>
      <c r="Q221" s="414">
        <f t="shared" ca="1" si="11"/>
        <v>1.0248836267359509</v>
      </c>
      <c r="R221" s="335">
        <f t="shared" ca="1" si="9"/>
        <v>0</v>
      </c>
      <c r="S221" s="335">
        <f t="shared" ca="1" si="10"/>
        <v>0</v>
      </c>
      <c r="T221" s="429" t="s">
        <v>48</v>
      </c>
      <c r="U221" s="22" t="s">
        <v>49</v>
      </c>
      <c r="V221" s="24"/>
      <c r="W221" s="21"/>
      <c r="Y221" s="490"/>
    </row>
    <row r="222" spans="1:25" ht="45">
      <c r="A222" s="31">
        <v>219</v>
      </c>
      <c r="B222" s="22" t="s">
        <v>39</v>
      </c>
      <c r="C222" s="22" t="s">
        <v>422</v>
      </c>
      <c r="D222" s="22" t="s">
        <v>436</v>
      </c>
      <c r="E222" s="23" t="s">
        <v>437</v>
      </c>
      <c r="F222" s="22" t="s">
        <v>438</v>
      </c>
      <c r="G222" s="22" t="s">
        <v>439</v>
      </c>
      <c r="H222" s="22" t="s">
        <v>164</v>
      </c>
      <c r="I222" s="22" t="s">
        <v>440</v>
      </c>
      <c r="J222" s="22" t="s">
        <v>441</v>
      </c>
      <c r="K222" s="519" t="s">
        <v>1191</v>
      </c>
      <c r="L222" s="521" t="s">
        <v>1254</v>
      </c>
      <c r="M222" s="521" t="s">
        <v>1255</v>
      </c>
      <c r="N222" s="521" t="s">
        <v>885</v>
      </c>
      <c r="O222" s="22" t="s">
        <v>394</v>
      </c>
      <c r="P222" s="426">
        <v>2018</v>
      </c>
      <c r="Q222" s="414">
        <f t="shared" ca="1" si="11"/>
        <v>0</v>
      </c>
      <c r="R222" s="335">
        <f t="shared" ca="1" si="9"/>
        <v>0</v>
      </c>
      <c r="S222" s="335">
        <f t="shared" ca="1" si="10"/>
        <v>0</v>
      </c>
      <c r="T222" s="429" t="s">
        <v>442</v>
      </c>
      <c r="U222" s="22" t="s">
        <v>443</v>
      </c>
      <c r="V222" s="24"/>
      <c r="W222" s="21"/>
      <c r="Y222" s="490"/>
    </row>
    <row r="223" spans="1:25" ht="60">
      <c r="A223" s="31">
        <v>220</v>
      </c>
      <c r="B223" s="22" t="s">
        <v>39</v>
      </c>
      <c r="C223" s="22" t="s">
        <v>422</v>
      </c>
      <c r="D223" s="22" t="s">
        <v>444</v>
      </c>
      <c r="E223" s="23" t="s">
        <v>445</v>
      </c>
      <c r="F223" s="22" t="s">
        <v>142</v>
      </c>
      <c r="G223" s="22" t="s">
        <v>446</v>
      </c>
      <c r="H223" s="22" t="s">
        <v>30</v>
      </c>
      <c r="I223" s="22" t="s">
        <v>447</v>
      </c>
      <c r="J223" s="22" t="s">
        <v>448</v>
      </c>
      <c r="K223" s="519" t="s">
        <v>1191</v>
      </c>
      <c r="L223" s="521" t="s">
        <v>1256</v>
      </c>
      <c r="M223" s="521" t="s">
        <v>1257</v>
      </c>
      <c r="N223" s="521" t="s">
        <v>885</v>
      </c>
      <c r="O223" s="22" t="s">
        <v>394</v>
      </c>
      <c r="P223" s="426">
        <v>2018</v>
      </c>
      <c r="Q223" s="533">
        <f t="shared" ca="1" si="11"/>
        <v>1.4744933612858141E-2</v>
      </c>
      <c r="R223" s="335">
        <f t="shared" ca="1" si="9"/>
        <v>0</v>
      </c>
      <c r="S223" s="335">
        <f t="shared" ca="1" si="10"/>
        <v>0</v>
      </c>
      <c r="U223" s="22" t="s">
        <v>449</v>
      </c>
      <c r="V223" s="24"/>
      <c r="W223" s="21"/>
      <c r="Y223" s="490"/>
    </row>
    <row r="224" spans="1:25" ht="45">
      <c r="A224" s="31">
        <v>221</v>
      </c>
      <c r="B224" s="22" t="s">
        <v>39</v>
      </c>
      <c r="C224" s="22" t="s">
        <v>422</v>
      </c>
      <c r="D224" s="22" t="s">
        <v>444</v>
      </c>
      <c r="E224" s="23" t="s">
        <v>450</v>
      </c>
      <c r="F224" s="22" t="s">
        <v>451</v>
      </c>
      <c r="G224" s="22" t="s">
        <v>452</v>
      </c>
      <c r="H224" s="22" t="s">
        <v>30</v>
      </c>
      <c r="I224" s="22" t="s">
        <v>453</v>
      </c>
      <c r="J224" s="22" t="s">
        <v>454</v>
      </c>
      <c r="K224" s="519" t="s">
        <v>1191</v>
      </c>
      <c r="L224" s="521" t="s">
        <v>1258</v>
      </c>
      <c r="M224" s="521" t="s">
        <v>1259</v>
      </c>
      <c r="N224" s="521" t="s">
        <v>885</v>
      </c>
      <c r="O224" s="22" t="s">
        <v>394</v>
      </c>
      <c r="P224" s="426">
        <v>2018</v>
      </c>
      <c r="Q224" s="414">
        <f t="shared" ca="1" si="11"/>
        <v>20.415816246080006</v>
      </c>
      <c r="R224" s="335">
        <f t="shared" ca="1" si="9"/>
        <v>0</v>
      </c>
      <c r="S224" s="335">
        <f t="shared" ca="1" si="10"/>
        <v>0</v>
      </c>
      <c r="T224" s="429" t="s">
        <v>455</v>
      </c>
      <c r="U224" s="22"/>
      <c r="V224" s="24"/>
      <c r="W224" s="21"/>
      <c r="Y224" s="490"/>
    </row>
    <row r="225" spans="1:25" ht="75">
      <c r="A225" s="31">
        <v>222</v>
      </c>
      <c r="B225" s="22" t="s">
        <v>39</v>
      </c>
      <c r="C225" s="22" t="s">
        <v>422</v>
      </c>
      <c r="D225" s="22" t="s">
        <v>456</v>
      </c>
      <c r="E225" s="23" t="s">
        <v>457</v>
      </c>
      <c r="F225" s="22" t="s">
        <v>142</v>
      </c>
      <c r="G225" s="22" t="s">
        <v>458</v>
      </c>
      <c r="H225" s="22" t="s">
        <v>164</v>
      </c>
      <c r="I225" s="22" t="s">
        <v>459</v>
      </c>
      <c r="J225" s="22" t="s">
        <v>460</v>
      </c>
      <c r="K225" s="519" t="s">
        <v>1191</v>
      </c>
      <c r="L225" s="521" t="s">
        <v>1260</v>
      </c>
      <c r="M225" s="521" t="s">
        <v>1261</v>
      </c>
      <c r="N225" s="521" t="s">
        <v>885</v>
      </c>
      <c r="O225" s="22" t="s">
        <v>394</v>
      </c>
      <c r="P225" s="426">
        <v>2018</v>
      </c>
      <c r="Q225" s="533">
        <f t="shared" ca="1" si="11"/>
        <v>6.1315466311120261E-2</v>
      </c>
      <c r="R225" s="335">
        <f t="shared" ca="1" si="9"/>
        <v>0</v>
      </c>
      <c r="S225" s="335">
        <f t="shared" ca="1" si="10"/>
        <v>0</v>
      </c>
      <c r="T225" s="429" t="s">
        <v>461</v>
      </c>
      <c r="U225" s="22"/>
      <c r="V225" s="24"/>
      <c r="W225" s="21"/>
      <c r="Y225" s="490"/>
    </row>
    <row r="226" spans="1:25" ht="45">
      <c r="A226" s="31">
        <v>223</v>
      </c>
      <c r="B226" s="22" t="s">
        <v>39</v>
      </c>
      <c r="C226" s="22" t="s">
        <v>462</v>
      </c>
      <c r="D226" s="22" t="s">
        <v>463</v>
      </c>
      <c r="E226" s="23" t="s">
        <v>51</v>
      </c>
      <c r="F226" s="22" t="s">
        <v>52</v>
      </c>
      <c r="G226" s="22" t="s">
        <v>53</v>
      </c>
      <c r="H226" s="22" t="s">
        <v>30</v>
      </c>
      <c r="I226" s="22" t="s">
        <v>464</v>
      </c>
      <c r="J226" s="22" t="s">
        <v>52</v>
      </c>
      <c r="K226" s="519" t="s">
        <v>1262</v>
      </c>
      <c r="L226" s="521" t="s">
        <v>1263</v>
      </c>
      <c r="M226" s="521" t="s">
        <v>1264</v>
      </c>
      <c r="N226" s="521" t="s">
        <v>815</v>
      </c>
      <c r="O226" s="22" t="s">
        <v>465</v>
      </c>
      <c r="P226" s="426">
        <v>2018</v>
      </c>
      <c r="Q226" s="414">
        <f t="shared" ca="1" si="11"/>
        <v>302.2910458942402</v>
      </c>
      <c r="R226" s="335" t="str">
        <f t="shared" ca="1" si="9"/>
        <v>N/A</v>
      </c>
      <c r="S226" s="335" t="str">
        <f t="shared" ca="1" si="10"/>
        <v>N/A</v>
      </c>
      <c r="T226" s="429" t="s">
        <v>48</v>
      </c>
      <c r="U226" s="22"/>
      <c r="V226" s="24"/>
      <c r="W226" s="21"/>
      <c r="Y226" s="490"/>
    </row>
    <row r="227" spans="1:25" ht="45">
      <c r="A227" s="31">
        <v>224</v>
      </c>
      <c r="B227" s="22" t="s">
        <v>39</v>
      </c>
      <c r="C227" s="22" t="s">
        <v>462</v>
      </c>
      <c r="D227" s="22" t="s">
        <v>463</v>
      </c>
      <c r="E227" s="23" t="s">
        <v>51</v>
      </c>
      <c r="F227" s="22" t="s">
        <v>55</v>
      </c>
      <c r="G227" s="22" t="s">
        <v>53</v>
      </c>
      <c r="H227" s="22" t="s">
        <v>30</v>
      </c>
      <c r="I227" s="22" t="s">
        <v>464</v>
      </c>
      <c r="J227" s="22" t="s">
        <v>55</v>
      </c>
      <c r="K227" s="519" t="s">
        <v>1262</v>
      </c>
      <c r="L227" s="521" t="s">
        <v>1265</v>
      </c>
      <c r="M227" s="521" t="s">
        <v>1266</v>
      </c>
      <c r="N227" s="521" t="s">
        <v>815</v>
      </c>
      <c r="O227" s="22" t="s">
        <v>465</v>
      </c>
      <c r="P227" s="426">
        <v>2018</v>
      </c>
      <c r="Q227" s="414">
        <f t="shared" ca="1" si="11"/>
        <v>212.64288722449444</v>
      </c>
      <c r="R227" s="335" t="str">
        <f t="shared" ca="1" si="9"/>
        <v>N/A</v>
      </c>
      <c r="S227" s="335" t="str">
        <f t="shared" ca="1" si="10"/>
        <v>N/A</v>
      </c>
      <c r="T227" s="429" t="s">
        <v>48</v>
      </c>
      <c r="U227" s="22"/>
      <c r="V227" s="24"/>
      <c r="W227" s="21"/>
      <c r="Y227" s="490"/>
    </row>
    <row r="228" spans="1:25" ht="45">
      <c r="A228" s="31">
        <v>225</v>
      </c>
      <c r="B228" s="22" t="s">
        <v>39</v>
      </c>
      <c r="C228" s="22" t="s">
        <v>462</v>
      </c>
      <c r="D228" s="22" t="s">
        <v>463</v>
      </c>
      <c r="E228" s="23" t="s">
        <v>51</v>
      </c>
      <c r="F228" s="22" t="s">
        <v>56</v>
      </c>
      <c r="G228" s="22" t="s">
        <v>53</v>
      </c>
      <c r="H228" s="22" t="s">
        <v>30</v>
      </c>
      <c r="I228" s="22" t="s">
        <v>464</v>
      </c>
      <c r="J228" s="22" t="s">
        <v>56</v>
      </c>
      <c r="K228" s="519" t="s">
        <v>1262</v>
      </c>
      <c r="L228" s="521" t="s">
        <v>1267</v>
      </c>
      <c r="M228" s="521" t="s">
        <v>1268</v>
      </c>
      <c r="N228" s="521" t="s">
        <v>815</v>
      </c>
      <c r="O228" s="22" t="s">
        <v>465</v>
      </c>
      <c r="P228" s="426">
        <v>2018</v>
      </c>
      <c r="Q228" s="414">
        <f t="shared" ca="1" si="11"/>
        <v>2474643.6614470836</v>
      </c>
      <c r="R228" s="335" t="str">
        <f t="shared" ca="1" si="9"/>
        <v>N/A</v>
      </c>
      <c r="S228" s="335" t="str">
        <f t="shared" ca="1" si="10"/>
        <v>N/A</v>
      </c>
      <c r="T228" s="429" t="s">
        <v>48</v>
      </c>
      <c r="U228" s="22"/>
      <c r="V228" s="24"/>
      <c r="W228" s="21"/>
      <c r="Y228" s="490"/>
    </row>
    <row r="229" spans="1:25" ht="45">
      <c r="A229" s="31">
        <v>226</v>
      </c>
      <c r="B229" s="22" t="s">
        <v>39</v>
      </c>
      <c r="C229" s="22" t="s">
        <v>462</v>
      </c>
      <c r="D229" s="22" t="s">
        <v>463</v>
      </c>
      <c r="E229" s="23" t="s">
        <v>51</v>
      </c>
      <c r="F229" s="22" t="s">
        <v>57</v>
      </c>
      <c r="G229" s="22" t="s">
        <v>53</v>
      </c>
      <c r="H229" s="22" t="s">
        <v>30</v>
      </c>
      <c r="I229" s="22" t="s">
        <v>464</v>
      </c>
      <c r="J229" s="22" t="s">
        <v>57</v>
      </c>
      <c r="K229" s="519" t="s">
        <v>1262</v>
      </c>
      <c r="L229" s="521" t="s">
        <v>1269</v>
      </c>
      <c r="M229" s="521" t="s">
        <v>1270</v>
      </c>
      <c r="N229" s="521" t="s">
        <v>815</v>
      </c>
      <c r="O229" s="22" t="s">
        <v>465</v>
      </c>
      <c r="P229" s="426">
        <v>2018</v>
      </c>
      <c r="Q229" s="414">
        <f t="shared" ca="1" si="11"/>
        <v>1679031.8749347455</v>
      </c>
      <c r="R229" s="335" t="str">
        <f t="shared" ca="1" si="9"/>
        <v>N/A</v>
      </c>
      <c r="S229" s="335" t="str">
        <f t="shared" ca="1" si="10"/>
        <v>N/A</v>
      </c>
      <c r="T229" s="429" t="s">
        <v>48</v>
      </c>
      <c r="U229" s="22"/>
      <c r="V229" s="24"/>
      <c r="W229" s="21"/>
      <c r="Y229" s="490"/>
    </row>
    <row r="230" spans="1:25" ht="45">
      <c r="A230" s="31">
        <v>227</v>
      </c>
      <c r="B230" s="22" t="s">
        <v>39</v>
      </c>
      <c r="C230" s="22" t="s">
        <v>462</v>
      </c>
      <c r="D230" s="22" t="s">
        <v>463</v>
      </c>
      <c r="E230" s="23" t="s">
        <v>51</v>
      </c>
      <c r="F230" s="22" t="s">
        <v>58</v>
      </c>
      <c r="G230" s="22" t="s">
        <v>53</v>
      </c>
      <c r="H230" s="22" t="s">
        <v>30</v>
      </c>
      <c r="I230" s="22" t="s">
        <v>464</v>
      </c>
      <c r="J230" s="22" t="s">
        <v>58</v>
      </c>
      <c r="K230" s="519" t="s">
        <v>1262</v>
      </c>
      <c r="L230" s="521" t="s">
        <v>1271</v>
      </c>
      <c r="M230" s="521" t="s">
        <v>1272</v>
      </c>
      <c r="N230" s="521" t="s">
        <v>815</v>
      </c>
      <c r="O230" s="22" t="s">
        <v>465</v>
      </c>
      <c r="P230" s="426">
        <v>2018</v>
      </c>
      <c r="Q230" s="414">
        <f t="shared" ca="1" si="11"/>
        <v>-4152.9136129688195</v>
      </c>
      <c r="R230" s="335" t="str">
        <f t="shared" ca="1" si="9"/>
        <v>N/A</v>
      </c>
      <c r="S230" s="335" t="str">
        <f t="shared" ca="1" si="10"/>
        <v>N/A</v>
      </c>
      <c r="T230" s="429" t="s">
        <v>48</v>
      </c>
      <c r="U230" s="22" t="s">
        <v>49</v>
      </c>
      <c r="V230" s="24"/>
      <c r="W230" s="21"/>
      <c r="Y230" s="490"/>
    </row>
    <row r="231" spans="1:25" ht="45">
      <c r="A231" s="31">
        <v>228</v>
      </c>
      <c r="B231" s="22" t="s">
        <v>39</v>
      </c>
      <c r="C231" s="22" t="s">
        <v>462</v>
      </c>
      <c r="D231" s="22" t="s">
        <v>463</v>
      </c>
      <c r="E231" s="23" t="s">
        <v>51</v>
      </c>
      <c r="F231" s="22" t="s">
        <v>60</v>
      </c>
      <c r="G231" s="22" t="s">
        <v>53</v>
      </c>
      <c r="H231" s="22" t="s">
        <v>30</v>
      </c>
      <c r="I231" s="22" t="s">
        <v>464</v>
      </c>
      <c r="J231" s="22" t="s">
        <v>60</v>
      </c>
      <c r="K231" s="519" t="s">
        <v>1262</v>
      </c>
      <c r="L231" s="521" t="s">
        <v>1273</v>
      </c>
      <c r="M231" s="521" t="s">
        <v>1274</v>
      </c>
      <c r="N231" s="521" t="s">
        <v>815</v>
      </c>
      <c r="O231" s="22" t="s">
        <v>465</v>
      </c>
      <c r="P231" s="426">
        <v>2018</v>
      </c>
      <c r="Q231" s="414">
        <f t="shared" ca="1" si="11"/>
        <v>-3327.7555219824312</v>
      </c>
      <c r="R231" s="335" t="str">
        <f t="shared" ca="1" si="9"/>
        <v>N/A</v>
      </c>
      <c r="S231" s="335" t="str">
        <f t="shared" ca="1" si="10"/>
        <v>N/A</v>
      </c>
      <c r="T231" s="429" t="s">
        <v>48</v>
      </c>
      <c r="U231" s="22" t="s">
        <v>49</v>
      </c>
      <c r="V231" s="24"/>
      <c r="W231" s="21"/>
      <c r="Y231" s="490"/>
    </row>
    <row r="232" spans="1:25" ht="45">
      <c r="A232" s="31">
        <v>229</v>
      </c>
      <c r="B232" s="22" t="s">
        <v>39</v>
      </c>
      <c r="C232" s="22" t="s">
        <v>462</v>
      </c>
      <c r="D232" s="22" t="s">
        <v>463</v>
      </c>
      <c r="E232" s="23" t="s">
        <v>51</v>
      </c>
      <c r="F232" s="22" t="s">
        <v>61</v>
      </c>
      <c r="G232" s="22" t="s">
        <v>53</v>
      </c>
      <c r="H232" s="22" t="s">
        <v>30</v>
      </c>
      <c r="I232" s="22" t="s">
        <v>464</v>
      </c>
      <c r="J232" s="22" t="s">
        <v>61</v>
      </c>
      <c r="K232" s="519" t="s">
        <v>1262</v>
      </c>
      <c r="L232" s="521" t="s">
        <v>1275</v>
      </c>
      <c r="M232" s="521" t="s">
        <v>1276</v>
      </c>
      <c r="N232" s="521" t="s">
        <v>815</v>
      </c>
      <c r="O232" s="22" t="s">
        <v>465</v>
      </c>
      <c r="P232" s="426">
        <v>2018</v>
      </c>
      <c r="Q232" s="414">
        <f t="shared" ca="1" si="11"/>
        <v>1878.559677919385</v>
      </c>
      <c r="R232" s="335" t="str">
        <f t="shared" ca="1" si="9"/>
        <v>N/A</v>
      </c>
      <c r="S232" s="335" t="str">
        <f t="shared" ca="1" si="10"/>
        <v>N/A</v>
      </c>
      <c r="T232" s="429" t="s">
        <v>48</v>
      </c>
      <c r="U232" s="22"/>
      <c r="V232" s="24"/>
      <c r="W232" s="21"/>
      <c r="Y232" s="490"/>
    </row>
    <row r="233" spans="1:25" ht="45">
      <c r="A233" s="31">
        <v>230</v>
      </c>
      <c r="B233" s="22" t="s">
        <v>39</v>
      </c>
      <c r="C233" s="22" t="s">
        <v>462</v>
      </c>
      <c r="D233" s="22" t="s">
        <v>463</v>
      </c>
      <c r="E233" s="23" t="s">
        <v>51</v>
      </c>
      <c r="F233" s="22" t="s">
        <v>62</v>
      </c>
      <c r="G233" s="22" t="s">
        <v>53</v>
      </c>
      <c r="H233" s="22" t="s">
        <v>30</v>
      </c>
      <c r="I233" s="22" t="s">
        <v>464</v>
      </c>
      <c r="J233" s="22" t="s">
        <v>62</v>
      </c>
      <c r="K233" s="519" t="s">
        <v>1262</v>
      </c>
      <c r="L233" s="521" t="s">
        <v>1277</v>
      </c>
      <c r="M233" s="521" t="s">
        <v>1278</v>
      </c>
      <c r="N233" s="521" t="s">
        <v>815</v>
      </c>
      <c r="O233" s="22" t="s">
        <v>465</v>
      </c>
      <c r="P233" s="426">
        <v>2018</v>
      </c>
      <c r="Q233" s="414">
        <f t="shared" ca="1" si="11"/>
        <v>1341.5709739246363</v>
      </c>
      <c r="R233" s="335" t="str">
        <f t="shared" ca="1" si="9"/>
        <v>N/A</v>
      </c>
      <c r="S233" s="335" t="str">
        <f t="shared" ca="1" si="10"/>
        <v>N/A</v>
      </c>
      <c r="T233" s="429" t="s">
        <v>48</v>
      </c>
      <c r="U233" s="22"/>
      <c r="V233" s="24"/>
      <c r="W233" s="21"/>
      <c r="Y233" s="490"/>
    </row>
    <row r="234" spans="1:25" ht="45">
      <c r="A234" s="31">
        <v>231</v>
      </c>
      <c r="B234" s="22" t="s">
        <v>39</v>
      </c>
      <c r="C234" s="22" t="s">
        <v>462</v>
      </c>
      <c r="D234" s="22" t="s">
        <v>463</v>
      </c>
      <c r="E234" s="23" t="s">
        <v>51</v>
      </c>
      <c r="F234" s="22" t="s">
        <v>63</v>
      </c>
      <c r="G234" s="22" t="s">
        <v>53</v>
      </c>
      <c r="H234" s="22" t="s">
        <v>30</v>
      </c>
      <c r="I234" s="22" t="s">
        <v>464</v>
      </c>
      <c r="J234" s="22" t="s">
        <v>63</v>
      </c>
      <c r="K234" s="519" t="s">
        <v>1262</v>
      </c>
      <c r="L234" s="521" t="s">
        <v>1279</v>
      </c>
      <c r="M234" s="521" t="s">
        <v>1280</v>
      </c>
      <c r="N234" s="521" t="s">
        <v>815</v>
      </c>
      <c r="O234" s="22" t="s">
        <v>465</v>
      </c>
      <c r="P234" s="426">
        <v>2018</v>
      </c>
      <c r="Q234" s="414">
        <f t="shared" ca="1" si="11"/>
        <v>19950472.589892048</v>
      </c>
      <c r="R234" s="335" t="str">
        <f t="shared" ca="1" si="9"/>
        <v>N/A</v>
      </c>
      <c r="S234" s="335" t="str">
        <f t="shared" ca="1" si="10"/>
        <v>N/A</v>
      </c>
      <c r="T234" s="429" t="s">
        <v>48</v>
      </c>
      <c r="U234" s="22"/>
      <c r="V234" s="24"/>
      <c r="W234" s="21"/>
      <c r="Y234" s="490"/>
    </row>
    <row r="235" spans="1:25" ht="45">
      <c r="A235" s="31">
        <v>232</v>
      </c>
      <c r="B235" s="22" t="s">
        <v>39</v>
      </c>
      <c r="C235" s="22" t="s">
        <v>462</v>
      </c>
      <c r="D235" s="22" t="s">
        <v>463</v>
      </c>
      <c r="E235" s="23" t="s">
        <v>51</v>
      </c>
      <c r="F235" s="22" t="s">
        <v>64</v>
      </c>
      <c r="G235" s="22" t="s">
        <v>53</v>
      </c>
      <c r="H235" s="22" t="s">
        <v>30</v>
      </c>
      <c r="I235" s="22" t="s">
        <v>464</v>
      </c>
      <c r="J235" s="22" t="s">
        <v>64</v>
      </c>
      <c r="K235" s="519" t="s">
        <v>1262</v>
      </c>
      <c r="L235" s="521" t="s">
        <v>1281</v>
      </c>
      <c r="M235" s="521" t="s">
        <v>1282</v>
      </c>
      <c r="N235" s="521" t="s">
        <v>815</v>
      </c>
      <c r="O235" s="22" t="s">
        <v>465</v>
      </c>
      <c r="P235" s="426">
        <v>2018</v>
      </c>
      <c r="Q235" s="414">
        <f t="shared" ca="1" si="11"/>
        <v>13511816.746513564</v>
      </c>
      <c r="R235" s="335" t="str">
        <f t="shared" ca="1" si="9"/>
        <v>N/A</v>
      </c>
      <c r="S235" s="335" t="str">
        <f t="shared" ca="1" si="10"/>
        <v>N/A</v>
      </c>
      <c r="T235" s="429" t="s">
        <v>48</v>
      </c>
      <c r="U235" s="22"/>
      <c r="V235" s="24"/>
      <c r="W235" s="21"/>
      <c r="Y235" s="490"/>
    </row>
    <row r="236" spans="1:25" ht="45">
      <c r="A236" s="31">
        <v>233</v>
      </c>
      <c r="B236" s="22" t="s">
        <v>39</v>
      </c>
      <c r="C236" s="22" t="s">
        <v>462</v>
      </c>
      <c r="D236" s="22" t="s">
        <v>463</v>
      </c>
      <c r="E236" s="23" t="s">
        <v>51</v>
      </c>
      <c r="F236" s="22" t="s">
        <v>65</v>
      </c>
      <c r="G236" s="22" t="s">
        <v>53</v>
      </c>
      <c r="H236" s="22" t="s">
        <v>30</v>
      </c>
      <c r="I236" s="22" t="s">
        <v>464</v>
      </c>
      <c r="J236" s="22" t="s">
        <v>65</v>
      </c>
      <c r="K236" s="519" t="s">
        <v>1262</v>
      </c>
      <c r="L236" s="521" t="s">
        <v>1283</v>
      </c>
      <c r="M236" s="521" t="s">
        <v>1284</v>
      </c>
      <c r="N236" s="521" t="s">
        <v>815</v>
      </c>
      <c r="O236" s="22" t="s">
        <v>465</v>
      </c>
      <c r="P236" s="426">
        <v>2018</v>
      </c>
      <c r="Q236" s="414">
        <f t="shared" ca="1" si="11"/>
        <v>-20162.196607501144</v>
      </c>
      <c r="R236" s="335" t="str">
        <f t="shared" ca="1" si="9"/>
        <v>N/A</v>
      </c>
      <c r="S236" s="335" t="str">
        <f t="shared" ca="1" si="10"/>
        <v>N/A</v>
      </c>
      <c r="T236" s="429" t="s">
        <v>48</v>
      </c>
      <c r="U236" s="22" t="s">
        <v>49</v>
      </c>
      <c r="V236" s="24"/>
      <c r="W236" s="21"/>
      <c r="Y236" s="490"/>
    </row>
    <row r="237" spans="1:25" ht="45">
      <c r="A237" s="31">
        <v>234</v>
      </c>
      <c r="B237" s="22" t="s">
        <v>39</v>
      </c>
      <c r="C237" s="22" t="s">
        <v>462</v>
      </c>
      <c r="D237" s="22" t="s">
        <v>463</v>
      </c>
      <c r="E237" s="23" t="s">
        <v>51</v>
      </c>
      <c r="F237" s="22" t="s">
        <v>66</v>
      </c>
      <c r="G237" s="22" t="s">
        <v>53</v>
      </c>
      <c r="H237" s="22" t="s">
        <v>30</v>
      </c>
      <c r="I237" s="22" t="s">
        <v>464</v>
      </c>
      <c r="J237" s="22" t="s">
        <v>66</v>
      </c>
      <c r="K237" s="519" t="s">
        <v>1262</v>
      </c>
      <c r="L237" s="521" t="s">
        <v>1285</v>
      </c>
      <c r="M237" s="521" t="s">
        <v>1286</v>
      </c>
      <c r="N237" s="521" t="s">
        <v>815</v>
      </c>
      <c r="O237" s="22" t="s">
        <v>465</v>
      </c>
      <c r="P237" s="426">
        <v>2018</v>
      </c>
      <c r="Q237" s="414">
        <f t="shared" ca="1" si="11"/>
        <v>-17678.491556422654</v>
      </c>
      <c r="R237" s="335" t="str">
        <f t="shared" ca="1" si="9"/>
        <v>N/A</v>
      </c>
      <c r="S237" s="335" t="str">
        <f t="shared" ca="1" si="10"/>
        <v>N/A</v>
      </c>
      <c r="T237" s="429" t="s">
        <v>48</v>
      </c>
      <c r="U237" s="22" t="s">
        <v>49</v>
      </c>
      <c r="V237" s="24"/>
      <c r="W237" s="21"/>
      <c r="Y237" s="490"/>
    </row>
    <row r="238" spans="1:25" ht="30">
      <c r="A238" s="31">
        <v>235</v>
      </c>
      <c r="B238" s="22" t="s">
        <v>39</v>
      </c>
      <c r="C238" s="22" t="s">
        <v>462</v>
      </c>
      <c r="D238" s="22" t="s">
        <v>466</v>
      </c>
      <c r="E238" s="23" t="s">
        <v>42</v>
      </c>
      <c r="F238" s="22" t="s">
        <v>43</v>
      </c>
      <c r="G238" s="22" t="s">
        <v>44</v>
      </c>
      <c r="H238" s="22" t="s">
        <v>30</v>
      </c>
      <c r="I238" s="22" t="s">
        <v>467</v>
      </c>
      <c r="J238" s="22" t="s">
        <v>46</v>
      </c>
      <c r="K238" s="519" t="s">
        <v>1262</v>
      </c>
      <c r="L238" s="521" t="s">
        <v>1287</v>
      </c>
      <c r="M238" s="521" t="s">
        <v>1288</v>
      </c>
      <c r="N238" s="521" t="s">
        <v>815</v>
      </c>
      <c r="O238" s="22" t="s">
        <v>465</v>
      </c>
      <c r="P238" s="426">
        <v>2018</v>
      </c>
      <c r="Q238" s="414">
        <f t="shared" ca="1" si="11"/>
        <v>1169.438431312358</v>
      </c>
      <c r="R238" s="335" t="str">
        <f t="shared" ca="1" si="9"/>
        <v>N/A</v>
      </c>
      <c r="S238" s="335" t="str">
        <f t="shared" ca="1" si="10"/>
        <v>N/A</v>
      </c>
      <c r="T238" s="429" t="s">
        <v>48</v>
      </c>
      <c r="U238" s="22"/>
      <c r="V238" s="24"/>
      <c r="W238" s="21"/>
      <c r="Y238" s="490"/>
    </row>
    <row r="239" spans="1:25" ht="75">
      <c r="A239" s="31">
        <v>236</v>
      </c>
      <c r="B239" s="22" t="s">
        <v>39</v>
      </c>
      <c r="C239" s="22" t="s">
        <v>462</v>
      </c>
      <c r="D239" s="22" t="s">
        <v>468</v>
      </c>
      <c r="E239" s="23" t="s">
        <v>325</v>
      </c>
      <c r="F239" s="22" t="s">
        <v>142</v>
      </c>
      <c r="G239" s="22" t="s">
        <v>143</v>
      </c>
      <c r="H239" s="22" t="s">
        <v>30</v>
      </c>
      <c r="I239" s="22" t="s">
        <v>469</v>
      </c>
      <c r="J239" s="22" t="s">
        <v>333</v>
      </c>
      <c r="K239" s="519" t="s">
        <v>1262</v>
      </c>
      <c r="L239" s="521" t="s">
        <v>1289</v>
      </c>
      <c r="M239" s="521" t="s">
        <v>1290</v>
      </c>
      <c r="N239" s="521" t="s">
        <v>885</v>
      </c>
      <c r="O239" s="22" t="s">
        <v>465</v>
      </c>
      <c r="P239" s="426">
        <v>2018</v>
      </c>
      <c r="Q239" s="533">
        <f t="shared" ca="1" si="11"/>
        <v>3.2015065913370999E-2</v>
      </c>
      <c r="R239" s="335">
        <f t="shared" ca="1" si="9"/>
        <v>0</v>
      </c>
      <c r="S239" s="335">
        <f t="shared" ca="1" si="10"/>
        <v>0</v>
      </c>
      <c r="T239" s="429" t="s">
        <v>425</v>
      </c>
      <c r="U239" s="22" t="s">
        <v>246</v>
      </c>
      <c r="V239" s="24"/>
      <c r="W239" s="21"/>
      <c r="Y239" s="490"/>
    </row>
    <row r="240" spans="1:25" ht="75">
      <c r="A240" s="31">
        <v>237</v>
      </c>
      <c r="B240" s="22" t="s">
        <v>39</v>
      </c>
      <c r="C240" s="22" t="s">
        <v>462</v>
      </c>
      <c r="D240" s="22" t="s">
        <v>468</v>
      </c>
      <c r="E240" s="23" t="s">
        <v>329</v>
      </c>
      <c r="F240" s="22" t="s">
        <v>142</v>
      </c>
      <c r="G240" s="22" t="s">
        <v>143</v>
      </c>
      <c r="H240" s="22" t="s">
        <v>30</v>
      </c>
      <c r="I240" s="22" t="s">
        <v>470</v>
      </c>
      <c r="J240" s="22" t="s">
        <v>330</v>
      </c>
      <c r="K240" s="519" t="s">
        <v>1262</v>
      </c>
      <c r="L240" s="521" t="s">
        <v>1291</v>
      </c>
      <c r="M240" s="521" t="s">
        <v>1292</v>
      </c>
      <c r="N240" s="521" t="s">
        <v>885</v>
      </c>
      <c r="O240" s="22" t="s">
        <v>465</v>
      </c>
      <c r="P240" s="426">
        <v>2018</v>
      </c>
      <c r="Q240" s="533">
        <f t="shared" ca="1" si="11"/>
        <v>0</v>
      </c>
      <c r="R240" s="335">
        <f t="shared" ca="1" si="9"/>
        <v>0</v>
      </c>
      <c r="S240" s="335">
        <f t="shared" ca="1" si="10"/>
        <v>0</v>
      </c>
      <c r="T240" s="429" t="s">
        <v>425</v>
      </c>
      <c r="U240" s="22" t="s">
        <v>246</v>
      </c>
      <c r="V240" s="24"/>
      <c r="W240" s="21"/>
      <c r="Y240" s="490"/>
    </row>
    <row r="241" spans="1:25" ht="75">
      <c r="A241" s="31">
        <v>238</v>
      </c>
      <c r="B241" s="22" t="s">
        <v>39</v>
      </c>
      <c r="C241" s="22" t="s">
        <v>462</v>
      </c>
      <c r="D241" s="22" t="s">
        <v>468</v>
      </c>
      <c r="E241" s="23" t="s">
        <v>331</v>
      </c>
      <c r="F241" s="22" t="s">
        <v>142</v>
      </c>
      <c r="G241" s="22" t="s">
        <v>143</v>
      </c>
      <c r="H241" s="22" t="s">
        <v>30</v>
      </c>
      <c r="I241" s="22" t="s">
        <v>471</v>
      </c>
      <c r="J241" s="22" t="s">
        <v>327</v>
      </c>
      <c r="K241" s="519" t="s">
        <v>1262</v>
      </c>
      <c r="L241" s="521" t="s">
        <v>1293</v>
      </c>
      <c r="M241" s="521" t="s">
        <v>1294</v>
      </c>
      <c r="N241" s="521" t="s">
        <v>885</v>
      </c>
      <c r="O241" s="22" t="s">
        <v>465</v>
      </c>
      <c r="P241" s="426">
        <v>2018</v>
      </c>
      <c r="Q241" s="533">
        <f t="shared" ca="1" si="11"/>
        <v>0</v>
      </c>
      <c r="R241" s="335">
        <f t="shared" ca="1" si="9"/>
        <v>0</v>
      </c>
      <c r="S241" s="335">
        <f t="shared" ca="1" si="10"/>
        <v>0</v>
      </c>
      <c r="T241" s="429" t="s">
        <v>425</v>
      </c>
      <c r="U241" s="22" t="s">
        <v>246</v>
      </c>
      <c r="V241" s="24"/>
      <c r="W241" s="21"/>
      <c r="Y241" s="490"/>
    </row>
    <row r="242" spans="1:25" ht="90">
      <c r="A242" s="31">
        <v>239</v>
      </c>
      <c r="B242" s="22" t="s">
        <v>39</v>
      </c>
      <c r="C242" s="22" t="s">
        <v>462</v>
      </c>
      <c r="D242" s="22" t="s">
        <v>472</v>
      </c>
      <c r="E242" s="23" t="s">
        <v>473</v>
      </c>
      <c r="F242" s="22" t="s">
        <v>142</v>
      </c>
      <c r="G242" s="22" t="s">
        <v>474</v>
      </c>
      <c r="H242" s="22" t="s">
        <v>164</v>
      </c>
      <c r="I242" s="22" t="s">
        <v>1295</v>
      </c>
      <c r="J242" s="22" t="s">
        <v>476</v>
      </c>
      <c r="K242" s="519" t="s">
        <v>1262</v>
      </c>
      <c r="L242" s="521" t="s">
        <v>1296</v>
      </c>
      <c r="M242" s="521" t="s">
        <v>1297</v>
      </c>
      <c r="N242" s="521" t="s">
        <v>885</v>
      </c>
      <c r="O242" s="22" t="s">
        <v>465</v>
      </c>
      <c r="P242" s="426">
        <v>2018</v>
      </c>
      <c r="Q242" s="533">
        <f t="shared" ca="1" si="11"/>
        <v>0</v>
      </c>
      <c r="R242" s="335">
        <f t="shared" ca="1" si="9"/>
        <v>0</v>
      </c>
      <c r="S242" s="335">
        <f t="shared" ca="1" si="10"/>
        <v>0</v>
      </c>
      <c r="T242" s="429" t="s">
        <v>477</v>
      </c>
      <c r="U242" s="22" t="s">
        <v>478</v>
      </c>
      <c r="V242" s="24"/>
      <c r="W242" s="21"/>
      <c r="Y242" s="490"/>
    </row>
    <row r="243" spans="1:25" ht="90">
      <c r="A243" s="31">
        <v>240</v>
      </c>
      <c r="B243" s="22" t="s">
        <v>39</v>
      </c>
      <c r="C243" s="22" t="s">
        <v>462</v>
      </c>
      <c r="D243" s="22" t="s">
        <v>472</v>
      </c>
      <c r="E243" s="23" t="s">
        <v>479</v>
      </c>
      <c r="F243" s="22" t="s">
        <v>142</v>
      </c>
      <c r="G243" s="22" t="s">
        <v>474</v>
      </c>
      <c r="H243" s="22" t="s">
        <v>164</v>
      </c>
      <c r="I243" s="22" t="s">
        <v>1298</v>
      </c>
      <c r="J243" s="22" t="s">
        <v>481</v>
      </c>
      <c r="K243" s="519" t="s">
        <v>1262</v>
      </c>
      <c r="L243" s="521" t="s">
        <v>1299</v>
      </c>
      <c r="M243" s="521" t="s">
        <v>1300</v>
      </c>
      <c r="N243" s="521" t="s">
        <v>885</v>
      </c>
      <c r="O243" s="22" t="s">
        <v>465</v>
      </c>
      <c r="P243" s="426">
        <v>2018</v>
      </c>
      <c r="Q243" s="533">
        <f t="shared" ca="1" si="11"/>
        <v>0</v>
      </c>
      <c r="R243" s="335">
        <f t="shared" ca="1" si="9"/>
        <v>0</v>
      </c>
      <c r="S243" s="335">
        <f t="shared" ca="1" si="10"/>
        <v>0</v>
      </c>
      <c r="T243" s="429" t="s">
        <v>482</v>
      </c>
      <c r="U243" s="22" t="s">
        <v>478</v>
      </c>
      <c r="V243" s="24"/>
      <c r="W243" s="21"/>
      <c r="Y243" s="490"/>
    </row>
    <row r="244" spans="1:25" ht="90">
      <c r="A244" s="31">
        <v>241</v>
      </c>
      <c r="B244" s="22" t="s">
        <v>39</v>
      </c>
      <c r="C244" s="22" t="s">
        <v>462</v>
      </c>
      <c r="D244" s="22" t="s">
        <v>472</v>
      </c>
      <c r="E244" s="23" t="s">
        <v>483</v>
      </c>
      <c r="F244" s="22" t="s">
        <v>142</v>
      </c>
      <c r="G244" s="22" t="s">
        <v>474</v>
      </c>
      <c r="H244" s="22" t="s">
        <v>164</v>
      </c>
      <c r="I244" s="22" t="s">
        <v>1301</v>
      </c>
      <c r="J244" s="22" t="s">
        <v>485</v>
      </c>
      <c r="K244" s="519" t="s">
        <v>1262</v>
      </c>
      <c r="L244" s="521" t="s">
        <v>1302</v>
      </c>
      <c r="M244" s="521" t="s">
        <v>1303</v>
      </c>
      <c r="N244" s="521" t="s">
        <v>885</v>
      </c>
      <c r="O244" s="22" t="s">
        <v>465</v>
      </c>
      <c r="P244" s="426">
        <v>2018</v>
      </c>
      <c r="Q244" s="533">
        <f t="shared" ca="1" si="11"/>
        <v>0</v>
      </c>
      <c r="R244" s="335">
        <f t="shared" ca="1" si="9"/>
        <v>0</v>
      </c>
      <c r="S244" s="335">
        <f t="shared" ca="1" si="10"/>
        <v>0</v>
      </c>
      <c r="T244" s="429" t="s">
        <v>486</v>
      </c>
      <c r="U244" s="22" t="s">
        <v>478</v>
      </c>
      <c r="V244" s="24"/>
      <c r="W244" s="21"/>
      <c r="Y244" s="490"/>
    </row>
    <row r="245" spans="1:25" ht="30">
      <c r="A245" s="31">
        <v>242</v>
      </c>
      <c r="B245" s="22" t="s">
        <v>39</v>
      </c>
      <c r="C245" s="22" t="s">
        <v>462</v>
      </c>
      <c r="D245" s="22" t="s">
        <v>487</v>
      </c>
      <c r="E245" s="23" t="s">
        <v>91</v>
      </c>
      <c r="F245" s="22" t="s">
        <v>92</v>
      </c>
      <c r="G245" s="22" t="s">
        <v>93</v>
      </c>
      <c r="H245" s="22" t="s">
        <v>30</v>
      </c>
      <c r="I245" s="22" t="s">
        <v>488</v>
      </c>
      <c r="J245" s="22" t="s">
        <v>92</v>
      </c>
      <c r="K245" s="519" t="s">
        <v>1262</v>
      </c>
      <c r="L245" s="521" t="s">
        <v>1304</v>
      </c>
      <c r="M245" s="521" t="s">
        <v>1305</v>
      </c>
      <c r="N245" s="521" t="s">
        <v>885</v>
      </c>
      <c r="O245" s="22" t="s">
        <v>465</v>
      </c>
      <c r="P245" s="426">
        <v>2018</v>
      </c>
      <c r="Q245" s="414">
        <f t="shared" ca="1" si="11"/>
        <v>219.63457345377984</v>
      </c>
      <c r="R245" s="335">
        <f t="shared" ca="1" si="9"/>
        <v>0</v>
      </c>
      <c r="S245" s="335">
        <f t="shared" ca="1" si="10"/>
        <v>0</v>
      </c>
      <c r="T245" s="429" t="s">
        <v>48</v>
      </c>
      <c r="U245" s="22"/>
      <c r="V245" s="24"/>
      <c r="W245" s="21"/>
      <c r="Y245" s="490"/>
    </row>
    <row r="246" spans="1:25" ht="30">
      <c r="A246" s="31">
        <v>243</v>
      </c>
      <c r="B246" s="22" t="s">
        <v>39</v>
      </c>
      <c r="C246" s="22" t="s">
        <v>462</v>
      </c>
      <c r="D246" s="22" t="s">
        <v>487</v>
      </c>
      <c r="E246" s="23" t="s">
        <v>91</v>
      </c>
      <c r="F246" s="22" t="s">
        <v>95</v>
      </c>
      <c r="G246" s="22" t="s">
        <v>93</v>
      </c>
      <c r="H246" s="22" t="s">
        <v>30</v>
      </c>
      <c r="I246" s="22" t="s">
        <v>488</v>
      </c>
      <c r="J246" s="22" t="s">
        <v>95</v>
      </c>
      <c r="K246" s="519" t="s">
        <v>1262</v>
      </c>
      <c r="L246" s="521" t="s">
        <v>1306</v>
      </c>
      <c r="M246" s="521" t="s">
        <v>1307</v>
      </c>
      <c r="N246" s="521" t="s">
        <v>885</v>
      </c>
      <c r="O246" s="22" t="s">
        <v>465</v>
      </c>
      <c r="P246" s="426">
        <v>2018</v>
      </c>
      <c r="Q246" s="414">
        <f t="shared" ca="1" si="11"/>
        <v>3.6981760817995001E-2</v>
      </c>
      <c r="R246" s="335">
        <f t="shared" ca="1" si="9"/>
        <v>0</v>
      </c>
      <c r="S246" s="335">
        <f t="shared" ca="1" si="10"/>
        <v>0</v>
      </c>
      <c r="T246" s="429" t="s">
        <v>48</v>
      </c>
      <c r="U246" s="22"/>
      <c r="V246" s="24"/>
      <c r="W246" s="21"/>
      <c r="Y246" s="490"/>
    </row>
    <row r="247" spans="1:25" ht="30">
      <c r="A247" s="31">
        <v>244</v>
      </c>
      <c r="B247" s="22" t="s">
        <v>39</v>
      </c>
      <c r="C247" s="22" t="s">
        <v>462</v>
      </c>
      <c r="D247" s="22" t="s">
        <v>487</v>
      </c>
      <c r="E247" s="23" t="s">
        <v>91</v>
      </c>
      <c r="F247" s="22" t="s">
        <v>96</v>
      </c>
      <c r="G247" s="22" t="s">
        <v>93</v>
      </c>
      <c r="H247" s="22" t="s">
        <v>30</v>
      </c>
      <c r="I247" s="22" t="s">
        <v>488</v>
      </c>
      <c r="J247" s="22" t="s">
        <v>96</v>
      </c>
      <c r="K247" s="519" t="s">
        <v>1262</v>
      </c>
      <c r="L247" s="521" t="s">
        <v>1308</v>
      </c>
      <c r="M247" s="521" t="s">
        <v>1309</v>
      </c>
      <c r="N247" s="521" t="s">
        <v>885</v>
      </c>
      <c r="O247" s="22" t="s">
        <v>465</v>
      </c>
      <c r="P247" s="426">
        <v>2018</v>
      </c>
      <c r="Q247" s="414">
        <f t="shared" ca="1" si="11"/>
        <v>0.41831196269124932</v>
      </c>
      <c r="R247" s="335">
        <f t="shared" ca="1" si="9"/>
        <v>0</v>
      </c>
      <c r="S247" s="335">
        <f t="shared" ca="1" si="10"/>
        <v>0</v>
      </c>
      <c r="T247" s="429" t="s">
        <v>48</v>
      </c>
      <c r="U247" s="22" t="s">
        <v>49</v>
      </c>
      <c r="V247" s="24"/>
      <c r="W247" s="21"/>
      <c r="Y247" s="490"/>
    </row>
    <row r="248" spans="1:25" ht="30">
      <c r="A248" s="31">
        <v>245</v>
      </c>
      <c r="B248" s="22" t="s">
        <v>39</v>
      </c>
      <c r="C248" s="22" t="s">
        <v>462</v>
      </c>
      <c r="D248" s="22" t="s">
        <v>487</v>
      </c>
      <c r="E248" s="23" t="s">
        <v>91</v>
      </c>
      <c r="F248" s="22" t="s">
        <v>97</v>
      </c>
      <c r="G248" s="22" t="s">
        <v>93</v>
      </c>
      <c r="H248" s="22" t="s">
        <v>30</v>
      </c>
      <c r="I248" s="22" t="s">
        <v>488</v>
      </c>
      <c r="J248" s="22" t="s">
        <v>97</v>
      </c>
      <c r="K248" s="519" t="s">
        <v>1262</v>
      </c>
      <c r="L248" s="521" t="s">
        <v>1310</v>
      </c>
      <c r="M248" s="521" t="s">
        <v>1311</v>
      </c>
      <c r="N248" s="521" t="s">
        <v>885</v>
      </c>
      <c r="O248" s="22" t="s">
        <v>465</v>
      </c>
      <c r="P248" s="426">
        <v>2018</v>
      </c>
      <c r="Q248" s="414">
        <f t="shared" ca="1" si="11"/>
        <v>587.01052905849212</v>
      </c>
      <c r="R248" s="335">
        <f t="shared" ca="1" si="9"/>
        <v>0</v>
      </c>
      <c r="S248" s="335">
        <f t="shared" ca="1" si="10"/>
        <v>0</v>
      </c>
      <c r="T248" s="429" t="s">
        <v>48</v>
      </c>
      <c r="U248" s="22"/>
      <c r="V248" s="24"/>
      <c r="W248" s="21"/>
      <c r="Y248" s="490"/>
    </row>
    <row r="249" spans="1:25" ht="30">
      <c r="A249" s="31">
        <v>246</v>
      </c>
      <c r="B249" s="22" t="s">
        <v>39</v>
      </c>
      <c r="C249" s="22" t="s">
        <v>462</v>
      </c>
      <c r="D249" s="22" t="s">
        <v>487</v>
      </c>
      <c r="E249" s="23" t="s">
        <v>91</v>
      </c>
      <c r="F249" s="22" t="s">
        <v>98</v>
      </c>
      <c r="G249" s="22" t="s">
        <v>93</v>
      </c>
      <c r="H249" s="22" t="s">
        <v>30</v>
      </c>
      <c r="I249" s="22" t="s">
        <v>488</v>
      </c>
      <c r="J249" s="22" t="s">
        <v>98</v>
      </c>
      <c r="K249" s="519" t="s">
        <v>1262</v>
      </c>
      <c r="L249" s="521" t="s">
        <v>1312</v>
      </c>
      <c r="M249" s="521" t="s">
        <v>1313</v>
      </c>
      <c r="N249" s="521" t="s">
        <v>885</v>
      </c>
      <c r="O249" s="22" t="s">
        <v>465</v>
      </c>
      <c r="P249" s="426">
        <v>2018</v>
      </c>
      <c r="Q249" s="414">
        <f t="shared" ca="1" si="11"/>
        <v>9.8840007936429303E-2</v>
      </c>
      <c r="R249" s="335">
        <f t="shared" ca="1" si="9"/>
        <v>0</v>
      </c>
      <c r="S249" s="335">
        <f t="shared" ca="1" si="10"/>
        <v>0</v>
      </c>
      <c r="T249" s="429" t="s">
        <v>48</v>
      </c>
      <c r="U249" s="22"/>
      <c r="V249" s="24"/>
      <c r="W249" s="21"/>
      <c r="Y249" s="490"/>
    </row>
    <row r="250" spans="1:25" ht="30">
      <c r="A250" s="31">
        <v>247</v>
      </c>
      <c r="B250" s="22" t="s">
        <v>39</v>
      </c>
      <c r="C250" s="22" t="s">
        <v>462</v>
      </c>
      <c r="D250" s="22" t="s">
        <v>487</v>
      </c>
      <c r="E250" s="23" t="s">
        <v>91</v>
      </c>
      <c r="F250" s="22" t="s">
        <v>99</v>
      </c>
      <c r="G250" s="22" t="s">
        <v>93</v>
      </c>
      <c r="H250" s="22" t="s">
        <v>30</v>
      </c>
      <c r="I250" s="22" t="s">
        <v>488</v>
      </c>
      <c r="J250" s="22" t="s">
        <v>99</v>
      </c>
      <c r="K250" s="519" t="s">
        <v>1262</v>
      </c>
      <c r="L250" s="521" t="s">
        <v>1314</v>
      </c>
      <c r="M250" s="521" t="s">
        <v>1315</v>
      </c>
      <c r="N250" s="521" t="s">
        <v>885</v>
      </c>
      <c r="O250" s="22" t="s">
        <v>465</v>
      </c>
      <c r="P250" s="426">
        <v>2018</v>
      </c>
      <c r="Q250" s="414">
        <f t="shared" ca="1" si="11"/>
        <v>1.0248836267359509</v>
      </c>
      <c r="R250" s="335">
        <f t="shared" ca="1" si="9"/>
        <v>0</v>
      </c>
      <c r="S250" s="335">
        <f t="shared" ca="1" si="10"/>
        <v>0</v>
      </c>
      <c r="T250" s="429" t="s">
        <v>48</v>
      </c>
      <c r="U250" s="22" t="s">
        <v>49</v>
      </c>
      <c r="V250" s="24"/>
      <c r="W250" s="21"/>
      <c r="Y250" s="490"/>
    </row>
    <row r="251" spans="1:25" ht="30">
      <c r="A251" s="31">
        <v>248</v>
      </c>
      <c r="B251" s="22" t="s">
        <v>39</v>
      </c>
      <c r="C251" s="22" t="s">
        <v>462</v>
      </c>
      <c r="D251" s="22" t="s">
        <v>489</v>
      </c>
      <c r="E251" s="23" t="s">
        <v>296</v>
      </c>
      <c r="F251" s="22" t="s">
        <v>297</v>
      </c>
      <c r="G251" s="22" t="s">
        <v>298</v>
      </c>
      <c r="H251" s="22" t="s">
        <v>30</v>
      </c>
      <c r="I251" s="22" t="s">
        <v>490</v>
      </c>
      <c r="J251" s="22" t="s">
        <v>297</v>
      </c>
      <c r="K251" s="519" t="s">
        <v>1262</v>
      </c>
      <c r="L251" s="521" t="s">
        <v>1316</v>
      </c>
      <c r="M251" s="521" t="s">
        <v>1317</v>
      </c>
      <c r="N251" s="521" t="s">
        <v>885</v>
      </c>
      <c r="O251" s="22" t="s">
        <v>465</v>
      </c>
      <c r="P251" s="426">
        <v>2018</v>
      </c>
      <c r="Q251" s="533">
        <f t="shared" ca="1" si="11"/>
        <v>5.10399338113581E-4</v>
      </c>
      <c r="R251" s="335">
        <f t="shared" ca="1" si="9"/>
        <v>0</v>
      </c>
      <c r="S251" s="335">
        <f t="shared" ca="1" si="10"/>
        <v>0</v>
      </c>
      <c r="T251" s="429"/>
      <c r="U251" s="22"/>
      <c r="V251" s="24"/>
      <c r="W251" s="21"/>
      <c r="Y251" s="490"/>
    </row>
    <row r="252" spans="1:25" ht="30">
      <c r="A252" s="31">
        <v>249</v>
      </c>
      <c r="B252" s="22" t="s">
        <v>39</v>
      </c>
      <c r="C252" s="22" t="s">
        <v>462</v>
      </c>
      <c r="D252" s="22" t="s">
        <v>489</v>
      </c>
      <c r="E252" s="23" t="s">
        <v>296</v>
      </c>
      <c r="F252" s="22" t="s">
        <v>300</v>
      </c>
      <c r="G252" s="22" t="s">
        <v>298</v>
      </c>
      <c r="H252" s="22" t="s">
        <v>30</v>
      </c>
      <c r="I252" s="22" t="s">
        <v>490</v>
      </c>
      <c r="J252" s="22" t="s">
        <v>300</v>
      </c>
      <c r="K252" s="519" t="s">
        <v>1262</v>
      </c>
      <c r="L252" s="521" t="s">
        <v>1318</v>
      </c>
      <c r="M252" s="521" t="s">
        <v>1319</v>
      </c>
      <c r="N252" s="521" t="s">
        <v>885</v>
      </c>
      <c r="O252" s="22" t="s">
        <v>465</v>
      </c>
      <c r="P252" s="426">
        <v>2018</v>
      </c>
      <c r="Q252" s="533">
        <f t="shared" ca="1" si="11"/>
        <v>3.5903408442972476E-4</v>
      </c>
      <c r="R252" s="335">
        <f t="shared" ca="1" si="9"/>
        <v>0</v>
      </c>
      <c r="S252" s="335">
        <f t="shared" ca="1" si="10"/>
        <v>0</v>
      </c>
      <c r="T252" s="429"/>
      <c r="U252" s="22"/>
      <c r="V252" s="24"/>
      <c r="W252" s="21"/>
      <c r="Y252" s="490"/>
    </row>
    <row r="253" spans="1:25" ht="30">
      <c r="A253" s="31">
        <v>250</v>
      </c>
      <c r="B253" s="22" t="s">
        <v>39</v>
      </c>
      <c r="C253" s="22" t="s">
        <v>462</v>
      </c>
      <c r="D253" s="22" t="s">
        <v>489</v>
      </c>
      <c r="E253" s="23" t="s">
        <v>296</v>
      </c>
      <c r="F253" s="22" t="s">
        <v>301</v>
      </c>
      <c r="G253" s="22" t="s">
        <v>298</v>
      </c>
      <c r="H253" s="22" t="s">
        <v>30</v>
      </c>
      <c r="I253" s="22" t="s">
        <v>490</v>
      </c>
      <c r="J253" s="22" t="s">
        <v>301</v>
      </c>
      <c r="K253" s="519" t="s">
        <v>1262</v>
      </c>
      <c r="L253" s="521" t="s">
        <v>1320</v>
      </c>
      <c r="M253" s="521" t="s">
        <v>1321</v>
      </c>
      <c r="N253" s="521" t="s">
        <v>885</v>
      </c>
      <c r="O253" s="22" t="s">
        <v>465</v>
      </c>
      <c r="P253" s="426">
        <v>2018</v>
      </c>
      <c r="Q253" s="533">
        <f t="shared" ca="1" si="11"/>
        <v>8.1704607597687267E-4</v>
      </c>
      <c r="R253" s="335">
        <f t="shared" ca="1" si="9"/>
        <v>0</v>
      </c>
      <c r="S253" s="335">
        <f t="shared" ca="1" si="10"/>
        <v>0</v>
      </c>
      <c r="T253" s="429"/>
      <c r="U253" s="22"/>
      <c r="V253" s="24"/>
      <c r="W253" s="21"/>
      <c r="Y253" s="490"/>
    </row>
    <row r="254" spans="1:25" ht="30">
      <c r="A254" s="31">
        <v>251</v>
      </c>
      <c r="B254" s="22" t="s">
        <v>39</v>
      </c>
      <c r="C254" s="22" t="s">
        <v>462</v>
      </c>
      <c r="D254" s="22" t="s">
        <v>489</v>
      </c>
      <c r="E254" s="23" t="s">
        <v>296</v>
      </c>
      <c r="F254" s="22" t="s">
        <v>302</v>
      </c>
      <c r="G254" s="22" t="s">
        <v>298</v>
      </c>
      <c r="H254" s="22" t="s">
        <v>30</v>
      </c>
      <c r="I254" s="22" t="s">
        <v>490</v>
      </c>
      <c r="J254" s="22" t="s">
        <v>302</v>
      </c>
      <c r="K254" s="519" t="s">
        <v>1262</v>
      </c>
      <c r="L254" s="521" t="s">
        <v>1322</v>
      </c>
      <c r="M254" s="521" t="s">
        <v>1323</v>
      </c>
      <c r="N254" s="521" t="s">
        <v>885</v>
      </c>
      <c r="O254" s="22" t="s">
        <v>465</v>
      </c>
      <c r="P254" s="426">
        <v>2018</v>
      </c>
      <c r="Q254" s="533">
        <f t="shared" ca="1" si="11"/>
        <v>5.5436118994737105E-4</v>
      </c>
      <c r="R254" s="335">
        <f t="shared" ca="1" si="9"/>
        <v>0</v>
      </c>
      <c r="S254" s="335">
        <f t="shared" ca="1" si="10"/>
        <v>0</v>
      </c>
      <c r="T254" s="429"/>
      <c r="U254" s="22"/>
      <c r="V254" s="24"/>
      <c r="W254" s="21"/>
      <c r="Y254" s="490"/>
    </row>
    <row r="255" spans="1:25" ht="30">
      <c r="A255" s="31">
        <v>252</v>
      </c>
      <c r="B255" s="22" t="s">
        <v>39</v>
      </c>
      <c r="C255" s="22" t="s">
        <v>462</v>
      </c>
      <c r="D255" s="22" t="s">
        <v>489</v>
      </c>
      <c r="E255" s="23" t="s">
        <v>296</v>
      </c>
      <c r="F255" s="22" t="s">
        <v>303</v>
      </c>
      <c r="G255" s="22" t="s">
        <v>298</v>
      </c>
      <c r="H255" s="22" t="s">
        <v>30</v>
      </c>
      <c r="I255" s="22" t="s">
        <v>490</v>
      </c>
      <c r="J255" s="22" t="s">
        <v>303</v>
      </c>
      <c r="K255" s="519" t="s">
        <v>1262</v>
      </c>
      <c r="L255" s="521" t="s">
        <v>1324</v>
      </c>
      <c r="M255" s="521" t="s">
        <v>1325</v>
      </c>
      <c r="N255" s="521" t="s">
        <v>885</v>
      </c>
      <c r="O255" s="22" t="s">
        <v>465</v>
      </c>
      <c r="P255" s="426">
        <v>2018</v>
      </c>
      <c r="Q255" s="533">
        <f t="shared" ca="1" si="11"/>
        <v>-1.7515103085964824E-5</v>
      </c>
      <c r="R255" s="335">
        <f t="shared" ca="1" si="9"/>
        <v>0</v>
      </c>
      <c r="S255" s="335">
        <f t="shared" ca="1" si="10"/>
        <v>0</v>
      </c>
      <c r="T255" s="429" t="s">
        <v>304</v>
      </c>
      <c r="U255" s="22" t="s">
        <v>491</v>
      </c>
      <c r="V255" s="24"/>
      <c r="W255" s="21"/>
      <c r="Y255" s="490"/>
    </row>
    <row r="256" spans="1:25" ht="30">
      <c r="A256" s="31">
        <v>253</v>
      </c>
      <c r="B256" s="22" t="s">
        <v>39</v>
      </c>
      <c r="C256" s="22" t="s">
        <v>462</v>
      </c>
      <c r="D256" s="22" t="s">
        <v>489</v>
      </c>
      <c r="E256" s="23" t="s">
        <v>296</v>
      </c>
      <c r="F256" s="22" t="s">
        <v>305</v>
      </c>
      <c r="G256" s="22" t="s">
        <v>298</v>
      </c>
      <c r="H256" s="22" t="s">
        <v>30</v>
      </c>
      <c r="I256" s="22" t="s">
        <v>490</v>
      </c>
      <c r="J256" s="22" t="s">
        <v>305</v>
      </c>
      <c r="K256" s="519" t="s">
        <v>1262</v>
      </c>
      <c r="L256" s="521" t="s">
        <v>1326</v>
      </c>
      <c r="M256" s="521" t="s">
        <v>1327</v>
      </c>
      <c r="N256" s="521" t="s">
        <v>885</v>
      </c>
      <c r="O256" s="22" t="s">
        <v>465</v>
      </c>
      <c r="P256" s="426">
        <v>2018</v>
      </c>
      <c r="Q256" s="533">
        <f t="shared" ca="1" si="11"/>
        <v>-1.4034961100658147E-5</v>
      </c>
      <c r="R256" s="335">
        <f t="shared" ca="1" si="9"/>
        <v>0</v>
      </c>
      <c r="S256" s="335">
        <f t="shared" ca="1" si="10"/>
        <v>0</v>
      </c>
      <c r="T256" s="429" t="s">
        <v>304</v>
      </c>
      <c r="U256" s="22" t="s">
        <v>491</v>
      </c>
      <c r="V256" s="24"/>
      <c r="W256" s="21"/>
      <c r="Y256" s="490"/>
    </row>
    <row r="257" spans="1:25" ht="30">
      <c r="A257" s="31">
        <v>254</v>
      </c>
      <c r="B257" s="22" t="s">
        <v>39</v>
      </c>
      <c r="C257" s="22" t="s">
        <v>462</v>
      </c>
      <c r="D257" s="22" t="s">
        <v>489</v>
      </c>
      <c r="E257" s="23" t="s">
        <v>296</v>
      </c>
      <c r="F257" s="22" t="s">
        <v>306</v>
      </c>
      <c r="G257" s="22" t="s">
        <v>298</v>
      </c>
      <c r="H257" s="22" t="s">
        <v>30</v>
      </c>
      <c r="I257" s="22" t="s">
        <v>490</v>
      </c>
      <c r="J257" s="22" t="s">
        <v>306</v>
      </c>
      <c r="K257" s="519" t="s">
        <v>1262</v>
      </c>
      <c r="L257" s="521" t="s">
        <v>1328</v>
      </c>
      <c r="M257" s="521" t="s">
        <v>1329</v>
      </c>
      <c r="N257" s="521" t="s">
        <v>885</v>
      </c>
      <c r="O257" s="22" t="s">
        <v>465</v>
      </c>
      <c r="P257" s="426">
        <v>2018</v>
      </c>
      <c r="Q257" s="533">
        <f t="shared" ca="1" si="11"/>
        <v>3.1718293652414878E-3</v>
      </c>
      <c r="R257" s="335">
        <f t="shared" ca="1" si="9"/>
        <v>0</v>
      </c>
      <c r="S257" s="335">
        <f t="shared" ca="1" si="10"/>
        <v>0</v>
      </c>
      <c r="T257" s="429"/>
      <c r="U257" s="22"/>
      <c r="V257" s="24"/>
      <c r="W257" s="21"/>
      <c r="Y257" s="490"/>
    </row>
    <row r="258" spans="1:25" ht="30">
      <c r="A258" s="31">
        <v>255</v>
      </c>
      <c r="B258" s="22" t="s">
        <v>39</v>
      </c>
      <c r="C258" s="22" t="s">
        <v>462</v>
      </c>
      <c r="D258" s="22" t="s">
        <v>489</v>
      </c>
      <c r="E258" s="23" t="s">
        <v>296</v>
      </c>
      <c r="F258" s="22" t="s">
        <v>307</v>
      </c>
      <c r="G258" s="22" t="s">
        <v>298</v>
      </c>
      <c r="H258" s="22" t="s">
        <v>30</v>
      </c>
      <c r="I258" s="22" t="s">
        <v>490</v>
      </c>
      <c r="J258" s="22" t="s">
        <v>307</v>
      </c>
      <c r="K258" s="519" t="s">
        <v>1262</v>
      </c>
      <c r="L258" s="521" t="s">
        <v>1330</v>
      </c>
      <c r="M258" s="521" t="s">
        <v>1331</v>
      </c>
      <c r="N258" s="521" t="s">
        <v>885</v>
      </c>
      <c r="O258" s="22" t="s">
        <v>465</v>
      </c>
      <c r="P258" s="426">
        <v>2018</v>
      </c>
      <c r="Q258" s="533">
        <f t="shared" ca="1" si="11"/>
        <v>2.2651578550662342E-3</v>
      </c>
      <c r="R258" s="335">
        <f t="shared" ca="1" si="9"/>
        <v>0</v>
      </c>
      <c r="S258" s="335">
        <f t="shared" ca="1" si="10"/>
        <v>0</v>
      </c>
      <c r="T258" s="429"/>
      <c r="U258" s="22"/>
      <c r="V258" s="24"/>
      <c r="W258" s="21"/>
      <c r="Y258" s="490"/>
    </row>
    <row r="259" spans="1:25" ht="30">
      <c r="A259" s="31">
        <v>256</v>
      </c>
      <c r="B259" s="22" t="s">
        <v>39</v>
      </c>
      <c r="C259" s="22" t="s">
        <v>462</v>
      </c>
      <c r="D259" s="22" t="s">
        <v>489</v>
      </c>
      <c r="E259" s="23" t="s">
        <v>296</v>
      </c>
      <c r="F259" s="22" t="s">
        <v>308</v>
      </c>
      <c r="G259" s="22" t="s">
        <v>298</v>
      </c>
      <c r="H259" s="22" t="s">
        <v>30</v>
      </c>
      <c r="I259" s="22" t="s">
        <v>490</v>
      </c>
      <c r="J259" s="22" t="s">
        <v>308</v>
      </c>
      <c r="K259" s="519" t="s">
        <v>1262</v>
      </c>
      <c r="L259" s="521" t="s">
        <v>1332</v>
      </c>
      <c r="M259" s="521" t="s">
        <v>1333</v>
      </c>
      <c r="N259" s="521" t="s">
        <v>885</v>
      </c>
      <c r="O259" s="22" t="s">
        <v>465</v>
      </c>
      <c r="P259" s="426">
        <v>2018</v>
      </c>
      <c r="Q259" s="533">
        <f t="shared" ca="1" si="11"/>
        <v>6.5869909261697729E-3</v>
      </c>
      <c r="R259" s="335">
        <f t="shared" ref="R259:R305" ca="1" si="12">IF($N259 = "N","N/A",SUMIF(INDIRECT("'"&amp;K259&amp;"'!i:i"),L259,INDIRECT("'"&amp;K259&amp;"'!m:m")))</f>
        <v>0</v>
      </c>
      <c r="S259" s="335">
        <f t="shared" ref="S259:S305" ca="1" si="13">IF($N259 = "N","N/A",SUMIF(INDIRECT("'"&amp;K259&amp;"'!i:i"),M259,INDIRECT("'"&amp;K259&amp;"'!m:m")))</f>
        <v>0</v>
      </c>
      <c r="T259" s="429"/>
      <c r="U259" s="22"/>
      <c r="V259" s="24"/>
      <c r="W259" s="21"/>
      <c r="Y259" s="490"/>
    </row>
    <row r="260" spans="1:25" ht="30">
      <c r="A260" s="31">
        <v>257</v>
      </c>
      <c r="B260" s="22" t="s">
        <v>39</v>
      </c>
      <c r="C260" s="22" t="s">
        <v>462</v>
      </c>
      <c r="D260" s="22" t="s">
        <v>489</v>
      </c>
      <c r="E260" s="23" t="s">
        <v>296</v>
      </c>
      <c r="F260" s="22" t="s">
        <v>309</v>
      </c>
      <c r="G260" s="22" t="s">
        <v>298</v>
      </c>
      <c r="H260" s="22" t="s">
        <v>30</v>
      </c>
      <c r="I260" s="22" t="s">
        <v>490</v>
      </c>
      <c r="J260" s="22" t="s">
        <v>309</v>
      </c>
      <c r="K260" s="519" t="s">
        <v>1262</v>
      </c>
      <c r="L260" s="521" t="s">
        <v>1334</v>
      </c>
      <c r="M260" s="521" t="s">
        <v>1335</v>
      </c>
      <c r="N260" s="521" t="s">
        <v>885</v>
      </c>
      <c r="O260" s="22" t="s">
        <v>465</v>
      </c>
      <c r="P260" s="426">
        <v>2018</v>
      </c>
      <c r="Q260" s="533">
        <f t="shared" ref="Q260:Q304" ca="1" si="14">SUMIF(INDIRECT("'"&amp;K260&amp;"'!c:c"),A260,INDIRECT("'"&amp;K260&amp;"'!f:f"))</f>
        <v>4.4611581958437906E-3</v>
      </c>
      <c r="R260" s="335">
        <f t="shared" ca="1" si="12"/>
        <v>0</v>
      </c>
      <c r="S260" s="335">
        <f t="shared" ca="1" si="13"/>
        <v>0</v>
      </c>
      <c r="T260" s="429"/>
      <c r="U260" s="22"/>
      <c r="V260" s="24"/>
      <c r="W260" s="21"/>
      <c r="Y260" s="490"/>
    </row>
    <row r="261" spans="1:25" ht="30">
      <c r="A261" s="31">
        <v>258</v>
      </c>
      <c r="B261" s="22" t="s">
        <v>39</v>
      </c>
      <c r="C261" s="22" t="s">
        <v>462</v>
      </c>
      <c r="D261" s="22" t="s">
        <v>489</v>
      </c>
      <c r="E261" s="23" t="s">
        <v>296</v>
      </c>
      <c r="F261" s="22" t="s">
        <v>310</v>
      </c>
      <c r="G261" s="22" t="s">
        <v>298</v>
      </c>
      <c r="H261" s="22" t="s">
        <v>30</v>
      </c>
      <c r="I261" s="22" t="s">
        <v>490</v>
      </c>
      <c r="J261" s="22" t="s">
        <v>310</v>
      </c>
      <c r="K261" s="519" t="s">
        <v>1262</v>
      </c>
      <c r="L261" s="521" t="s">
        <v>1336</v>
      </c>
      <c r="M261" s="521" t="s">
        <v>1337</v>
      </c>
      <c r="N261" s="521" t="s">
        <v>885</v>
      </c>
      <c r="O261" s="22" t="s">
        <v>465</v>
      </c>
      <c r="P261" s="426">
        <v>2018</v>
      </c>
      <c r="Q261" s="533">
        <f t="shared" ca="1" si="14"/>
        <v>-8.5034986260506396E-5</v>
      </c>
      <c r="R261" s="335">
        <f t="shared" ca="1" si="12"/>
        <v>0</v>
      </c>
      <c r="S261" s="335">
        <f t="shared" ca="1" si="13"/>
        <v>0</v>
      </c>
      <c r="T261" s="429" t="s">
        <v>304</v>
      </c>
      <c r="U261" s="22" t="s">
        <v>491</v>
      </c>
      <c r="V261" s="24"/>
      <c r="W261" s="21"/>
      <c r="Y261" s="490"/>
    </row>
    <row r="262" spans="1:25" ht="30">
      <c r="A262" s="100">
        <v>259</v>
      </c>
      <c r="B262" s="22" t="s">
        <v>39</v>
      </c>
      <c r="C262" s="22" t="s">
        <v>462</v>
      </c>
      <c r="D262" s="22" t="s">
        <v>489</v>
      </c>
      <c r="E262" s="23" t="s">
        <v>296</v>
      </c>
      <c r="F262" s="101" t="s">
        <v>311</v>
      </c>
      <c r="G262" s="101" t="s">
        <v>298</v>
      </c>
      <c r="H262" s="101" t="s">
        <v>30</v>
      </c>
      <c r="I262" s="101" t="s">
        <v>490</v>
      </c>
      <c r="J262" s="101" t="s">
        <v>311</v>
      </c>
      <c r="K262" s="519" t="s">
        <v>1262</v>
      </c>
      <c r="L262" s="521" t="s">
        <v>1338</v>
      </c>
      <c r="M262" s="521" t="s">
        <v>1339</v>
      </c>
      <c r="N262" s="521" t="s">
        <v>885</v>
      </c>
      <c r="O262" s="101" t="s">
        <v>465</v>
      </c>
      <c r="P262" s="426">
        <v>2018</v>
      </c>
      <c r="Q262" s="533">
        <f t="shared" ca="1" si="14"/>
        <v>-7.4559846621453352E-5</v>
      </c>
      <c r="R262" s="335">
        <f t="shared" ca="1" si="12"/>
        <v>0</v>
      </c>
      <c r="S262" s="335">
        <f t="shared" ca="1" si="13"/>
        <v>0</v>
      </c>
      <c r="T262" s="522" t="s">
        <v>304</v>
      </c>
      <c r="U262" s="101" t="s">
        <v>491</v>
      </c>
      <c r="V262" s="24"/>
      <c r="W262" s="21"/>
      <c r="Y262" s="490"/>
    </row>
    <row r="263" spans="1:25" ht="45">
      <c r="A263" s="31">
        <v>260</v>
      </c>
      <c r="B263" s="22" t="s">
        <v>39</v>
      </c>
      <c r="C263" s="22" t="s">
        <v>492</v>
      </c>
      <c r="D263" s="22" t="s">
        <v>493</v>
      </c>
      <c r="E263" s="23" t="s">
        <v>51</v>
      </c>
      <c r="F263" s="22" t="s">
        <v>52</v>
      </c>
      <c r="G263" s="22" t="s">
        <v>53</v>
      </c>
      <c r="H263" s="22" t="s">
        <v>30</v>
      </c>
      <c r="I263" s="22" t="s">
        <v>494</v>
      </c>
      <c r="J263" s="22" t="s">
        <v>52</v>
      </c>
      <c r="K263" s="519" t="s">
        <v>1340</v>
      </c>
      <c r="L263" s="521" t="s">
        <v>1341</v>
      </c>
      <c r="M263" s="521" t="s">
        <v>1342</v>
      </c>
      <c r="N263" s="521" t="s">
        <v>815</v>
      </c>
      <c r="O263" s="22" t="s">
        <v>495</v>
      </c>
      <c r="P263" s="426">
        <v>2018</v>
      </c>
      <c r="Q263" s="414">
        <f t="shared" ca="1" si="14"/>
        <v>7.3199999999999807</v>
      </c>
      <c r="R263" s="335" t="str">
        <f t="shared" ca="1" si="12"/>
        <v>N/A</v>
      </c>
      <c r="S263" s="335" t="str">
        <f t="shared" ca="1" si="13"/>
        <v>N/A</v>
      </c>
      <c r="T263" s="429" t="s">
        <v>899</v>
      </c>
      <c r="U263" s="22"/>
      <c r="V263" s="24"/>
      <c r="W263" s="21"/>
      <c r="Y263" s="490"/>
    </row>
    <row r="264" spans="1:25" ht="45">
      <c r="A264" s="31">
        <v>261</v>
      </c>
      <c r="B264" s="22" t="s">
        <v>39</v>
      </c>
      <c r="C264" s="22" t="s">
        <v>492</v>
      </c>
      <c r="D264" s="22" t="s">
        <v>493</v>
      </c>
      <c r="E264" s="23" t="s">
        <v>51</v>
      </c>
      <c r="F264" s="22" t="s">
        <v>55</v>
      </c>
      <c r="G264" s="22" t="s">
        <v>53</v>
      </c>
      <c r="H264" s="22" t="s">
        <v>30</v>
      </c>
      <c r="I264" s="22" t="s">
        <v>494</v>
      </c>
      <c r="J264" s="22" t="s">
        <v>55</v>
      </c>
      <c r="K264" s="519" t="s">
        <v>1340</v>
      </c>
      <c r="L264" s="521" t="s">
        <v>1343</v>
      </c>
      <c r="M264" s="521" t="s">
        <v>1344</v>
      </c>
      <c r="N264" s="521" t="s">
        <v>815</v>
      </c>
      <c r="O264" s="22" t="s">
        <v>495</v>
      </c>
      <c r="P264" s="426">
        <v>2018</v>
      </c>
      <c r="Q264" s="414">
        <f t="shared" ca="1" si="14"/>
        <v>5.489999912738786</v>
      </c>
      <c r="R264" s="335" t="str">
        <f t="shared" ca="1" si="12"/>
        <v>N/A</v>
      </c>
      <c r="S264" s="335" t="str">
        <f t="shared" ca="1" si="13"/>
        <v>N/A</v>
      </c>
      <c r="T264" s="429" t="s">
        <v>899</v>
      </c>
      <c r="U264" s="22"/>
      <c r="V264" s="24"/>
      <c r="W264" s="21"/>
      <c r="Y264" s="490"/>
    </row>
    <row r="265" spans="1:25" ht="45">
      <c r="A265" s="31">
        <v>262</v>
      </c>
      <c r="B265" s="22" t="s">
        <v>39</v>
      </c>
      <c r="C265" s="22" t="s">
        <v>492</v>
      </c>
      <c r="D265" s="22" t="s">
        <v>493</v>
      </c>
      <c r="E265" s="23" t="s">
        <v>51</v>
      </c>
      <c r="F265" s="22" t="s">
        <v>56</v>
      </c>
      <c r="G265" s="22" t="s">
        <v>53</v>
      </c>
      <c r="H265" s="22" t="s">
        <v>30</v>
      </c>
      <c r="I265" s="22" t="s">
        <v>494</v>
      </c>
      <c r="J265" s="22" t="s">
        <v>56</v>
      </c>
      <c r="K265" s="519" t="s">
        <v>1340</v>
      </c>
      <c r="L265" s="521" t="s">
        <v>1345</v>
      </c>
      <c r="M265" s="521" t="s">
        <v>1346</v>
      </c>
      <c r="N265" s="521" t="s">
        <v>815</v>
      </c>
      <c r="O265" s="22" t="s">
        <v>495</v>
      </c>
      <c r="P265" s="426">
        <v>2018</v>
      </c>
      <c r="Q265" s="414">
        <f t="shared" ca="1" si="14"/>
        <v>13598.999999999964</v>
      </c>
      <c r="R265" s="335" t="str">
        <f t="shared" ca="1" si="12"/>
        <v>N/A</v>
      </c>
      <c r="S265" s="335" t="str">
        <f t="shared" ca="1" si="13"/>
        <v>N/A</v>
      </c>
      <c r="T265" s="429" t="s">
        <v>899</v>
      </c>
      <c r="U265" s="22"/>
      <c r="V265" s="24"/>
      <c r="W265" s="21"/>
      <c r="Y265" s="490"/>
    </row>
    <row r="266" spans="1:25" ht="45">
      <c r="A266" s="31">
        <v>263</v>
      </c>
      <c r="B266" s="22" t="s">
        <v>39</v>
      </c>
      <c r="C266" s="22" t="s">
        <v>492</v>
      </c>
      <c r="D266" s="22" t="s">
        <v>493</v>
      </c>
      <c r="E266" s="23" t="s">
        <v>51</v>
      </c>
      <c r="F266" s="22" t="s">
        <v>57</v>
      </c>
      <c r="G266" s="22" t="s">
        <v>53</v>
      </c>
      <c r="H266" s="22" t="s">
        <v>30</v>
      </c>
      <c r="I266" s="22" t="s">
        <v>494</v>
      </c>
      <c r="J266" s="22" t="s">
        <v>57</v>
      </c>
      <c r="K266" s="519" t="s">
        <v>1340</v>
      </c>
      <c r="L266" s="521" t="s">
        <v>1347</v>
      </c>
      <c r="M266" s="521" t="s">
        <v>1348</v>
      </c>
      <c r="N266" s="521" t="s">
        <v>815</v>
      </c>
      <c r="O266" s="22" t="s">
        <v>495</v>
      </c>
      <c r="P266" s="426">
        <v>2018</v>
      </c>
      <c r="Q266" s="414">
        <f t="shared" ca="1" si="14"/>
        <v>10199.249837887273</v>
      </c>
      <c r="R266" s="335" t="str">
        <f t="shared" ca="1" si="12"/>
        <v>N/A</v>
      </c>
      <c r="S266" s="335" t="str">
        <f t="shared" ca="1" si="13"/>
        <v>N/A</v>
      </c>
      <c r="T266" s="429" t="s">
        <v>899</v>
      </c>
      <c r="U266" s="22"/>
      <c r="V266" s="24"/>
      <c r="W266" s="21"/>
      <c r="Y266" s="490"/>
    </row>
    <row r="267" spans="1:25" ht="45">
      <c r="A267" s="31">
        <v>264</v>
      </c>
      <c r="B267" s="22" t="s">
        <v>39</v>
      </c>
      <c r="C267" s="22" t="s">
        <v>492</v>
      </c>
      <c r="D267" s="22" t="s">
        <v>493</v>
      </c>
      <c r="E267" s="23" t="s">
        <v>51</v>
      </c>
      <c r="F267" s="22" t="s">
        <v>58</v>
      </c>
      <c r="G267" s="22" t="s">
        <v>53</v>
      </c>
      <c r="H267" s="22" t="s">
        <v>30</v>
      </c>
      <c r="I267" s="22" t="s">
        <v>494</v>
      </c>
      <c r="J267" s="22" t="s">
        <v>58</v>
      </c>
      <c r="K267" s="519" t="s">
        <v>1340</v>
      </c>
      <c r="L267" s="521" t="s">
        <v>1349</v>
      </c>
      <c r="M267" s="521" t="s">
        <v>1350</v>
      </c>
      <c r="N267" s="521" t="s">
        <v>815</v>
      </c>
      <c r="O267" s="22" t="s">
        <v>495</v>
      </c>
      <c r="P267" s="426">
        <v>2018</v>
      </c>
      <c r="Q267" s="414">
        <f t="shared" ca="1" si="14"/>
        <v>0</v>
      </c>
      <c r="R267" s="335" t="str">
        <f t="shared" ca="1" si="12"/>
        <v>N/A</v>
      </c>
      <c r="S267" s="335" t="str">
        <f t="shared" ca="1" si="13"/>
        <v>N/A</v>
      </c>
      <c r="T267" s="429" t="s">
        <v>899</v>
      </c>
      <c r="U267" s="22" t="s">
        <v>49</v>
      </c>
      <c r="V267" s="24"/>
      <c r="W267" s="21"/>
      <c r="Y267" s="490"/>
    </row>
    <row r="268" spans="1:25" ht="45">
      <c r="A268" s="31">
        <v>265</v>
      </c>
      <c r="B268" s="22" t="s">
        <v>39</v>
      </c>
      <c r="C268" s="22" t="s">
        <v>492</v>
      </c>
      <c r="D268" s="22" t="s">
        <v>493</v>
      </c>
      <c r="E268" s="23" t="s">
        <v>51</v>
      </c>
      <c r="F268" s="22" t="s">
        <v>60</v>
      </c>
      <c r="G268" s="22" t="s">
        <v>53</v>
      </c>
      <c r="H268" s="22" t="s">
        <v>30</v>
      </c>
      <c r="I268" s="22" t="s">
        <v>494</v>
      </c>
      <c r="J268" s="22" t="s">
        <v>60</v>
      </c>
      <c r="K268" s="519" t="s">
        <v>1340</v>
      </c>
      <c r="L268" s="521" t="s">
        <v>1351</v>
      </c>
      <c r="M268" s="521" t="s">
        <v>1352</v>
      </c>
      <c r="N268" s="521" t="s">
        <v>815</v>
      </c>
      <c r="O268" s="22" t="s">
        <v>495</v>
      </c>
      <c r="P268" s="426">
        <v>2018</v>
      </c>
      <c r="Q268" s="414">
        <f t="shared" ca="1" si="14"/>
        <v>0</v>
      </c>
      <c r="R268" s="335" t="str">
        <f t="shared" ca="1" si="12"/>
        <v>N/A</v>
      </c>
      <c r="S268" s="335" t="str">
        <f t="shared" ca="1" si="13"/>
        <v>N/A</v>
      </c>
      <c r="T268" s="429" t="s">
        <v>899</v>
      </c>
      <c r="U268" s="22" t="s">
        <v>49</v>
      </c>
      <c r="V268" s="24"/>
      <c r="W268" s="21"/>
      <c r="Y268" s="490"/>
    </row>
    <row r="269" spans="1:25" ht="45">
      <c r="A269" s="31">
        <v>266</v>
      </c>
      <c r="B269" s="22" t="s">
        <v>39</v>
      </c>
      <c r="C269" s="22" t="s">
        <v>492</v>
      </c>
      <c r="D269" s="22" t="s">
        <v>493</v>
      </c>
      <c r="E269" s="23" t="s">
        <v>51</v>
      </c>
      <c r="F269" s="22" t="s">
        <v>61</v>
      </c>
      <c r="G269" s="22" t="s">
        <v>53</v>
      </c>
      <c r="H269" s="22" t="s">
        <v>30</v>
      </c>
      <c r="I269" s="22" t="s">
        <v>494</v>
      </c>
      <c r="J269" s="22" t="s">
        <v>61</v>
      </c>
      <c r="K269" s="519" t="s">
        <v>1340</v>
      </c>
      <c r="L269" s="521" t="s">
        <v>1353</v>
      </c>
      <c r="M269" s="521" t="s">
        <v>1354</v>
      </c>
      <c r="N269" s="521" t="s">
        <v>815</v>
      </c>
      <c r="O269" s="22" t="s">
        <v>495</v>
      </c>
      <c r="P269" s="426">
        <v>2018</v>
      </c>
      <c r="Q269" s="414">
        <f t="shared" ca="1" si="14"/>
        <v>73.199999999999804</v>
      </c>
      <c r="R269" s="335" t="str">
        <f t="shared" ca="1" si="12"/>
        <v>N/A</v>
      </c>
      <c r="S269" s="335" t="str">
        <f t="shared" ca="1" si="13"/>
        <v>N/A</v>
      </c>
      <c r="T269" s="429" t="s">
        <v>899</v>
      </c>
      <c r="U269" s="22"/>
      <c r="V269" s="24"/>
      <c r="W269" s="21"/>
      <c r="Y269" s="490"/>
    </row>
    <row r="270" spans="1:25" ht="45">
      <c r="A270" s="31">
        <v>267</v>
      </c>
      <c r="B270" s="22" t="s">
        <v>39</v>
      </c>
      <c r="C270" s="22" t="s">
        <v>492</v>
      </c>
      <c r="D270" s="22" t="s">
        <v>493</v>
      </c>
      <c r="E270" s="23" t="s">
        <v>51</v>
      </c>
      <c r="F270" s="22" t="s">
        <v>62</v>
      </c>
      <c r="G270" s="22" t="s">
        <v>53</v>
      </c>
      <c r="H270" s="22" t="s">
        <v>30</v>
      </c>
      <c r="I270" s="22" t="s">
        <v>494</v>
      </c>
      <c r="J270" s="22" t="s">
        <v>62</v>
      </c>
      <c r="K270" s="519" t="s">
        <v>1340</v>
      </c>
      <c r="L270" s="521" t="s">
        <v>1355</v>
      </c>
      <c r="M270" s="521" t="s">
        <v>1356</v>
      </c>
      <c r="N270" s="521" t="s">
        <v>815</v>
      </c>
      <c r="O270" s="22" t="s">
        <v>495</v>
      </c>
      <c r="P270" s="426">
        <v>2018</v>
      </c>
      <c r="Q270" s="414">
        <f t="shared" ca="1" si="14"/>
        <v>54.899999127387851</v>
      </c>
      <c r="R270" s="335" t="str">
        <f t="shared" ca="1" si="12"/>
        <v>N/A</v>
      </c>
      <c r="S270" s="335" t="str">
        <f t="shared" ca="1" si="13"/>
        <v>N/A</v>
      </c>
      <c r="T270" s="429" t="s">
        <v>899</v>
      </c>
      <c r="U270" s="22"/>
      <c r="V270" s="24"/>
      <c r="W270" s="21"/>
      <c r="Y270" s="490"/>
    </row>
    <row r="271" spans="1:25" ht="45">
      <c r="A271" s="31">
        <v>268</v>
      </c>
      <c r="B271" s="22" t="s">
        <v>39</v>
      </c>
      <c r="C271" s="22" t="s">
        <v>492</v>
      </c>
      <c r="D271" s="22" t="s">
        <v>493</v>
      </c>
      <c r="E271" s="23" t="s">
        <v>51</v>
      </c>
      <c r="F271" s="22" t="s">
        <v>63</v>
      </c>
      <c r="G271" s="22" t="s">
        <v>53</v>
      </c>
      <c r="H271" s="22" t="s">
        <v>30</v>
      </c>
      <c r="I271" s="22" t="s">
        <v>494</v>
      </c>
      <c r="J271" s="22" t="s">
        <v>63</v>
      </c>
      <c r="K271" s="519" t="s">
        <v>1340</v>
      </c>
      <c r="L271" s="521" t="s">
        <v>1357</v>
      </c>
      <c r="M271" s="521" t="s">
        <v>1358</v>
      </c>
      <c r="N271" s="521" t="s">
        <v>815</v>
      </c>
      <c r="O271" s="22" t="s">
        <v>495</v>
      </c>
      <c r="P271" s="426">
        <v>2018</v>
      </c>
      <c r="Q271" s="414">
        <f t="shared" ca="1" si="14"/>
        <v>135989.99999999965</v>
      </c>
      <c r="R271" s="335" t="str">
        <f t="shared" ca="1" si="12"/>
        <v>N/A</v>
      </c>
      <c r="S271" s="335" t="str">
        <f t="shared" ca="1" si="13"/>
        <v>N/A</v>
      </c>
      <c r="T271" s="429" t="s">
        <v>899</v>
      </c>
      <c r="U271" s="22"/>
      <c r="V271" s="24"/>
      <c r="W271" s="21"/>
      <c r="Y271" s="490"/>
    </row>
    <row r="272" spans="1:25" ht="45">
      <c r="A272" s="31">
        <v>269</v>
      </c>
      <c r="B272" s="22" t="s">
        <v>39</v>
      </c>
      <c r="C272" s="22" t="s">
        <v>492</v>
      </c>
      <c r="D272" s="22" t="s">
        <v>493</v>
      </c>
      <c r="E272" s="23" t="s">
        <v>51</v>
      </c>
      <c r="F272" s="22" t="s">
        <v>64</v>
      </c>
      <c r="G272" s="22" t="s">
        <v>53</v>
      </c>
      <c r="H272" s="22" t="s">
        <v>30</v>
      </c>
      <c r="I272" s="22" t="s">
        <v>494</v>
      </c>
      <c r="J272" s="22" t="s">
        <v>64</v>
      </c>
      <c r="K272" s="519" t="s">
        <v>1340</v>
      </c>
      <c r="L272" s="521" t="s">
        <v>1359</v>
      </c>
      <c r="M272" s="521" t="s">
        <v>1360</v>
      </c>
      <c r="N272" s="521" t="s">
        <v>815</v>
      </c>
      <c r="O272" s="22" t="s">
        <v>495</v>
      </c>
      <c r="P272" s="426">
        <v>2018</v>
      </c>
      <c r="Q272" s="414">
        <f t="shared" ca="1" si="14"/>
        <v>101992.49837887273</v>
      </c>
      <c r="R272" s="335" t="str">
        <f t="shared" ca="1" si="12"/>
        <v>N/A</v>
      </c>
      <c r="S272" s="335" t="str">
        <f t="shared" ca="1" si="13"/>
        <v>N/A</v>
      </c>
      <c r="T272" s="429" t="s">
        <v>899</v>
      </c>
      <c r="U272" s="22"/>
      <c r="V272" s="24"/>
      <c r="W272" s="21"/>
      <c r="Y272" s="490"/>
    </row>
    <row r="273" spans="1:25" ht="45">
      <c r="A273" s="31">
        <v>270</v>
      </c>
      <c r="B273" s="22" t="s">
        <v>39</v>
      </c>
      <c r="C273" s="22" t="s">
        <v>492</v>
      </c>
      <c r="D273" s="22" t="s">
        <v>493</v>
      </c>
      <c r="E273" s="23" t="s">
        <v>51</v>
      </c>
      <c r="F273" s="22" t="s">
        <v>65</v>
      </c>
      <c r="G273" s="22" t="s">
        <v>53</v>
      </c>
      <c r="H273" s="22" t="s">
        <v>30</v>
      </c>
      <c r="I273" s="22" t="s">
        <v>494</v>
      </c>
      <c r="J273" s="22" t="s">
        <v>65</v>
      </c>
      <c r="K273" s="519" t="s">
        <v>1340</v>
      </c>
      <c r="L273" s="521" t="s">
        <v>1361</v>
      </c>
      <c r="M273" s="521" t="s">
        <v>1362</v>
      </c>
      <c r="N273" s="521" t="s">
        <v>815</v>
      </c>
      <c r="O273" s="22" t="s">
        <v>495</v>
      </c>
      <c r="P273" s="426">
        <v>2018</v>
      </c>
      <c r="Q273" s="414">
        <f t="shared" ca="1" si="14"/>
        <v>0</v>
      </c>
      <c r="R273" s="335" t="str">
        <f t="shared" ca="1" si="12"/>
        <v>N/A</v>
      </c>
      <c r="S273" s="335" t="str">
        <f t="shared" ca="1" si="13"/>
        <v>N/A</v>
      </c>
      <c r="T273" s="429" t="s">
        <v>899</v>
      </c>
      <c r="U273" s="22" t="s">
        <v>49</v>
      </c>
      <c r="V273" s="24"/>
      <c r="W273" s="21"/>
      <c r="Y273" s="490"/>
    </row>
    <row r="274" spans="1:25" ht="45">
      <c r="A274" s="31">
        <v>271</v>
      </c>
      <c r="B274" s="22" t="s">
        <v>39</v>
      </c>
      <c r="C274" s="22" t="s">
        <v>492</v>
      </c>
      <c r="D274" s="22" t="s">
        <v>493</v>
      </c>
      <c r="E274" s="23" t="s">
        <v>51</v>
      </c>
      <c r="F274" s="22" t="s">
        <v>66</v>
      </c>
      <c r="G274" s="22" t="s">
        <v>53</v>
      </c>
      <c r="H274" s="22" t="s">
        <v>30</v>
      </c>
      <c r="I274" s="22" t="s">
        <v>494</v>
      </c>
      <c r="J274" s="22" t="s">
        <v>66</v>
      </c>
      <c r="K274" s="519" t="s">
        <v>1340</v>
      </c>
      <c r="L274" s="521" t="s">
        <v>1363</v>
      </c>
      <c r="M274" s="521" t="s">
        <v>1364</v>
      </c>
      <c r="N274" s="521" t="s">
        <v>815</v>
      </c>
      <c r="O274" s="22" t="s">
        <v>495</v>
      </c>
      <c r="P274" s="426">
        <v>2018</v>
      </c>
      <c r="Q274" s="414">
        <f t="shared" ca="1" si="14"/>
        <v>0</v>
      </c>
      <c r="R274" s="335" t="str">
        <f t="shared" ca="1" si="12"/>
        <v>N/A</v>
      </c>
      <c r="S274" s="335" t="str">
        <f t="shared" ca="1" si="13"/>
        <v>N/A</v>
      </c>
      <c r="T274" s="429" t="s">
        <v>899</v>
      </c>
      <c r="U274" s="22" t="s">
        <v>49</v>
      </c>
      <c r="V274" s="24"/>
      <c r="W274" s="21"/>
      <c r="Y274" s="490"/>
    </row>
    <row r="275" spans="1:25" ht="30">
      <c r="A275" s="31">
        <v>272</v>
      </c>
      <c r="B275" s="22" t="s">
        <v>39</v>
      </c>
      <c r="C275" s="22" t="s">
        <v>492</v>
      </c>
      <c r="D275" s="22" t="s">
        <v>496</v>
      </c>
      <c r="E275" s="23" t="s">
        <v>42</v>
      </c>
      <c r="F275" s="22" t="s">
        <v>43</v>
      </c>
      <c r="G275" s="22" t="s">
        <v>44</v>
      </c>
      <c r="H275" s="22" t="s">
        <v>30</v>
      </c>
      <c r="I275" s="22" t="s">
        <v>497</v>
      </c>
      <c r="J275" s="22" t="s">
        <v>46</v>
      </c>
      <c r="K275" s="519" t="s">
        <v>1340</v>
      </c>
      <c r="L275" s="521" t="s">
        <v>1365</v>
      </c>
      <c r="M275" s="521" t="s">
        <v>1366</v>
      </c>
      <c r="N275" s="521" t="s">
        <v>815</v>
      </c>
      <c r="O275" s="22" t="s">
        <v>495</v>
      </c>
      <c r="P275" s="426">
        <v>2018</v>
      </c>
      <c r="Q275" s="414">
        <f t="shared" ca="1" si="14"/>
        <v>7.2108696353863015</v>
      </c>
      <c r="R275" s="335" t="str">
        <f t="shared" ca="1" si="12"/>
        <v>N/A</v>
      </c>
      <c r="S275" s="335" t="str">
        <f t="shared" ca="1" si="13"/>
        <v>N/A</v>
      </c>
      <c r="T275" s="429" t="s">
        <v>48</v>
      </c>
      <c r="U275" s="22"/>
      <c r="V275" s="24"/>
      <c r="W275" s="21"/>
      <c r="Y275" s="490"/>
    </row>
    <row r="276" spans="1:25" ht="75">
      <c r="A276" s="31">
        <v>273</v>
      </c>
      <c r="B276" s="22" t="s">
        <v>39</v>
      </c>
      <c r="C276" s="22" t="s">
        <v>492</v>
      </c>
      <c r="D276" s="22" t="s">
        <v>498</v>
      </c>
      <c r="E276" s="23" t="s">
        <v>499</v>
      </c>
      <c r="F276" s="22" t="s">
        <v>142</v>
      </c>
      <c r="G276" s="22" t="s">
        <v>143</v>
      </c>
      <c r="H276" s="22" t="s">
        <v>30</v>
      </c>
      <c r="I276" s="22" t="s">
        <v>500</v>
      </c>
      <c r="J276" s="22" t="s">
        <v>501</v>
      </c>
      <c r="K276" s="519" t="s">
        <v>1340</v>
      </c>
      <c r="L276" s="521" t="s">
        <v>1367</v>
      </c>
      <c r="M276" s="521" t="s">
        <v>1368</v>
      </c>
      <c r="N276" s="521" t="s">
        <v>885</v>
      </c>
      <c r="O276" s="22" t="s">
        <v>495</v>
      </c>
      <c r="P276" s="426">
        <v>2018</v>
      </c>
      <c r="Q276" s="533">
        <f t="shared" ca="1" si="14"/>
        <v>3.4482758620689655E-2</v>
      </c>
      <c r="R276" s="335">
        <f t="shared" ca="1" si="12"/>
        <v>0</v>
      </c>
      <c r="S276" s="335">
        <f t="shared" ca="1" si="13"/>
        <v>0</v>
      </c>
      <c r="T276" s="429" t="s">
        <v>502</v>
      </c>
      <c r="U276" s="22" t="s">
        <v>246</v>
      </c>
      <c r="V276" s="24"/>
      <c r="W276" s="21"/>
      <c r="Y276" s="490"/>
    </row>
    <row r="277" spans="1:25" ht="75">
      <c r="A277" s="31">
        <v>274</v>
      </c>
      <c r="B277" s="22" t="s">
        <v>39</v>
      </c>
      <c r="C277" s="22" t="s">
        <v>492</v>
      </c>
      <c r="D277" s="22" t="s">
        <v>498</v>
      </c>
      <c r="E277" s="23" t="s">
        <v>499</v>
      </c>
      <c r="F277" s="22" t="s">
        <v>142</v>
      </c>
      <c r="G277" s="22" t="s">
        <v>143</v>
      </c>
      <c r="H277" s="22" t="s">
        <v>30</v>
      </c>
      <c r="I277" s="22" t="s">
        <v>503</v>
      </c>
      <c r="J277" s="22" t="s">
        <v>504</v>
      </c>
      <c r="K277" s="519" t="s">
        <v>1340</v>
      </c>
      <c r="L277" s="521" t="s">
        <v>1369</v>
      </c>
      <c r="M277" s="521" t="s">
        <v>1370</v>
      </c>
      <c r="N277" s="521" t="s">
        <v>885</v>
      </c>
      <c r="O277" s="22" t="s">
        <v>495</v>
      </c>
      <c r="P277" s="426">
        <v>2018</v>
      </c>
      <c r="Q277" s="533">
        <f t="shared" ca="1" si="14"/>
        <v>6.024096385542169E-3</v>
      </c>
      <c r="R277" s="335">
        <f t="shared" ca="1" si="12"/>
        <v>0</v>
      </c>
      <c r="S277" s="335">
        <f t="shared" ca="1" si="13"/>
        <v>0</v>
      </c>
      <c r="T277" s="429" t="s">
        <v>502</v>
      </c>
      <c r="U277" s="22" t="s">
        <v>246</v>
      </c>
      <c r="V277" s="24"/>
      <c r="W277" s="21"/>
      <c r="Y277" s="490"/>
    </row>
    <row r="278" spans="1:25" ht="75">
      <c r="A278" s="31">
        <v>275</v>
      </c>
      <c r="B278" s="22" t="s">
        <v>39</v>
      </c>
      <c r="C278" s="22" t="s">
        <v>492</v>
      </c>
      <c r="D278" s="22" t="s">
        <v>498</v>
      </c>
      <c r="E278" s="23" t="s">
        <v>499</v>
      </c>
      <c r="F278" s="22" t="s">
        <v>142</v>
      </c>
      <c r="G278" s="22" t="s">
        <v>143</v>
      </c>
      <c r="H278" s="22" t="s">
        <v>30</v>
      </c>
      <c r="I278" s="22" t="s">
        <v>505</v>
      </c>
      <c r="J278" s="22" t="s">
        <v>506</v>
      </c>
      <c r="K278" s="519" t="s">
        <v>1340</v>
      </c>
      <c r="L278" s="521" t="s">
        <v>1371</v>
      </c>
      <c r="M278" s="521" t="s">
        <v>1372</v>
      </c>
      <c r="N278" s="521" t="s">
        <v>885</v>
      </c>
      <c r="O278" s="22" t="s">
        <v>495</v>
      </c>
      <c r="P278" s="426">
        <v>2018</v>
      </c>
      <c r="Q278" s="533">
        <f t="shared" ca="1" si="14"/>
        <v>0</v>
      </c>
      <c r="R278" s="335">
        <f t="shared" ca="1" si="12"/>
        <v>0</v>
      </c>
      <c r="S278" s="335">
        <f t="shared" ca="1" si="13"/>
        <v>0</v>
      </c>
      <c r="T278" s="429" t="s">
        <v>502</v>
      </c>
      <c r="U278" s="22" t="s">
        <v>246</v>
      </c>
      <c r="V278" s="24"/>
      <c r="W278" s="21"/>
      <c r="Y278" s="490"/>
    </row>
    <row r="279" spans="1:25" ht="30">
      <c r="A279" s="31">
        <v>276</v>
      </c>
      <c r="B279" s="22" t="s">
        <v>39</v>
      </c>
      <c r="C279" s="22" t="s">
        <v>492</v>
      </c>
      <c r="D279" s="22" t="s">
        <v>507</v>
      </c>
      <c r="E279" s="23" t="s">
        <v>91</v>
      </c>
      <c r="F279" s="22" t="s">
        <v>92</v>
      </c>
      <c r="G279" s="22" t="s">
        <v>93</v>
      </c>
      <c r="H279" s="22" t="s">
        <v>30</v>
      </c>
      <c r="I279" s="22" t="s">
        <v>508</v>
      </c>
      <c r="J279" s="22" t="s">
        <v>92</v>
      </c>
      <c r="K279" s="519" t="s">
        <v>1340</v>
      </c>
      <c r="L279" s="521" t="s">
        <v>1373</v>
      </c>
      <c r="M279" s="521" t="s">
        <v>1374</v>
      </c>
      <c r="N279" s="521" t="s">
        <v>885</v>
      </c>
      <c r="O279" s="22" t="s">
        <v>495</v>
      </c>
      <c r="P279" s="426">
        <v>2018</v>
      </c>
      <c r="Q279" s="414">
        <f t="shared" ca="1" si="14"/>
        <v>3080.0977961489493</v>
      </c>
      <c r="R279" s="335">
        <f t="shared" ca="1" si="12"/>
        <v>0</v>
      </c>
      <c r="S279" s="335">
        <f t="shared" ca="1" si="13"/>
        <v>0</v>
      </c>
      <c r="T279" s="429"/>
      <c r="U279" s="22"/>
      <c r="V279" s="24"/>
      <c r="W279" s="21"/>
      <c r="Y279" s="490"/>
    </row>
    <row r="280" spans="1:25" ht="30">
      <c r="A280" s="31">
        <v>277</v>
      </c>
      <c r="B280" s="22" t="s">
        <v>39</v>
      </c>
      <c r="C280" s="22" t="s">
        <v>492</v>
      </c>
      <c r="D280" s="22" t="s">
        <v>507</v>
      </c>
      <c r="E280" s="23" t="s">
        <v>91</v>
      </c>
      <c r="F280" s="22" t="s">
        <v>95</v>
      </c>
      <c r="G280" s="22" t="s">
        <v>93</v>
      </c>
      <c r="H280" s="22" t="s">
        <v>30</v>
      </c>
      <c r="I280" s="22" t="s">
        <v>508</v>
      </c>
      <c r="J280" s="22" t="s">
        <v>95</v>
      </c>
      <c r="K280" s="519" t="s">
        <v>1340</v>
      </c>
      <c r="L280" s="521" t="s">
        <v>1375</v>
      </c>
      <c r="M280" s="521" t="s">
        <v>1376</v>
      </c>
      <c r="N280" s="521" t="s">
        <v>885</v>
      </c>
      <c r="O280" s="22" t="s">
        <v>495</v>
      </c>
      <c r="P280" s="426">
        <v>2018</v>
      </c>
      <c r="Q280" s="414">
        <f t="shared" ca="1" si="14"/>
        <v>1.6579392505191763</v>
      </c>
      <c r="R280" s="335">
        <f t="shared" ca="1" si="12"/>
        <v>0</v>
      </c>
      <c r="S280" s="335">
        <f t="shared" ca="1" si="13"/>
        <v>0</v>
      </c>
      <c r="T280" s="429"/>
      <c r="U280" s="22"/>
      <c r="V280" s="24"/>
      <c r="W280" s="21"/>
      <c r="Y280" s="490"/>
    </row>
    <row r="281" spans="1:25" ht="30">
      <c r="A281" s="31">
        <v>278</v>
      </c>
      <c r="B281" s="22" t="s">
        <v>39</v>
      </c>
      <c r="C281" s="22" t="s">
        <v>492</v>
      </c>
      <c r="D281" s="22" t="s">
        <v>507</v>
      </c>
      <c r="E281" s="23" t="s">
        <v>91</v>
      </c>
      <c r="F281" s="22" t="s">
        <v>96</v>
      </c>
      <c r="G281" s="22" t="s">
        <v>93</v>
      </c>
      <c r="H281" s="22" t="s">
        <v>30</v>
      </c>
      <c r="I281" s="22" t="s">
        <v>508</v>
      </c>
      <c r="J281" s="22" t="s">
        <v>96</v>
      </c>
      <c r="K281" s="519" t="s">
        <v>1340</v>
      </c>
      <c r="L281" s="521" t="s">
        <v>1377</v>
      </c>
      <c r="M281" s="521" t="s">
        <v>1378</v>
      </c>
      <c r="N281" s="521" t="s">
        <v>885</v>
      </c>
      <c r="O281" s="22" t="s">
        <v>495</v>
      </c>
      <c r="P281" s="426">
        <v>2018</v>
      </c>
      <c r="Q281" s="414">
        <f t="shared" ca="1" si="14"/>
        <v>0</v>
      </c>
      <c r="R281" s="335">
        <f t="shared" ca="1" si="12"/>
        <v>0</v>
      </c>
      <c r="S281" s="335">
        <f t="shared" ca="1" si="13"/>
        <v>0</v>
      </c>
      <c r="T281" s="429" t="s">
        <v>48</v>
      </c>
      <c r="U281" s="22" t="s">
        <v>49</v>
      </c>
      <c r="V281" s="24"/>
      <c r="W281" s="21"/>
      <c r="Y281" s="490"/>
    </row>
    <row r="282" spans="1:25" ht="30">
      <c r="A282" s="31">
        <v>279</v>
      </c>
      <c r="B282" s="22" t="s">
        <v>39</v>
      </c>
      <c r="C282" s="22" t="s">
        <v>492</v>
      </c>
      <c r="D282" s="22" t="s">
        <v>507</v>
      </c>
      <c r="E282" s="23" t="s">
        <v>91</v>
      </c>
      <c r="F282" s="22" t="s">
        <v>97</v>
      </c>
      <c r="G282" s="22" t="s">
        <v>93</v>
      </c>
      <c r="H282" s="22" t="s">
        <v>30</v>
      </c>
      <c r="I282" s="22" t="s">
        <v>508</v>
      </c>
      <c r="J282" s="22" t="s">
        <v>97</v>
      </c>
      <c r="K282" s="519" t="s">
        <v>1340</v>
      </c>
      <c r="L282" s="521" t="s">
        <v>1379</v>
      </c>
      <c r="M282" s="521" t="s">
        <v>1380</v>
      </c>
      <c r="N282" s="521" t="s">
        <v>885</v>
      </c>
      <c r="O282" s="22" t="s">
        <v>495</v>
      </c>
      <c r="P282" s="426">
        <v>2018</v>
      </c>
      <c r="Q282" s="414">
        <f t="shared" ca="1" si="14"/>
        <v>3245.1410695622044</v>
      </c>
      <c r="R282" s="335">
        <f t="shared" ca="1" si="12"/>
        <v>0</v>
      </c>
      <c r="S282" s="335">
        <f t="shared" ca="1" si="13"/>
        <v>0</v>
      </c>
      <c r="T282" s="429"/>
      <c r="U282" s="22"/>
      <c r="V282" s="24"/>
      <c r="W282" s="21"/>
      <c r="Y282" s="490"/>
    </row>
    <row r="283" spans="1:25" ht="30">
      <c r="A283" s="31">
        <v>280</v>
      </c>
      <c r="B283" s="22" t="s">
        <v>39</v>
      </c>
      <c r="C283" s="22" t="s">
        <v>492</v>
      </c>
      <c r="D283" s="22" t="s">
        <v>507</v>
      </c>
      <c r="E283" s="23" t="s">
        <v>91</v>
      </c>
      <c r="F283" s="22" t="s">
        <v>98</v>
      </c>
      <c r="G283" s="22" t="s">
        <v>93</v>
      </c>
      <c r="H283" s="22" t="s">
        <v>30</v>
      </c>
      <c r="I283" s="22" t="s">
        <v>508</v>
      </c>
      <c r="J283" s="22" t="s">
        <v>98</v>
      </c>
      <c r="K283" s="519" t="s">
        <v>1340</v>
      </c>
      <c r="L283" s="521" t="s">
        <v>1381</v>
      </c>
      <c r="M283" s="521" t="s">
        <v>1382</v>
      </c>
      <c r="N283" s="521" t="s">
        <v>885</v>
      </c>
      <c r="O283" s="22" t="s">
        <v>495</v>
      </c>
      <c r="P283" s="426">
        <v>2018</v>
      </c>
      <c r="Q283" s="414">
        <f t="shared" ca="1" si="14"/>
        <v>1.7467778975803594</v>
      </c>
      <c r="R283" s="335">
        <f t="shared" ca="1" si="12"/>
        <v>0</v>
      </c>
      <c r="S283" s="335">
        <f t="shared" ca="1" si="13"/>
        <v>0</v>
      </c>
      <c r="T283" s="429"/>
      <c r="U283" s="22"/>
      <c r="V283" s="24"/>
      <c r="W283" s="21"/>
      <c r="Y283" s="490"/>
    </row>
    <row r="284" spans="1:25" ht="30">
      <c r="A284" s="31">
        <v>281</v>
      </c>
      <c r="B284" s="22" t="s">
        <v>39</v>
      </c>
      <c r="C284" s="22" t="s">
        <v>492</v>
      </c>
      <c r="D284" s="22" t="s">
        <v>507</v>
      </c>
      <c r="E284" s="23" t="s">
        <v>91</v>
      </c>
      <c r="F284" s="22" t="s">
        <v>99</v>
      </c>
      <c r="G284" s="22" t="s">
        <v>93</v>
      </c>
      <c r="H284" s="22" t="s">
        <v>30</v>
      </c>
      <c r="I284" s="22" t="s">
        <v>508</v>
      </c>
      <c r="J284" s="22" t="s">
        <v>99</v>
      </c>
      <c r="K284" s="519" t="s">
        <v>1340</v>
      </c>
      <c r="L284" s="521" t="s">
        <v>1383</v>
      </c>
      <c r="M284" s="521" t="s">
        <v>1384</v>
      </c>
      <c r="N284" s="521" t="s">
        <v>885</v>
      </c>
      <c r="O284" s="22" t="s">
        <v>495</v>
      </c>
      <c r="P284" s="426">
        <v>2018</v>
      </c>
      <c r="Q284" s="414">
        <f t="shared" ca="1" si="14"/>
        <v>0</v>
      </c>
      <c r="R284" s="335">
        <f t="shared" ca="1" si="12"/>
        <v>0</v>
      </c>
      <c r="S284" s="335">
        <f t="shared" ca="1" si="13"/>
        <v>0</v>
      </c>
      <c r="T284" s="429" t="s">
        <v>48</v>
      </c>
      <c r="U284" s="22" t="s">
        <v>49</v>
      </c>
      <c r="V284" s="24"/>
      <c r="W284" s="21"/>
      <c r="Y284" s="490"/>
    </row>
    <row r="285" spans="1:25" s="13" customFormat="1" ht="60">
      <c r="A285" s="31">
        <v>282</v>
      </c>
      <c r="B285" s="22" t="s">
        <v>39</v>
      </c>
      <c r="C285" s="22" t="s">
        <v>509</v>
      </c>
      <c r="D285" s="22" t="s">
        <v>510</v>
      </c>
      <c r="E285" s="23" t="s">
        <v>51</v>
      </c>
      <c r="F285" s="22" t="s">
        <v>511</v>
      </c>
      <c r="G285" s="22" t="s">
        <v>53</v>
      </c>
      <c r="H285" s="22" t="s">
        <v>30</v>
      </c>
      <c r="I285" s="22" t="s">
        <v>512</v>
      </c>
      <c r="J285" s="22" t="s">
        <v>513</v>
      </c>
      <c r="K285" s="519" t="s">
        <v>1385</v>
      </c>
      <c r="L285" s="521" t="s">
        <v>1386</v>
      </c>
      <c r="M285" s="521" t="s">
        <v>1387</v>
      </c>
      <c r="N285" s="521" t="s">
        <v>815</v>
      </c>
      <c r="O285" s="22" t="s">
        <v>514</v>
      </c>
      <c r="P285" s="426">
        <v>2018</v>
      </c>
      <c r="Q285" s="414">
        <f t="shared" ca="1" si="14"/>
        <v>0</v>
      </c>
      <c r="R285" s="335" t="str">
        <f t="shared" ca="1" si="12"/>
        <v>N/A</v>
      </c>
      <c r="S285" s="335" t="str">
        <f t="shared" ca="1" si="13"/>
        <v>N/A</v>
      </c>
      <c r="T285" s="429" t="s">
        <v>515</v>
      </c>
      <c r="U285" s="22" t="s">
        <v>516</v>
      </c>
      <c r="V285" s="24"/>
      <c r="W285" s="21"/>
      <c r="X285" s="427"/>
      <c r="Y285" s="490"/>
    </row>
    <row r="286" spans="1:25" s="13" customFormat="1" ht="60">
      <c r="A286" s="31">
        <v>283</v>
      </c>
      <c r="B286" s="22" t="s">
        <v>39</v>
      </c>
      <c r="C286" s="22" t="s">
        <v>509</v>
      </c>
      <c r="D286" s="22" t="s">
        <v>510</v>
      </c>
      <c r="E286" s="23" t="s">
        <v>51</v>
      </c>
      <c r="F286" s="22" t="s">
        <v>517</v>
      </c>
      <c r="G286" s="22" t="s">
        <v>53</v>
      </c>
      <c r="H286" s="22" t="s">
        <v>30</v>
      </c>
      <c r="I286" s="22" t="s">
        <v>512</v>
      </c>
      <c r="J286" s="22" t="s">
        <v>518</v>
      </c>
      <c r="K286" s="519" t="s">
        <v>1385</v>
      </c>
      <c r="L286" s="521" t="s">
        <v>1388</v>
      </c>
      <c r="M286" s="521" t="s">
        <v>1389</v>
      </c>
      <c r="N286" s="521" t="s">
        <v>815</v>
      </c>
      <c r="O286" s="22" t="s">
        <v>514</v>
      </c>
      <c r="P286" s="426">
        <v>2018</v>
      </c>
      <c r="Q286" s="414">
        <f t="shared" ca="1" si="14"/>
        <v>0</v>
      </c>
      <c r="R286" s="335" t="str">
        <f t="shared" ca="1" si="12"/>
        <v>N/A</v>
      </c>
      <c r="S286" s="335" t="str">
        <f t="shared" ca="1" si="13"/>
        <v>N/A</v>
      </c>
      <c r="T286" s="429" t="s">
        <v>515</v>
      </c>
      <c r="U286" s="22" t="s">
        <v>519</v>
      </c>
      <c r="V286" s="24"/>
      <c r="W286" s="21"/>
      <c r="X286" s="427"/>
      <c r="Y286" s="490"/>
    </row>
    <row r="287" spans="1:25" s="13" customFormat="1" ht="60">
      <c r="A287" s="31">
        <v>284</v>
      </c>
      <c r="B287" s="22" t="s">
        <v>39</v>
      </c>
      <c r="C287" s="22" t="s">
        <v>509</v>
      </c>
      <c r="D287" s="22" t="s">
        <v>510</v>
      </c>
      <c r="E287" s="23" t="s">
        <v>51</v>
      </c>
      <c r="F287" s="22" t="s">
        <v>520</v>
      </c>
      <c r="G287" s="22" t="s">
        <v>53</v>
      </c>
      <c r="H287" s="22" t="s">
        <v>30</v>
      </c>
      <c r="I287" s="22" t="s">
        <v>512</v>
      </c>
      <c r="J287" s="22" t="s">
        <v>521</v>
      </c>
      <c r="K287" s="519" t="s">
        <v>1385</v>
      </c>
      <c r="L287" s="521" t="s">
        <v>1390</v>
      </c>
      <c r="M287" s="521" t="s">
        <v>1391</v>
      </c>
      <c r="N287" s="521" t="s">
        <v>815</v>
      </c>
      <c r="O287" s="22" t="s">
        <v>514</v>
      </c>
      <c r="P287" s="426">
        <v>2018</v>
      </c>
      <c r="Q287" s="414">
        <f t="shared" ca="1" si="14"/>
        <v>0</v>
      </c>
      <c r="R287" s="335" t="str">
        <f t="shared" ca="1" si="12"/>
        <v>N/A</v>
      </c>
      <c r="S287" s="335" t="str">
        <f t="shared" ca="1" si="13"/>
        <v>N/A</v>
      </c>
      <c r="T287" s="429" t="s">
        <v>515</v>
      </c>
      <c r="U287" s="22" t="s">
        <v>516</v>
      </c>
      <c r="V287" s="24"/>
      <c r="W287" s="21"/>
      <c r="X287" s="427"/>
      <c r="Y287" s="490"/>
    </row>
    <row r="288" spans="1:25" s="13" customFormat="1" ht="45">
      <c r="A288" s="31">
        <v>285</v>
      </c>
      <c r="B288" s="22" t="s">
        <v>39</v>
      </c>
      <c r="C288" s="22" t="s">
        <v>509</v>
      </c>
      <c r="D288" s="22" t="s">
        <v>522</v>
      </c>
      <c r="E288" s="23">
        <v>1</v>
      </c>
      <c r="F288" s="22" t="s">
        <v>523</v>
      </c>
      <c r="G288" s="22" t="s">
        <v>524</v>
      </c>
      <c r="H288" s="22" t="s">
        <v>30</v>
      </c>
      <c r="I288" s="22" t="s">
        <v>525</v>
      </c>
      <c r="J288" s="22" t="s">
        <v>525</v>
      </c>
      <c r="K288" s="519" t="s">
        <v>1385</v>
      </c>
      <c r="L288" s="521" t="s">
        <v>1392</v>
      </c>
      <c r="M288" s="521" t="s">
        <v>1393</v>
      </c>
      <c r="N288" s="521" t="s">
        <v>815</v>
      </c>
      <c r="O288" s="22" t="s">
        <v>514</v>
      </c>
      <c r="P288" s="426">
        <v>2018</v>
      </c>
      <c r="Q288" s="414">
        <f t="shared" ca="1" si="14"/>
        <v>0</v>
      </c>
      <c r="R288" s="335" t="str">
        <f t="shared" ca="1" si="12"/>
        <v>N/A</v>
      </c>
      <c r="S288" s="335" t="str">
        <f t="shared" ca="1" si="13"/>
        <v>N/A</v>
      </c>
      <c r="T288" s="429" t="s">
        <v>526</v>
      </c>
      <c r="U288" s="22" t="s">
        <v>527</v>
      </c>
      <c r="V288" s="24"/>
      <c r="W288" s="21"/>
      <c r="X288" s="427"/>
      <c r="Y288" s="490"/>
    </row>
    <row r="289" spans="1:25" s="13" customFormat="1" ht="45">
      <c r="A289" s="31">
        <v>286</v>
      </c>
      <c r="B289" s="22" t="s">
        <v>39</v>
      </c>
      <c r="C289" s="22" t="s">
        <v>509</v>
      </c>
      <c r="D289" s="22" t="s">
        <v>522</v>
      </c>
      <c r="E289" s="23">
        <v>2</v>
      </c>
      <c r="F289" s="22" t="s">
        <v>523</v>
      </c>
      <c r="G289" s="22" t="s">
        <v>524</v>
      </c>
      <c r="H289" s="22" t="s">
        <v>30</v>
      </c>
      <c r="I289" s="22" t="s">
        <v>528</v>
      </c>
      <c r="J289" s="22" t="s">
        <v>528</v>
      </c>
      <c r="K289" s="519" t="s">
        <v>1385</v>
      </c>
      <c r="L289" s="521" t="s">
        <v>1394</v>
      </c>
      <c r="M289" s="521" t="s">
        <v>1395</v>
      </c>
      <c r="N289" s="521" t="s">
        <v>815</v>
      </c>
      <c r="O289" s="22" t="s">
        <v>514</v>
      </c>
      <c r="P289" s="426">
        <v>2018</v>
      </c>
      <c r="Q289" s="414">
        <f t="shared" ca="1" si="14"/>
        <v>0</v>
      </c>
      <c r="R289" s="335" t="str">
        <f t="shared" ca="1" si="12"/>
        <v>N/A</v>
      </c>
      <c r="S289" s="335" t="str">
        <f t="shared" ca="1" si="13"/>
        <v>N/A</v>
      </c>
      <c r="T289" s="429" t="s">
        <v>529</v>
      </c>
      <c r="U289" s="22" t="s">
        <v>527</v>
      </c>
      <c r="V289" s="24"/>
      <c r="W289" s="21"/>
      <c r="X289" s="427"/>
      <c r="Y289" s="490"/>
    </row>
    <row r="290" spans="1:25" s="13" customFormat="1" ht="45">
      <c r="A290" s="31">
        <v>287</v>
      </c>
      <c r="B290" s="22" t="s">
        <v>39</v>
      </c>
      <c r="C290" s="22" t="s">
        <v>509</v>
      </c>
      <c r="D290" s="22" t="s">
        <v>530</v>
      </c>
      <c r="E290" s="23">
        <v>1</v>
      </c>
      <c r="F290" s="22" t="s">
        <v>523</v>
      </c>
      <c r="G290" s="22" t="s">
        <v>531</v>
      </c>
      <c r="H290" s="22" t="s">
        <v>30</v>
      </c>
      <c r="I290" s="22" t="s">
        <v>532</v>
      </c>
      <c r="J290" s="22" t="s">
        <v>532</v>
      </c>
      <c r="K290" s="519" t="s">
        <v>1385</v>
      </c>
      <c r="L290" s="521" t="s">
        <v>1396</v>
      </c>
      <c r="M290" s="521" t="s">
        <v>1397</v>
      </c>
      <c r="N290" s="521" t="s">
        <v>815</v>
      </c>
      <c r="O290" s="22" t="s">
        <v>514</v>
      </c>
      <c r="P290" s="426">
        <v>2018</v>
      </c>
      <c r="Q290" s="414">
        <f t="shared" ca="1" si="14"/>
        <v>0</v>
      </c>
      <c r="R290" s="335" t="str">
        <f t="shared" ca="1" si="12"/>
        <v>N/A</v>
      </c>
      <c r="S290" s="335" t="str">
        <f t="shared" ca="1" si="13"/>
        <v>N/A</v>
      </c>
      <c r="T290" s="429" t="s">
        <v>533</v>
      </c>
      <c r="U290" s="22" t="s">
        <v>534</v>
      </c>
      <c r="V290" s="24"/>
      <c r="W290" s="21"/>
      <c r="X290" s="427"/>
      <c r="Y290" s="490"/>
    </row>
    <row r="291" spans="1:25" ht="30">
      <c r="A291" s="31">
        <v>288</v>
      </c>
      <c r="B291" s="22" t="s">
        <v>39</v>
      </c>
      <c r="C291" s="22" t="s">
        <v>509</v>
      </c>
      <c r="D291" s="22" t="s">
        <v>530</v>
      </c>
      <c r="E291" s="23">
        <v>2</v>
      </c>
      <c r="F291" s="22" t="s">
        <v>523</v>
      </c>
      <c r="G291" s="22" t="s">
        <v>531</v>
      </c>
      <c r="H291" s="22" t="s">
        <v>30</v>
      </c>
      <c r="I291" s="22" t="s">
        <v>535</v>
      </c>
      <c r="J291" s="22" t="s">
        <v>535</v>
      </c>
      <c r="K291" s="519" t="s">
        <v>1385</v>
      </c>
      <c r="L291" s="521" t="s">
        <v>1398</v>
      </c>
      <c r="M291" s="521" t="s">
        <v>1399</v>
      </c>
      <c r="N291" s="521" t="s">
        <v>815</v>
      </c>
      <c r="O291" s="22" t="s">
        <v>514</v>
      </c>
      <c r="P291" s="426">
        <v>2018</v>
      </c>
      <c r="Q291" s="414">
        <f t="shared" ca="1" si="14"/>
        <v>0</v>
      </c>
      <c r="R291" s="335" t="str">
        <f t="shared" ca="1" si="12"/>
        <v>N/A</v>
      </c>
      <c r="S291" s="335" t="str">
        <f t="shared" ca="1" si="13"/>
        <v>N/A</v>
      </c>
      <c r="T291" s="429" t="s">
        <v>529</v>
      </c>
      <c r="U291" s="22" t="s">
        <v>536</v>
      </c>
      <c r="V291" s="24"/>
      <c r="W291" s="21"/>
      <c r="Y291" s="490"/>
    </row>
    <row r="292" spans="1:25" ht="45">
      <c r="A292" s="31">
        <v>289</v>
      </c>
      <c r="B292" s="22" t="s">
        <v>39</v>
      </c>
      <c r="C292" s="22" t="s">
        <v>509</v>
      </c>
      <c r="D292" s="22" t="s">
        <v>537</v>
      </c>
      <c r="E292" s="23">
        <v>1</v>
      </c>
      <c r="F292" s="22" t="s">
        <v>523</v>
      </c>
      <c r="G292" s="22" t="s">
        <v>538</v>
      </c>
      <c r="H292" s="22" t="s">
        <v>30</v>
      </c>
      <c r="I292" s="22" t="s">
        <v>539</v>
      </c>
      <c r="J292" s="22" t="s">
        <v>539</v>
      </c>
      <c r="K292" s="519" t="s">
        <v>1385</v>
      </c>
      <c r="L292" s="521" t="s">
        <v>1400</v>
      </c>
      <c r="M292" s="521" t="s">
        <v>1401</v>
      </c>
      <c r="N292" s="521" t="s">
        <v>815</v>
      </c>
      <c r="O292" s="22" t="s">
        <v>514</v>
      </c>
      <c r="P292" s="426">
        <v>2018</v>
      </c>
      <c r="Q292" s="414">
        <f t="shared" ca="1" si="14"/>
        <v>0</v>
      </c>
      <c r="R292" s="335" t="str">
        <f t="shared" ca="1" si="12"/>
        <v>N/A</v>
      </c>
      <c r="S292" s="335" t="str">
        <f t="shared" ca="1" si="13"/>
        <v>N/A</v>
      </c>
      <c r="T292" s="429" t="s">
        <v>540</v>
      </c>
      <c r="U292" s="22" t="s">
        <v>541</v>
      </c>
      <c r="V292" s="24"/>
      <c r="W292" s="21"/>
      <c r="Y292" s="490"/>
    </row>
    <row r="293" spans="1:25" ht="45">
      <c r="A293" s="31">
        <v>290</v>
      </c>
      <c r="B293" s="22" t="s">
        <v>39</v>
      </c>
      <c r="C293" s="22" t="s">
        <v>509</v>
      </c>
      <c r="D293" s="22" t="s">
        <v>537</v>
      </c>
      <c r="E293" s="23">
        <v>2</v>
      </c>
      <c r="F293" s="22" t="s">
        <v>523</v>
      </c>
      <c r="G293" s="22" t="s">
        <v>538</v>
      </c>
      <c r="H293" s="22" t="s">
        <v>30</v>
      </c>
      <c r="I293" s="22" t="s">
        <v>542</v>
      </c>
      <c r="J293" s="22" t="s">
        <v>542</v>
      </c>
      <c r="K293" s="519" t="s">
        <v>1385</v>
      </c>
      <c r="L293" s="521" t="s">
        <v>1402</v>
      </c>
      <c r="M293" s="521" t="s">
        <v>1403</v>
      </c>
      <c r="N293" s="521" t="s">
        <v>815</v>
      </c>
      <c r="O293" s="22" t="s">
        <v>514</v>
      </c>
      <c r="P293" s="426">
        <v>2018</v>
      </c>
      <c r="Q293" s="414">
        <f t="shared" ca="1" si="14"/>
        <v>0</v>
      </c>
      <c r="R293" s="335" t="str">
        <f t="shared" ca="1" si="12"/>
        <v>N/A</v>
      </c>
      <c r="S293" s="335" t="str">
        <f t="shared" ca="1" si="13"/>
        <v>N/A</v>
      </c>
      <c r="T293" s="429" t="s">
        <v>543</v>
      </c>
      <c r="U293" s="22" t="s">
        <v>544</v>
      </c>
      <c r="V293" s="24"/>
      <c r="W293" s="21"/>
      <c r="Y293" s="490"/>
    </row>
    <row r="294" spans="1:25" ht="75">
      <c r="A294" s="31">
        <v>291</v>
      </c>
      <c r="B294" s="22" t="s">
        <v>39</v>
      </c>
      <c r="C294" s="22" t="s">
        <v>509</v>
      </c>
      <c r="D294" s="22" t="s">
        <v>545</v>
      </c>
      <c r="E294" s="23">
        <v>1</v>
      </c>
      <c r="F294" s="22" t="s">
        <v>523</v>
      </c>
      <c r="G294" s="22" t="s">
        <v>546</v>
      </c>
      <c r="H294" s="22" t="s">
        <v>30</v>
      </c>
      <c r="I294" s="22" t="s">
        <v>547</v>
      </c>
      <c r="J294" s="22" t="s">
        <v>547</v>
      </c>
      <c r="K294" s="519" t="s">
        <v>1385</v>
      </c>
      <c r="L294" s="521" t="s">
        <v>1404</v>
      </c>
      <c r="M294" s="521" t="s">
        <v>1405</v>
      </c>
      <c r="N294" s="521" t="s">
        <v>815</v>
      </c>
      <c r="O294" s="22" t="s">
        <v>514</v>
      </c>
      <c r="P294" s="426">
        <v>2018</v>
      </c>
      <c r="Q294" s="414">
        <f t="shared" ca="1" si="14"/>
        <v>0</v>
      </c>
      <c r="R294" s="335" t="str">
        <f t="shared" ca="1" si="12"/>
        <v>N/A</v>
      </c>
      <c r="S294" s="335" t="str">
        <f t="shared" ca="1" si="13"/>
        <v>N/A</v>
      </c>
      <c r="T294" s="429" t="s">
        <v>548</v>
      </c>
      <c r="U294" s="22" t="s">
        <v>549</v>
      </c>
      <c r="V294" s="24"/>
      <c r="W294" s="21"/>
      <c r="Y294" s="490"/>
    </row>
    <row r="295" spans="1:25" ht="105">
      <c r="A295" s="31">
        <v>292</v>
      </c>
      <c r="B295" s="22" t="s">
        <v>39</v>
      </c>
      <c r="C295" s="22" t="s">
        <v>550</v>
      </c>
      <c r="D295" s="22" t="s">
        <v>551</v>
      </c>
      <c r="E295" s="23">
        <v>1</v>
      </c>
      <c r="F295" s="22" t="s">
        <v>523</v>
      </c>
      <c r="G295" s="22" t="s">
        <v>552</v>
      </c>
      <c r="H295" s="22" t="s">
        <v>30</v>
      </c>
      <c r="I295" s="22" t="s">
        <v>553</v>
      </c>
      <c r="J295" s="22" t="s">
        <v>553</v>
      </c>
      <c r="K295" s="519" t="s">
        <v>1385</v>
      </c>
      <c r="L295" s="521" t="s">
        <v>1406</v>
      </c>
      <c r="M295" s="521" t="s">
        <v>1407</v>
      </c>
      <c r="N295" s="521" t="s">
        <v>815</v>
      </c>
      <c r="O295" s="22" t="s">
        <v>514</v>
      </c>
      <c r="P295" s="426">
        <v>2018</v>
      </c>
      <c r="Q295" s="414">
        <f t="shared" ca="1" si="14"/>
        <v>0</v>
      </c>
      <c r="R295" s="335" t="str">
        <f t="shared" ca="1" si="12"/>
        <v>N/A</v>
      </c>
      <c r="S295" s="335" t="str">
        <f t="shared" ca="1" si="13"/>
        <v>N/A</v>
      </c>
      <c r="T295" s="429" t="s">
        <v>554</v>
      </c>
      <c r="U295" s="22" t="s">
        <v>555</v>
      </c>
      <c r="V295" s="24"/>
      <c r="W295" s="21"/>
      <c r="Y295" s="490"/>
    </row>
    <row r="296" spans="1:25" ht="105">
      <c r="A296" s="31">
        <v>293</v>
      </c>
      <c r="B296" s="22" t="s">
        <v>39</v>
      </c>
      <c r="C296" s="22" t="s">
        <v>550</v>
      </c>
      <c r="D296" s="22" t="s">
        <v>551</v>
      </c>
      <c r="E296" s="23">
        <v>2</v>
      </c>
      <c r="F296" s="22" t="s">
        <v>523</v>
      </c>
      <c r="G296" s="22" t="s">
        <v>552</v>
      </c>
      <c r="H296" s="22" t="s">
        <v>30</v>
      </c>
      <c r="I296" s="22" t="s">
        <v>556</v>
      </c>
      <c r="J296" s="22" t="s">
        <v>556</v>
      </c>
      <c r="K296" s="519" t="s">
        <v>1385</v>
      </c>
      <c r="L296" s="521" t="s">
        <v>1408</v>
      </c>
      <c r="M296" s="521" t="s">
        <v>1409</v>
      </c>
      <c r="N296" s="521" t="s">
        <v>815</v>
      </c>
      <c r="O296" s="22" t="s">
        <v>514</v>
      </c>
      <c r="P296" s="426">
        <v>2018</v>
      </c>
      <c r="Q296" s="414">
        <f t="shared" ca="1" si="14"/>
        <v>0</v>
      </c>
      <c r="R296" s="335" t="str">
        <f t="shared" ca="1" si="12"/>
        <v>N/A</v>
      </c>
      <c r="S296" s="335" t="str">
        <f t="shared" ca="1" si="13"/>
        <v>N/A</v>
      </c>
      <c r="T296" s="429" t="s">
        <v>557</v>
      </c>
      <c r="U296" s="22" t="s">
        <v>558</v>
      </c>
      <c r="V296" s="24"/>
      <c r="W296" s="21"/>
      <c r="Y296" s="490"/>
    </row>
    <row r="297" spans="1:25" ht="75">
      <c r="A297" s="31">
        <v>294</v>
      </c>
      <c r="B297" s="22" t="s">
        <v>39</v>
      </c>
      <c r="C297" s="22" t="s">
        <v>550</v>
      </c>
      <c r="D297" s="22" t="s">
        <v>551</v>
      </c>
      <c r="E297" s="23">
        <v>3</v>
      </c>
      <c r="F297" s="22" t="s">
        <v>559</v>
      </c>
      <c r="G297" s="22" t="s">
        <v>552</v>
      </c>
      <c r="H297" s="22" t="s">
        <v>30</v>
      </c>
      <c r="I297" s="22" t="s">
        <v>560</v>
      </c>
      <c r="J297" s="22" t="s">
        <v>560</v>
      </c>
      <c r="K297" s="519" t="s">
        <v>1385</v>
      </c>
      <c r="L297" s="521" t="s">
        <v>1410</v>
      </c>
      <c r="M297" s="521" t="s">
        <v>1411</v>
      </c>
      <c r="N297" s="521" t="s">
        <v>815</v>
      </c>
      <c r="O297" s="22" t="s">
        <v>514</v>
      </c>
      <c r="P297" s="426">
        <v>2018</v>
      </c>
      <c r="Q297" s="414">
        <f t="shared" ca="1" si="14"/>
        <v>0</v>
      </c>
      <c r="R297" s="335" t="str">
        <f t="shared" ca="1" si="12"/>
        <v>N/A</v>
      </c>
      <c r="S297" s="335" t="str">
        <f t="shared" ca="1" si="13"/>
        <v>N/A</v>
      </c>
      <c r="T297" s="429" t="s">
        <v>561</v>
      </c>
      <c r="U297" s="22" t="s">
        <v>562</v>
      </c>
      <c r="V297" s="24"/>
      <c r="W297" s="21"/>
      <c r="Y297" s="490"/>
    </row>
    <row r="298" spans="1:25" ht="60">
      <c r="A298" s="31">
        <v>295</v>
      </c>
      <c r="B298" s="22" t="s">
        <v>563</v>
      </c>
      <c r="C298" s="22" t="s">
        <v>550</v>
      </c>
      <c r="D298" s="22" t="s">
        <v>564</v>
      </c>
      <c r="E298" s="23">
        <v>1</v>
      </c>
      <c r="F298" s="22" t="s">
        <v>142</v>
      </c>
      <c r="G298" s="22" t="s">
        <v>552</v>
      </c>
      <c r="H298" s="22" t="s">
        <v>30</v>
      </c>
      <c r="I298" s="22" t="s">
        <v>565</v>
      </c>
      <c r="J298" s="22" t="s">
        <v>565</v>
      </c>
      <c r="K298" s="519" t="s">
        <v>1385</v>
      </c>
      <c r="L298" s="521" t="s">
        <v>1412</v>
      </c>
      <c r="M298" s="521" t="s">
        <v>1413</v>
      </c>
      <c r="N298" s="521" t="s">
        <v>815</v>
      </c>
      <c r="O298" s="22" t="s">
        <v>514</v>
      </c>
      <c r="P298" s="426">
        <v>2018</v>
      </c>
      <c r="Q298" s="533">
        <f t="shared" ca="1" si="14"/>
        <v>0</v>
      </c>
      <c r="R298" s="335" t="str">
        <f t="shared" ca="1" si="12"/>
        <v>N/A</v>
      </c>
      <c r="S298" s="335" t="str">
        <f t="shared" ca="1" si="13"/>
        <v>N/A</v>
      </c>
      <c r="T298" s="429" t="s">
        <v>566</v>
      </c>
      <c r="U298" s="22" t="s">
        <v>566</v>
      </c>
      <c r="V298" s="24"/>
      <c r="W298" s="21"/>
      <c r="Y298" s="490"/>
    </row>
    <row r="299" spans="1:25" ht="45">
      <c r="A299" s="31">
        <v>296</v>
      </c>
      <c r="B299" s="22" t="s">
        <v>563</v>
      </c>
      <c r="C299" s="22" t="s">
        <v>550</v>
      </c>
      <c r="D299" s="22" t="s">
        <v>567</v>
      </c>
      <c r="E299" s="23">
        <v>1</v>
      </c>
      <c r="F299" s="22" t="s">
        <v>523</v>
      </c>
      <c r="G299" s="22" t="s">
        <v>552</v>
      </c>
      <c r="H299" s="22" t="s">
        <v>164</v>
      </c>
      <c r="I299" s="22" t="s">
        <v>568</v>
      </c>
      <c r="J299" s="22" t="s">
        <v>568</v>
      </c>
      <c r="K299" s="519" t="s">
        <v>1385</v>
      </c>
      <c r="L299" s="521" t="s">
        <v>1415</v>
      </c>
      <c r="M299" s="521" t="s">
        <v>1416</v>
      </c>
      <c r="N299" s="521" t="s">
        <v>815</v>
      </c>
      <c r="O299" s="22" t="s">
        <v>514</v>
      </c>
      <c r="P299" s="426">
        <v>2018</v>
      </c>
      <c r="Q299" s="414">
        <f t="shared" ca="1" si="14"/>
        <v>0</v>
      </c>
      <c r="R299" s="335" t="str">
        <f t="shared" ca="1" si="12"/>
        <v>N/A</v>
      </c>
      <c r="S299" s="335" t="str">
        <f t="shared" ca="1" si="13"/>
        <v>N/A</v>
      </c>
      <c r="T299" s="429" t="s">
        <v>569</v>
      </c>
      <c r="U299" s="22" t="s">
        <v>569</v>
      </c>
      <c r="V299" s="24"/>
      <c r="W299" s="21"/>
      <c r="Y299" s="490"/>
    </row>
    <row r="300" spans="1:25" ht="45">
      <c r="A300" s="31">
        <v>297</v>
      </c>
      <c r="B300" s="22" t="s">
        <v>563</v>
      </c>
      <c r="C300" s="22" t="s">
        <v>550</v>
      </c>
      <c r="D300" s="22" t="s">
        <v>567</v>
      </c>
      <c r="E300" s="23">
        <v>1</v>
      </c>
      <c r="F300" s="22" t="s">
        <v>142</v>
      </c>
      <c r="G300" s="22" t="s">
        <v>552</v>
      </c>
      <c r="H300" s="22" t="s">
        <v>164</v>
      </c>
      <c r="I300" s="22" t="s">
        <v>568</v>
      </c>
      <c r="J300" s="22" t="s">
        <v>568</v>
      </c>
      <c r="K300" s="519" t="s">
        <v>1385</v>
      </c>
      <c r="L300" s="521" t="s">
        <v>1417</v>
      </c>
      <c r="M300" s="521" t="s">
        <v>1418</v>
      </c>
      <c r="N300" s="521" t="s">
        <v>815</v>
      </c>
      <c r="O300" s="22" t="s">
        <v>514</v>
      </c>
      <c r="P300" s="426">
        <v>2018</v>
      </c>
      <c r="Q300" s="533">
        <f t="shared" ca="1" si="14"/>
        <v>0</v>
      </c>
      <c r="R300" s="335" t="str">
        <f t="shared" ca="1" si="12"/>
        <v>N/A</v>
      </c>
      <c r="S300" s="335" t="str">
        <f t="shared" ca="1" si="13"/>
        <v>N/A</v>
      </c>
      <c r="T300" s="429" t="s">
        <v>569</v>
      </c>
      <c r="U300" s="22" t="s">
        <v>569</v>
      </c>
      <c r="V300" s="24"/>
      <c r="W300" s="21"/>
      <c r="Y300" s="490"/>
    </row>
    <row r="301" spans="1:25" ht="45">
      <c r="A301" s="31">
        <v>298</v>
      </c>
      <c r="B301" s="22" t="s">
        <v>563</v>
      </c>
      <c r="C301" s="22" t="s">
        <v>550</v>
      </c>
      <c r="D301" s="22" t="s">
        <v>567</v>
      </c>
      <c r="E301" s="23">
        <v>2</v>
      </c>
      <c r="F301" s="22" t="s">
        <v>523</v>
      </c>
      <c r="G301" s="22" t="s">
        <v>552</v>
      </c>
      <c r="H301" s="22" t="s">
        <v>164</v>
      </c>
      <c r="I301" s="22" t="s">
        <v>570</v>
      </c>
      <c r="J301" s="22" t="s">
        <v>570</v>
      </c>
      <c r="K301" s="519" t="s">
        <v>1385</v>
      </c>
      <c r="L301" s="521" t="s">
        <v>1419</v>
      </c>
      <c r="M301" s="521" t="s">
        <v>1420</v>
      </c>
      <c r="N301" s="521" t="s">
        <v>815</v>
      </c>
      <c r="O301" s="22" t="s">
        <v>514</v>
      </c>
      <c r="P301" s="426">
        <v>2018</v>
      </c>
      <c r="Q301" s="414">
        <f t="shared" ca="1" si="14"/>
        <v>0</v>
      </c>
      <c r="R301" s="335" t="str">
        <f t="shared" ca="1" si="12"/>
        <v>N/A</v>
      </c>
      <c r="S301" s="335" t="str">
        <f t="shared" ca="1" si="13"/>
        <v>N/A</v>
      </c>
      <c r="T301" s="429" t="s">
        <v>569</v>
      </c>
      <c r="U301" s="22" t="s">
        <v>569</v>
      </c>
      <c r="V301" s="24"/>
      <c r="W301" s="21"/>
      <c r="Y301" s="490"/>
    </row>
    <row r="302" spans="1:25" ht="45">
      <c r="A302" s="31">
        <v>299</v>
      </c>
      <c r="B302" s="22" t="s">
        <v>563</v>
      </c>
      <c r="C302" s="22" t="s">
        <v>550</v>
      </c>
      <c r="D302" s="22" t="s">
        <v>567</v>
      </c>
      <c r="E302" s="23">
        <v>2</v>
      </c>
      <c r="F302" s="22" t="s">
        <v>142</v>
      </c>
      <c r="G302" s="22" t="s">
        <v>552</v>
      </c>
      <c r="H302" s="22" t="s">
        <v>164</v>
      </c>
      <c r="I302" s="22" t="s">
        <v>570</v>
      </c>
      <c r="J302" s="22" t="s">
        <v>570</v>
      </c>
      <c r="K302" s="519" t="s">
        <v>1385</v>
      </c>
      <c r="L302" s="521" t="s">
        <v>1421</v>
      </c>
      <c r="M302" s="521" t="s">
        <v>1422</v>
      </c>
      <c r="N302" s="521" t="s">
        <v>815</v>
      </c>
      <c r="O302" s="22" t="s">
        <v>514</v>
      </c>
      <c r="P302" s="426">
        <v>2018</v>
      </c>
      <c r="Q302" s="533">
        <f t="shared" ca="1" si="14"/>
        <v>0</v>
      </c>
      <c r="R302" s="335" t="str">
        <f t="shared" ca="1" si="12"/>
        <v>N/A</v>
      </c>
      <c r="S302" s="335" t="str">
        <f t="shared" ca="1" si="13"/>
        <v>N/A</v>
      </c>
      <c r="T302" s="429" t="s">
        <v>569</v>
      </c>
      <c r="U302" s="22" t="s">
        <v>569</v>
      </c>
      <c r="V302" s="24"/>
      <c r="W302" s="21"/>
      <c r="Y302" s="490"/>
    </row>
    <row r="303" spans="1:25" ht="45">
      <c r="A303" s="31">
        <v>300</v>
      </c>
      <c r="B303" s="22" t="s">
        <v>563</v>
      </c>
      <c r="C303" s="22" t="s">
        <v>550</v>
      </c>
      <c r="D303" s="22" t="s">
        <v>567</v>
      </c>
      <c r="E303" s="23">
        <v>3</v>
      </c>
      <c r="F303" s="22" t="s">
        <v>523</v>
      </c>
      <c r="G303" s="22" t="s">
        <v>552</v>
      </c>
      <c r="H303" s="22" t="s">
        <v>164</v>
      </c>
      <c r="I303" s="22" t="s">
        <v>571</v>
      </c>
      <c r="J303" s="22" t="s">
        <v>571</v>
      </c>
      <c r="K303" s="519" t="s">
        <v>1385</v>
      </c>
      <c r="L303" s="521" t="s">
        <v>1423</v>
      </c>
      <c r="M303" s="521" t="s">
        <v>1424</v>
      </c>
      <c r="N303" s="521" t="s">
        <v>815</v>
      </c>
      <c r="O303" s="22" t="s">
        <v>514</v>
      </c>
      <c r="P303" s="426">
        <v>2018</v>
      </c>
      <c r="Q303" s="414">
        <f t="shared" ca="1" si="14"/>
        <v>0</v>
      </c>
      <c r="R303" s="335" t="str">
        <f t="shared" ca="1" si="12"/>
        <v>N/A</v>
      </c>
      <c r="S303" s="335" t="str">
        <f t="shared" ca="1" si="13"/>
        <v>N/A</v>
      </c>
      <c r="T303" s="429" t="s">
        <v>569</v>
      </c>
      <c r="U303" s="22" t="s">
        <v>569</v>
      </c>
      <c r="V303" s="24"/>
      <c r="W303" s="21"/>
      <c r="Y303" s="490"/>
    </row>
    <row r="304" spans="1:25" ht="60">
      <c r="A304" s="31">
        <v>301</v>
      </c>
      <c r="B304" s="22" t="s">
        <v>39</v>
      </c>
      <c r="C304" s="22" t="s">
        <v>572</v>
      </c>
      <c r="D304" s="22" t="s">
        <v>573</v>
      </c>
      <c r="E304" s="23">
        <v>1</v>
      </c>
      <c r="F304" s="22" t="s">
        <v>523</v>
      </c>
      <c r="G304" s="22" t="s">
        <v>574</v>
      </c>
      <c r="H304" s="22" t="s">
        <v>30</v>
      </c>
      <c r="I304" s="22" t="s">
        <v>575</v>
      </c>
      <c r="J304" s="22" t="s">
        <v>575</v>
      </c>
      <c r="K304" s="519" t="s">
        <v>1487</v>
      </c>
      <c r="L304" s="521" t="s">
        <v>1426</v>
      </c>
      <c r="M304" s="521" t="s">
        <v>1427</v>
      </c>
      <c r="N304" s="521" t="s">
        <v>815</v>
      </c>
      <c r="O304" s="22" t="s">
        <v>576</v>
      </c>
      <c r="P304" s="426">
        <v>2018</v>
      </c>
      <c r="Q304" s="414">
        <f t="shared" ca="1" si="14"/>
        <v>0</v>
      </c>
      <c r="R304" s="335" t="str">
        <f t="shared" ca="1" si="12"/>
        <v>N/A</v>
      </c>
      <c r="S304" s="335" t="str">
        <f t="shared" ca="1" si="13"/>
        <v>N/A</v>
      </c>
      <c r="T304" s="429" t="s">
        <v>577</v>
      </c>
      <c r="U304" s="22" t="s">
        <v>578</v>
      </c>
      <c r="V304" s="24"/>
      <c r="W304" s="21"/>
      <c r="Y304" s="490"/>
    </row>
    <row r="305" spans="1:25" ht="409.5" customHeight="1">
      <c r="A305" s="100">
        <v>302</v>
      </c>
      <c r="B305" s="101" t="s">
        <v>39</v>
      </c>
      <c r="C305" s="101" t="s">
        <v>572</v>
      </c>
      <c r="D305" s="101" t="s">
        <v>579</v>
      </c>
      <c r="E305" s="411">
        <v>1</v>
      </c>
      <c r="F305" s="101" t="s">
        <v>523</v>
      </c>
      <c r="G305" s="101" t="s">
        <v>580</v>
      </c>
      <c r="H305" s="101" t="s">
        <v>30</v>
      </c>
      <c r="I305" s="101" t="s">
        <v>581</v>
      </c>
      <c r="J305" s="101" t="s">
        <v>581</v>
      </c>
      <c r="K305" s="519" t="s">
        <v>1425</v>
      </c>
      <c r="L305" s="521" t="s">
        <v>1428</v>
      </c>
      <c r="M305" s="521" t="s">
        <v>1429</v>
      </c>
      <c r="N305" s="521" t="s">
        <v>815</v>
      </c>
      <c r="O305" s="101" t="s">
        <v>576</v>
      </c>
      <c r="P305" s="426">
        <v>2018</v>
      </c>
      <c r="Q305" s="530" t="s">
        <v>1488</v>
      </c>
      <c r="R305" s="335" t="str">
        <f t="shared" ca="1" si="12"/>
        <v>N/A</v>
      </c>
      <c r="S305" s="335" t="str">
        <f t="shared" ca="1" si="13"/>
        <v>N/A</v>
      </c>
      <c r="T305" s="429" t="s">
        <v>582</v>
      </c>
      <c r="U305" s="101" t="s">
        <v>583</v>
      </c>
      <c r="V305" s="24"/>
      <c r="W305" s="21"/>
      <c r="Y305" s="490"/>
    </row>
    <row r="306" spans="1:25" ht="180">
      <c r="A306" s="31">
        <v>303</v>
      </c>
      <c r="B306" s="22" t="s">
        <v>39</v>
      </c>
      <c r="C306" s="22" t="s">
        <v>572</v>
      </c>
      <c r="D306" s="22" t="s">
        <v>579</v>
      </c>
      <c r="E306" s="23">
        <v>1</v>
      </c>
      <c r="F306" s="22" t="s">
        <v>584</v>
      </c>
      <c r="G306" s="22" t="s">
        <v>580</v>
      </c>
      <c r="H306" s="22" t="s">
        <v>30</v>
      </c>
      <c r="I306" s="22" t="s">
        <v>585</v>
      </c>
      <c r="J306" s="22" t="s">
        <v>585</v>
      </c>
      <c r="K306" s="519" t="s">
        <v>1425</v>
      </c>
      <c r="L306" s="521" t="s">
        <v>1430</v>
      </c>
      <c r="M306" s="521" t="s">
        <v>1431</v>
      </c>
      <c r="N306" s="521" t="s">
        <v>815</v>
      </c>
      <c r="O306" s="22" t="s">
        <v>576</v>
      </c>
      <c r="P306" s="426">
        <v>2018</v>
      </c>
      <c r="Q306" s="534">
        <f>R306/S306</f>
        <v>8.4998687713246604E-2</v>
      </c>
      <c r="R306" s="335">
        <v>2267</v>
      </c>
      <c r="S306" s="335">
        <v>26671</v>
      </c>
      <c r="T306" s="429" t="s">
        <v>586</v>
      </c>
      <c r="U306" s="22" t="s">
        <v>587</v>
      </c>
      <c r="V306" s="24"/>
      <c r="W306" s="21"/>
      <c r="Y306" s="490"/>
    </row>
    <row r="307" spans="1:25" ht="180">
      <c r="A307" s="31">
        <v>304</v>
      </c>
      <c r="B307" s="22" t="s">
        <v>39</v>
      </c>
      <c r="C307" s="22" t="s">
        <v>572</v>
      </c>
      <c r="D307" s="22" t="s">
        <v>588</v>
      </c>
      <c r="E307" s="23">
        <v>1</v>
      </c>
      <c r="F307" s="22" t="s">
        <v>584</v>
      </c>
      <c r="G307" s="22" t="s">
        <v>589</v>
      </c>
      <c r="H307" s="22" t="s">
        <v>30</v>
      </c>
      <c r="I307" s="22" t="s">
        <v>590</v>
      </c>
      <c r="J307" s="22" t="s">
        <v>590</v>
      </c>
      <c r="K307" s="519" t="s">
        <v>1425</v>
      </c>
      <c r="L307" s="521" t="s">
        <v>1432</v>
      </c>
      <c r="M307" s="521" t="s">
        <v>1433</v>
      </c>
      <c r="N307" s="521" t="s">
        <v>815</v>
      </c>
      <c r="O307" s="22" t="s">
        <v>576</v>
      </c>
      <c r="P307" s="426">
        <v>2018</v>
      </c>
      <c r="Q307" s="534">
        <f>R307/S307</f>
        <v>8.4998687713246604E-2</v>
      </c>
      <c r="R307" s="335">
        <v>2267</v>
      </c>
      <c r="S307" s="335">
        <v>26671</v>
      </c>
      <c r="T307" s="429" t="s">
        <v>591</v>
      </c>
      <c r="U307" s="22" t="s">
        <v>592</v>
      </c>
      <c r="V307" s="24"/>
      <c r="W307" s="21"/>
      <c r="Y307" s="490"/>
    </row>
    <row r="308" spans="1:25" ht="60.95" customHeight="1">
      <c r="A308" s="31">
        <v>305</v>
      </c>
      <c r="B308" s="22" t="s">
        <v>39</v>
      </c>
      <c r="C308" s="22" t="s">
        <v>572</v>
      </c>
      <c r="D308" s="22" t="s">
        <v>588</v>
      </c>
      <c r="E308" s="23">
        <v>1</v>
      </c>
      <c r="F308" s="22" t="s">
        <v>584</v>
      </c>
      <c r="G308" s="22" t="s">
        <v>589</v>
      </c>
      <c r="H308" s="22" t="s">
        <v>30</v>
      </c>
      <c r="I308" s="22" t="s">
        <v>593</v>
      </c>
      <c r="J308" s="22" t="s">
        <v>593</v>
      </c>
      <c r="K308" s="519" t="s">
        <v>1425</v>
      </c>
      <c r="L308" s="521" t="s">
        <v>1434</v>
      </c>
      <c r="M308" s="521" t="s">
        <v>1435</v>
      </c>
      <c r="N308" s="521" t="s">
        <v>815</v>
      </c>
      <c r="O308" s="22" t="s">
        <v>576</v>
      </c>
      <c r="P308" s="69" t="s">
        <v>59</v>
      </c>
      <c r="Q308" s="530" t="s">
        <v>59</v>
      </c>
      <c r="R308" s="335" t="str">
        <f t="shared" ref="R308:R316" ca="1" si="15">IF($N308 = "N","N/A",SUMIF(INDIRECT("'"&amp;K308&amp;"'!i:i"),L308,INDIRECT("'"&amp;K308&amp;"'!i:i")))</f>
        <v>N/A</v>
      </c>
      <c r="S308" s="335" t="str">
        <f t="shared" ref="S308:S316" ca="1" si="16">IF($N308 = "N","N/A",SUMIF(INDIRECT("'"&amp;K308&amp;"'!i:i"),M308,INDIRECT("'"&amp;K308&amp;"'!i:i")))</f>
        <v>N/A</v>
      </c>
      <c r="T308" s="429" t="s">
        <v>594</v>
      </c>
      <c r="U308" s="22" t="s">
        <v>595</v>
      </c>
      <c r="V308" s="24"/>
      <c r="W308" s="21"/>
      <c r="Y308" s="490"/>
    </row>
    <row r="309" spans="1:25" ht="60">
      <c r="A309" s="31">
        <v>306</v>
      </c>
      <c r="B309" s="22" t="s">
        <v>39</v>
      </c>
      <c r="C309" s="22" t="s">
        <v>572</v>
      </c>
      <c r="D309" s="22" t="s">
        <v>596</v>
      </c>
      <c r="E309" s="23">
        <v>1</v>
      </c>
      <c r="F309" s="22" t="s">
        <v>523</v>
      </c>
      <c r="G309" s="22" t="s">
        <v>589</v>
      </c>
      <c r="H309" s="22" t="s">
        <v>164</v>
      </c>
      <c r="I309" s="22" t="s">
        <v>597</v>
      </c>
      <c r="J309" s="22" t="s">
        <v>597</v>
      </c>
      <c r="K309" s="519" t="s">
        <v>1425</v>
      </c>
      <c r="L309" s="521" t="s">
        <v>1436</v>
      </c>
      <c r="M309" s="521" t="s">
        <v>1437</v>
      </c>
      <c r="N309" s="521" t="s">
        <v>815</v>
      </c>
      <c r="O309" s="22" t="s">
        <v>576</v>
      </c>
      <c r="P309" s="69" t="s">
        <v>167</v>
      </c>
      <c r="Q309" s="529" t="s">
        <v>167</v>
      </c>
      <c r="R309" s="335" t="str">
        <f t="shared" ca="1" si="15"/>
        <v>N/A</v>
      </c>
      <c r="S309" s="335" t="str">
        <f t="shared" ca="1" si="16"/>
        <v>N/A</v>
      </c>
      <c r="T309" s="429" t="s">
        <v>598</v>
      </c>
      <c r="U309" s="22" t="s">
        <v>59</v>
      </c>
      <c r="V309" s="24"/>
      <c r="W309" s="21"/>
      <c r="Y309" s="490"/>
    </row>
    <row r="310" spans="1:25" ht="60">
      <c r="A310" s="31">
        <v>307</v>
      </c>
      <c r="B310" s="22" t="s">
        <v>39</v>
      </c>
      <c r="C310" s="22" t="s">
        <v>599</v>
      </c>
      <c r="D310" s="22" t="s">
        <v>600</v>
      </c>
      <c r="E310" s="23">
        <v>1</v>
      </c>
      <c r="F310" s="22" t="s">
        <v>523</v>
      </c>
      <c r="G310" s="22" t="s">
        <v>601</v>
      </c>
      <c r="H310" s="22" t="s">
        <v>30</v>
      </c>
      <c r="I310" s="22" t="s">
        <v>602</v>
      </c>
      <c r="J310" s="22" t="s">
        <v>603</v>
      </c>
      <c r="K310" s="519" t="s">
        <v>1438</v>
      </c>
      <c r="L310" s="521" t="s">
        <v>1439</v>
      </c>
      <c r="M310" s="521" t="s">
        <v>1440</v>
      </c>
      <c r="N310" s="521" t="s">
        <v>815</v>
      </c>
      <c r="O310" s="22" t="s">
        <v>604</v>
      </c>
      <c r="P310" s="69" t="s">
        <v>59</v>
      </c>
      <c r="Q310" s="535" t="s">
        <v>1438</v>
      </c>
      <c r="R310" s="335" t="str">
        <f t="shared" ca="1" si="15"/>
        <v>N/A</v>
      </c>
      <c r="S310" s="335" t="str">
        <f t="shared" ca="1" si="16"/>
        <v>N/A</v>
      </c>
      <c r="T310" s="429" t="s">
        <v>608</v>
      </c>
      <c r="U310" s="22" t="s">
        <v>609</v>
      </c>
      <c r="V310" s="24"/>
      <c r="W310" s="21"/>
      <c r="Y310" s="490"/>
    </row>
    <row r="311" spans="1:25" ht="30">
      <c r="A311" s="31">
        <v>308</v>
      </c>
      <c r="B311" s="22" t="s">
        <v>39</v>
      </c>
      <c r="C311" s="22" t="s">
        <v>599</v>
      </c>
      <c r="D311" s="22" t="s">
        <v>610</v>
      </c>
      <c r="E311" s="23">
        <v>1</v>
      </c>
      <c r="F311" s="22" t="s">
        <v>611</v>
      </c>
      <c r="G311" s="22" t="s">
        <v>601</v>
      </c>
      <c r="H311" s="22" t="s">
        <v>30</v>
      </c>
      <c r="I311" s="22" t="s">
        <v>612</v>
      </c>
      <c r="J311" s="22" t="s">
        <v>613</v>
      </c>
      <c r="K311" s="519" t="s">
        <v>1438</v>
      </c>
      <c r="L311" s="521" t="s">
        <v>1441</v>
      </c>
      <c r="M311" s="521" t="s">
        <v>1442</v>
      </c>
      <c r="N311" s="521" t="s">
        <v>815</v>
      </c>
      <c r="O311" s="22" t="s">
        <v>604</v>
      </c>
      <c r="P311" s="69" t="s">
        <v>59</v>
      </c>
      <c r="Q311" s="529" t="s">
        <v>1438</v>
      </c>
      <c r="R311" s="335" t="str">
        <f t="shared" ca="1" si="15"/>
        <v>N/A</v>
      </c>
      <c r="S311" s="335" t="str">
        <f t="shared" ca="1" si="16"/>
        <v>N/A</v>
      </c>
      <c r="T311" s="429" t="s">
        <v>608</v>
      </c>
      <c r="U311" s="22" t="s">
        <v>614</v>
      </c>
      <c r="V311" s="24"/>
      <c r="W311" s="21"/>
      <c r="Y311" s="490"/>
    </row>
    <row r="312" spans="1:25" ht="45">
      <c r="A312" s="31">
        <v>309</v>
      </c>
      <c r="B312" s="22" t="s">
        <v>39</v>
      </c>
      <c r="C312" s="22" t="s">
        <v>599</v>
      </c>
      <c r="D312" s="22" t="s">
        <v>615</v>
      </c>
      <c r="E312" s="23">
        <v>1</v>
      </c>
      <c r="F312" s="22" t="s">
        <v>616</v>
      </c>
      <c r="G312" s="22" t="s">
        <v>617</v>
      </c>
      <c r="H312" s="22" t="s">
        <v>30</v>
      </c>
      <c r="I312" s="22" t="s">
        <v>618</v>
      </c>
      <c r="J312" s="22" t="s">
        <v>619</v>
      </c>
      <c r="K312" s="519" t="s">
        <v>1438</v>
      </c>
      <c r="L312" s="521" t="s">
        <v>1443</v>
      </c>
      <c r="M312" s="521" t="s">
        <v>1444</v>
      </c>
      <c r="N312" s="521" t="s">
        <v>815</v>
      </c>
      <c r="O312" s="22" t="s">
        <v>604</v>
      </c>
      <c r="P312" s="69" t="s">
        <v>620</v>
      </c>
      <c r="Q312" s="529" t="s">
        <v>1438</v>
      </c>
      <c r="R312" s="335" t="str">
        <f t="shared" ca="1" si="15"/>
        <v>N/A</v>
      </c>
      <c r="S312" s="335" t="str">
        <f t="shared" ca="1" si="16"/>
        <v>N/A</v>
      </c>
      <c r="T312" s="429" t="s">
        <v>608</v>
      </c>
      <c r="U312" s="22" t="s">
        <v>622</v>
      </c>
      <c r="V312" s="24"/>
      <c r="W312" s="21"/>
      <c r="Y312" s="490"/>
    </row>
    <row r="313" spans="1:25" ht="90">
      <c r="A313" s="31">
        <v>310</v>
      </c>
      <c r="B313" s="22" t="s">
        <v>39</v>
      </c>
      <c r="C313" s="22" t="s">
        <v>599</v>
      </c>
      <c r="D313" s="22" t="s">
        <v>623</v>
      </c>
      <c r="E313" s="23">
        <v>1</v>
      </c>
      <c r="F313" s="22" t="s">
        <v>624</v>
      </c>
      <c r="G313" s="22" t="s">
        <v>625</v>
      </c>
      <c r="H313" s="22" t="s">
        <v>30</v>
      </c>
      <c r="I313" s="22" t="s">
        <v>626</v>
      </c>
      <c r="J313" s="22" t="s">
        <v>627</v>
      </c>
      <c r="K313" s="519" t="s">
        <v>1438</v>
      </c>
      <c r="L313" s="521" t="s">
        <v>1445</v>
      </c>
      <c r="M313" s="521" t="s">
        <v>1446</v>
      </c>
      <c r="N313" s="521" t="s">
        <v>815</v>
      </c>
      <c r="O313" s="22" t="s">
        <v>604</v>
      </c>
      <c r="P313" s="69">
        <v>2017</v>
      </c>
      <c r="Q313" s="529" t="s">
        <v>1438</v>
      </c>
      <c r="R313" s="335" t="str">
        <f t="shared" ca="1" si="15"/>
        <v>N/A</v>
      </c>
      <c r="S313" s="335" t="str">
        <f t="shared" ca="1" si="16"/>
        <v>N/A</v>
      </c>
      <c r="T313" s="429" t="s">
        <v>1447</v>
      </c>
      <c r="U313" s="22" t="s">
        <v>630</v>
      </c>
      <c r="V313" s="24"/>
      <c r="W313" s="21"/>
      <c r="Y313" s="490"/>
    </row>
    <row r="314" spans="1:25" ht="90">
      <c r="A314" s="31">
        <v>311</v>
      </c>
      <c r="B314" s="22" t="s">
        <v>39</v>
      </c>
      <c r="C314" s="22" t="s">
        <v>599</v>
      </c>
      <c r="D314" s="22" t="s">
        <v>631</v>
      </c>
      <c r="E314" s="23">
        <v>1</v>
      </c>
      <c r="F314" s="22" t="s">
        <v>624</v>
      </c>
      <c r="G314" s="22" t="s">
        <v>625</v>
      </c>
      <c r="H314" s="22" t="s">
        <v>30</v>
      </c>
      <c r="I314" s="22" t="s">
        <v>632</v>
      </c>
      <c r="J314" s="22" t="s">
        <v>633</v>
      </c>
      <c r="K314" s="519" t="s">
        <v>1438</v>
      </c>
      <c r="L314" s="521" t="s">
        <v>1448</v>
      </c>
      <c r="M314" s="521" t="s">
        <v>1449</v>
      </c>
      <c r="N314" s="521" t="s">
        <v>815</v>
      </c>
      <c r="O314" s="22" t="s">
        <v>604</v>
      </c>
      <c r="P314" s="69" t="s">
        <v>634</v>
      </c>
      <c r="Q314" s="529" t="s">
        <v>1438</v>
      </c>
      <c r="R314" s="335" t="str">
        <f t="shared" ca="1" si="15"/>
        <v>N/A</v>
      </c>
      <c r="S314" s="335" t="str">
        <f t="shared" ca="1" si="16"/>
        <v>N/A</v>
      </c>
      <c r="T314" s="429" t="s">
        <v>1450</v>
      </c>
      <c r="U314" s="22" t="s">
        <v>636</v>
      </c>
      <c r="V314" s="24"/>
      <c r="W314" s="21"/>
      <c r="Y314" s="490"/>
    </row>
    <row r="315" spans="1:25" ht="60">
      <c r="A315" s="31">
        <v>312</v>
      </c>
      <c r="B315" s="22" t="s">
        <v>39</v>
      </c>
      <c r="C315" s="22" t="s">
        <v>637</v>
      </c>
      <c r="D315" s="22" t="s">
        <v>638</v>
      </c>
      <c r="E315" s="23">
        <v>1</v>
      </c>
      <c r="F315" s="22" t="s">
        <v>639</v>
      </c>
      <c r="G315" s="22" t="s">
        <v>640</v>
      </c>
      <c r="H315" s="22" t="s">
        <v>30</v>
      </c>
      <c r="I315" s="22" t="s">
        <v>641</v>
      </c>
      <c r="J315" s="22" t="s">
        <v>642</v>
      </c>
      <c r="K315" s="519" t="s">
        <v>1438</v>
      </c>
      <c r="L315" s="521" t="s">
        <v>1451</v>
      </c>
      <c r="M315" s="521" t="s">
        <v>1452</v>
      </c>
      <c r="N315" s="521" t="s">
        <v>815</v>
      </c>
      <c r="O315" s="22" t="s">
        <v>604</v>
      </c>
      <c r="P315" s="69" t="s">
        <v>59</v>
      </c>
      <c r="Q315" s="529" t="s">
        <v>1438</v>
      </c>
      <c r="R315" s="335" t="str">
        <f t="shared" ca="1" si="15"/>
        <v>N/A</v>
      </c>
      <c r="S315" s="335" t="str">
        <f t="shared" ca="1" si="16"/>
        <v>N/A</v>
      </c>
      <c r="T315" s="429" t="s">
        <v>645</v>
      </c>
      <c r="U315" s="22" t="s">
        <v>646</v>
      </c>
      <c r="V315" s="24"/>
      <c r="W315" s="21"/>
      <c r="Y315" s="490"/>
    </row>
    <row r="316" spans="1:25" ht="105">
      <c r="A316" s="31">
        <v>313</v>
      </c>
      <c r="B316" s="22" t="s">
        <v>39</v>
      </c>
      <c r="C316" s="22" t="s">
        <v>637</v>
      </c>
      <c r="D316" s="22" t="s">
        <v>647</v>
      </c>
      <c r="E316" s="23">
        <v>1</v>
      </c>
      <c r="F316" s="22" t="s">
        <v>639</v>
      </c>
      <c r="G316" s="22" t="s">
        <v>640</v>
      </c>
      <c r="H316" s="22" t="s">
        <v>30</v>
      </c>
      <c r="I316" s="22" t="s">
        <v>648</v>
      </c>
      <c r="J316" s="22" t="s">
        <v>649</v>
      </c>
      <c r="K316" s="519" t="s">
        <v>1438</v>
      </c>
      <c r="L316" s="521" t="s">
        <v>1453</v>
      </c>
      <c r="M316" s="521" t="s">
        <v>1454</v>
      </c>
      <c r="N316" s="521" t="s">
        <v>815</v>
      </c>
      <c r="O316" s="22" t="s">
        <v>604</v>
      </c>
      <c r="P316" s="69" t="s">
        <v>59</v>
      </c>
      <c r="Q316" s="529" t="s">
        <v>1438</v>
      </c>
      <c r="R316" s="335" t="str">
        <f t="shared" ca="1" si="15"/>
        <v>N/A</v>
      </c>
      <c r="S316" s="335" t="str">
        <f t="shared" ca="1" si="16"/>
        <v>N/A</v>
      </c>
      <c r="T316" s="429" t="s">
        <v>608</v>
      </c>
      <c r="U316" s="22" t="s">
        <v>650</v>
      </c>
      <c r="V316" s="24"/>
      <c r="W316" s="21"/>
      <c r="Y316" s="490"/>
    </row>
    <row r="317" spans="1:25" ht="135">
      <c r="A317" s="31">
        <v>314</v>
      </c>
      <c r="B317" s="22" t="s">
        <v>39</v>
      </c>
      <c r="C317" s="22" t="s">
        <v>651</v>
      </c>
      <c r="D317" s="22" t="s">
        <v>652</v>
      </c>
      <c r="E317" s="23">
        <v>1</v>
      </c>
      <c r="F317" s="22" t="s">
        <v>653</v>
      </c>
      <c r="G317" s="22" t="s">
        <v>654</v>
      </c>
      <c r="H317" s="22" t="s">
        <v>30</v>
      </c>
      <c r="I317" s="22" t="s">
        <v>655</v>
      </c>
      <c r="J317" s="22" t="s">
        <v>656</v>
      </c>
      <c r="K317" s="519" t="s">
        <v>1438</v>
      </c>
      <c r="L317" s="521" t="s">
        <v>1455</v>
      </c>
      <c r="M317" s="521" t="s">
        <v>1456</v>
      </c>
      <c r="N317" s="521" t="s">
        <v>815</v>
      </c>
      <c r="O317" s="22" t="s">
        <v>604</v>
      </c>
      <c r="P317" s="69" t="s">
        <v>59</v>
      </c>
      <c r="Q317" s="537" t="s">
        <v>657</v>
      </c>
      <c r="R317" s="335" t="str">
        <f t="shared" ref="R317:R332" ca="1" si="17">IF($N317 = "N","N/A",SUMIF(INDIRECT("'"&amp;K317&amp;"'!i:i"),L317,INDIRECT("'"&amp;K317&amp;"'!m:m")))</f>
        <v>N/A</v>
      </c>
      <c r="S317" s="335" t="str">
        <f t="shared" ref="S317:S332" ca="1" si="18">IF($N317 = "N","N/A",SUMIF(INDIRECT("'"&amp;K317&amp;"'!i:i"),M317,INDIRECT("'"&amp;K317&amp;"'!m:m")))</f>
        <v>N/A</v>
      </c>
      <c r="T317" s="429" t="s">
        <v>658</v>
      </c>
      <c r="U317" s="22" t="s">
        <v>659</v>
      </c>
      <c r="V317" s="24"/>
      <c r="W317" s="21"/>
      <c r="Y317" s="490"/>
    </row>
    <row r="318" spans="1:25" ht="105">
      <c r="A318" s="31">
        <v>315</v>
      </c>
      <c r="B318" s="22" t="s">
        <v>39</v>
      </c>
      <c r="C318" s="22" t="s">
        <v>651</v>
      </c>
      <c r="D318" s="22" t="s">
        <v>660</v>
      </c>
      <c r="E318" s="23">
        <v>1</v>
      </c>
      <c r="F318" s="22" t="s">
        <v>661</v>
      </c>
      <c r="G318" s="22" t="s">
        <v>654</v>
      </c>
      <c r="H318" s="22" t="s">
        <v>30</v>
      </c>
      <c r="I318" s="22" t="s">
        <v>662</v>
      </c>
      <c r="J318" s="22" t="s">
        <v>663</v>
      </c>
      <c r="K318" s="519" t="s">
        <v>1438</v>
      </c>
      <c r="L318" s="521" t="s">
        <v>1457</v>
      </c>
      <c r="M318" s="521" t="s">
        <v>1458</v>
      </c>
      <c r="N318" s="521" t="s">
        <v>815</v>
      </c>
      <c r="O318" s="22" t="s">
        <v>604</v>
      </c>
      <c r="P318" s="69" t="s">
        <v>59</v>
      </c>
      <c r="Q318" s="537" t="s">
        <v>657</v>
      </c>
      <c r="R318" s="335" t="str">
        <f t="shared" ca="1" si="17"/>
        <v>N/A</v>
      </c>
      <c r="S318" s="335" t="str">
        <f t="shared" ca="1" si="18"/>
        <v>N/A</v>
      </c>
      <c r="T318" s="429" t="s">
        <v>664</v>
      </c>
      <c r="U318" s="22" t="s">
        <v>659</v>
      </c>
      <c r="V318" s="24"/>
      <c r="W318" s="21"/>
      <c r="Y318" s="490"/>
    </row>
    <row r="319" spans="1:25" ht="90">
      <c r="A319" s="31">
        <v>316</v>
      </c>
      <c r="B319" s="22" t="s">
        <v>39</v>
      </c>
      <c r="C319" s="22" t="s">
        <v>651</v>
      </c>
      <c r="D319" s="22" t="s">
        <v>665</v>
      </c>
      <c r="E319" s="23">
        <v>1</v>
      </c>
      <c r="F319" s="22" t="s">
        <v>142</v>
      </c>
      <c r="G319" s="22" t="s">
        <v>654</v>
      </c>
      <c r="H319" s="22" t="s">
        <v>30</v>
      </c>
      <c r="I319" s="22" t="s">
        <v>666</v>
      </c>
      <c r="J319" s="22" t="s">
        <v>667</v>
      </c>
      <c r="K319" s="519" t="s">
        <v>1438</v>
      </c>
      <c r="L319" s="521" t="s">
        <v>1459</v>
      </c>
      <c r="M319" s="521" t="s">
        <v>1460</v>
      </c>
      <c r="N319" s="521" t="s">
        <v>815</v>
      </c>
      <c r="O319" s="22" t="s">
        <v>604</v>
      </c>
      <c r="P319" s="69" t="s">
        <v>59</v>
      </c>
      <c r="Q319" s="537" t="s">
        <v>657</v>
      </c>
      <c r="R319" s="335" t="str">
        <f t="shared" ca="1" si="17"/>
        <v>N/A</v>
      </c>
      <c r="S319" s="335" t="str">
        <f t="shared" ca="1" si="18"/>
        <v>N/A</v>
      </c>
      <c r="T319" s="429" t="s">
        <v>668</v>
      </c>
      <c r="U319" s="22" t="s">
        <v>659</v>
      </c>
      <c r="V319" s="24"/>
      <c r="W319" s="21"/>
      <c r="Y319" s="490"/>
    </row>
    <row r="320" spans="1:25" ht="135">
      <c r="A320" s="31">
        <v>317</v>
      </c>
      <c r="B320" s="22" t="s">
        <v>39</v>
      </c>
      <c r="C320" s="22" t="s">
        <v>651</v>
      </c>
      <c r="D320" s="22" t="s">
        <v>669</v>
      </c>
      <c r="E320" s="23">
        <v>1</v>
      </c>
      <c r="F320" s="22" t="s">
        <v>523</v>
      </c>
      <c r="G320" s="22" t="s">
        <v>654</v>
      </c>
      <c r="H320" s="22" t="s">
        <v>30</v>
      </c>
      <c r="I320" s="22" t="s">
        <v>670</v>
      </c>
      <c r="J320" s="22" t="s">
        <v>671</v>
      </c>
      <c r="K320" s="519" t="s">
        <v>1438</v>
      </c>
      <c r="L320" s="521" t="s">
        <v>1461</v>
      </c>
      <c r="M320" s="521" t="s">
        <v>1462</v>
      </c>
      <c r="N320" s="521" t="s">
        <v>815</v>
      </c>
      <c r="O320" s="22" t="s">
        <v>604</v>
      </c>
      <c r="P320" s="69" t="s">
        <v>59</v>
      </c>
      <c r="Q320" s="537" t="s">
        <v>657</v>
      </c>
      <c r="R320" s="335" t="str">
        <f t="shared" ca="1" si="17"/>
        <v>N/A</v>
      </c>
      <c r="S320" s="335" t="str">
        <f t="shared" ca="1" si="18"/>
        <v>N/A</v>
      </c>
      <c r="T320" s="429" t="s">
        <v>672</v>
      </c>
      <c r="U320" s="22" t="s">
        <v>673</v>
      </c>
      <c r="V320" s="24"/>
      <c r="W320" s="21"/>
      <c r="Y320" s="490"/>
    </row>
    <row r="321" spans="1:25" ht="105">
      <c r="A321" s="31">
        <v>318</v>
      </c>
      <c r="B321" s="22" t="s">
        <v>39</v>
      </c>
      <c r="C321" s="22" t="s">
        <v>651</v>
      </c>
      <c r="D321" s="22" t="s">
        <v>674</v>
      </c>
      <c r="E321" s="23">
        <v>1</v>
      </c>
      <c r="F321" s="22" t="s">
        <v>675</v>
      </c>
      <c r="G321" s="22" t="s">
        <v>676</v>
      </c>
      <c r="H321" s="22" t="s">
        <v>30</v>
      </c>
      <c r="I321" s="22" t="s">
        <v>677</v>
      </c>
      <c r="J321" s="22" t="s">
        <v>678</v>
      </c>
      <c r="K321" s="519" t="s">
        <v>1438</v>
      </c>
      <c r="L321" s="521" t="s">
        <v>1463</v>
      </c>
      <c r="M321" s="521" t="s">
        <v>1464</v>
      </c>
      <c r="N321" s="521" t="s">
        <v>815</v>
      </c>
      <c r="O321" s="22" t="s">
        <v>604</v>
      </c>
      <c r="P321" s="69" t="s">
        <v>59</v>
      </c>
      <c r="Q321" s="537" t="s">
        <v>657</v>
      </c>
      <c r="R321" s="335" t="str">
        <f t="shared" ca="1" si="17"/>
        <v>N/A</v>
      </c>
      <c r="S321" s="335" t="str">
        <f t="shared" ca="1" si="18"/>
        <v>N/A</v>
      </c>
      <c r="T321" s="429" t="s">
        <v>679</v>
      </c>
      <c r="U321" s="22" t="s">
        <v>680</v>
      </c>
      <c r="V321" s="24"/>
      <c r="W321" s="21"/>
      <c r="Y321" s="490"/>
    </row>
    <row r="322" spans="1:25" ht="105">
      <c r="A322" s="31">
        <v>319</v>
      </c>
      <c r="B322" s="22" t="s">
        <v>39</v>
      </c>
      <c r="C322" s="22" t="s">
        <v>651</v>
      </c>
      <c r="D322" s="22" t="s">
        <v>681</v>
      </c>
      <c r="E322" s="23">
        <v>1</v>
      </c>
      <c r="F322" s="22" t="s">
        <v>682</v>
      </c>
      <c r="G322" s="22" t="s">
        <v>676</v>
      </c>
      <c r="H322" s="22" t="s">
        <v>30</v>
      </c>
      <c r="I322" s="22" t="s">
        <v>683</v>
      </c>
      <c r="J322" s="22" t="s">
        <v>684</v>
      </c>
      <c r="K322" s="519" t="s">
        <v>1438</v>
      </c>
      <c r="L322" s="521" t="s">
        <v>1465</v>
      </c>
      <c r="M322" s="521" t="s">
        <v>1466</v>
      </c>
      <c r="N322" s="521" t="s">
        <v>815</v>
      </c>
      <c r="O322" s="22" t="s">
        <v>604</v>
      </c>
      <c r="P322" s="69" t="s">
        <v>59</v>
      </c>
      <c r="Q322" s="537" t="s">
        <v>657</v>
      </c>
      <c r="R322" s="335" t="str">
        <f t="shared" ca="1" si="17"/>
        <v>N/A</v>
      </c>
      <c r="S322" s="335" t="str">
        <f t="shared" ca="1" si="18"/>
        <v>N/A</v>
      </c>
      <c r="T322" s="429" t="s">
        <v>679</v>
      </c>
      <c r="U322" s="22" t="s">
        <v>680</v>
      </c>
      <c r="V322" s="24"/>
      <c r="W322" s="21"/>
      <c r="Y322" s="490"/>
    </row>
    <row r="323" spans="1:25" ht="105">
      <c r="A323" s="31">
        <v>320</v>
      </c>
      <c r="B323" s="22" t="s">
        <v>39</v>
      </c>
      <c r="C323" s="22" t="s">
        <v>651</v>
      </c>
      <c r="D323" s="22" t="s">
        <v>685</v>
      </c>
      <c r="E323" s="23">
        <v>1</v>
      </c>
      <c r="F323" s="22" t="s">
        <v>686</v>
      </c>
      <c r="G323" s="22" t="s">
        <v>676</v>
      </c>
      <c r="H323" s="22" t="s">
        <v>30</v>
      </c>
      <c r="I323" s="22" t="s">
        <v>687</v>
      </c>
      <c r="J323" s="22" t="s">
        <v>688</v>
      </c>
      <c r="K323" s="519" t="s">
        <v>1438</v>
      </c>
      <c r="L323" s="521" t="s">
        <v>1467</v>
      </c>
      <c r="M323" s="521" t="s">
        <v>1468</v>
      </c>
      <c r="N323" s="521" t="s">
        <v>815</v>
      </c>
      <c r="O323" s="22" t="s">
        <v>604</v>
      </c>
      <c r="P323" s="69" t="s">
        <v>59</v>
      </c>
      <c r="Q323" s="537" t="s">
        <v>657</v>
      </c>
      <c r="R323" s="335" t="str">
        <f t="shared" ca="1" si="17"/>
        <v>N/A</v>
      </c>
      <c r="S323" s="335" t="str">
        <f t="shared" ca="1" si="18"/>
        <v>N/A</v>
      </c>
      <c r="T323" s="429" t="s">
        <v>679</v>
      </c>
      <c r="U323" s="22" t="s">
        <v>680</v>
      </c>
      <c r="V323" s="24"/>
      <c r="W323" s="21"/>
      <c r="Y323" s="490"/>
    </row>
    <row r="324" spans="1:25" ht="165">
      <c r="A324" s="31">
        <v>321</v>
      </c>
      <c r="B324" s="22" t="s">
        <v>39</v>
      </c>
      <c r="C324" s="22" t="s">
        <v>651</v>
      </c>
      <c r="D324" s="22" t="s">
        <v>689</v>
      </c>
      <c r="E324" s="23">
        <v>1</v>
      </c>
      <c r="F324" s="22" t="s">
        <v>690</v>
      </c>
      <c r="G324" s="22" t="s">
        <v>691</v>
      </c>
      <c r="H324" s="22" t="s">
        <v>30</v>
      </c>
      <c r="I324" s="22" t="s">
        <v>692</v>
      </c>
      <c r="J324" s="22" t="s">
        <v>693</v>
      </c>
      <c r="K324" s="519" t="s">
        <v>1438</v>
      </c>
      <c r="L324" s="521" t="s">
        <v>1469</v>
      </c>
      <c r="M324" s="521" t="s">
        <v>1470</v>
      </c>
      <c r="N324" s="521" t="s">
        <v>815</v>
      </c>
      <c r="O324" s="22" t="s">
        <v>604</v>
      </c>
      <c r="P324" s="69" t="s">
        <v>59</v>
      </c>
      <c r="Q324" s="537" t="s">
        <v>657</v>
      </c>
      <c r="R324" s="335" t="str">
        <f t="shared" ca="1" si="17"/>
        <v>N/A</v>
      </c>
      <c r="S324" s="335" t="str">
        <f t="shared" ca="1" si="18"/>
        <v>N/A</v>
      </c>
      <c r="T324" s="429" t="s">
        <v>694</v>
      </c>
      <c r="U324" s="22" t="s">
        <v>695</v>
      </c>
      <c r="V324" s="24"/>
      <c r="W324" s="21"/>
      <c r="Y324" s="490"/>
    </row>
    <row r="325" spans="1:25" ht="165">
      <c r="A325" s="31">
        <v>322</v>
      </c>
      <c r="B325" s="22" t="s">
        <v>39</v>
      </c>
      <c r="C325" s="22" t="s">
        <v>651</v>
      </c>
      <c r="D325" s="22" t="s">
        <v>696</v>
      </c>
      <c r="E325" s="23">
        <v>1</v>
      </c>
      <c r="F325" s="22" t="s">
        <v>697</v>
      </c>
      <c r="G325" s="22" t="s">
        <v>691</v>
      </c>
      <c r="H325" s="22" t="s">
        <v>30</v>
      </c>
      <c r="I325" s="22" t="s">
        <v>698</v>
      </c>
      <c r="J325" s="22" t="s">
        <v>699</v>
      </c>
      <c r="K325" s="519" t="s">
        <v>1438</v>
      </c>
      <c r="L325" s="521" t="s">
        <v>1471</v>
      </c>
      <c r="M325" s="521" t="s">
        <v>1472</v>
      </c>
      <c r="N325" s="521" t="s">
        <v>815</v>
      </c>
      <c r="O325" s="22" t="s">
        <v>604</v>
      </c>
      <c r="P325" s="69" t="s">
        <v>59</v>
      </c>
      <c r="Q325" s="537" t="s">
        <v>1438</v>
      </c>
      <c r="R325" s="335" t="str">
        <f t="shared" ca="1" si="17"/>
        <v>N/A</v>
      </c>
      <c r="S325" s="335" t="str">
        <f t="shared" ca="1" si="18"/>
        <v>N/A</v>
      </c>
      <c r="T325" s="429" t="s">
        <v>694</v>
      </c>
      <c r="U325" s="22" t="s">
        <v>695</v>
      </c>
      <c r="V325" s="24"/>
      <c r="W325" s="21"/>
      <c r="Y325" s="490"/>
    </row>
    <row r="326" spans="1:25" ht="165">
      <c r="A326" s="31">
        <v>323</v>
      </c>
      <c r="B326" s="22" t="s">
        <v>39</v>
      </c>
      <c r="C326" s="22" t="s">
        <v>651</v>
      </c>
      <c r="D326" s="22" t="s">
        <v>700</v>
      </c>
      <c r="E326" s="23">
        <v>1</v>
      </c>
      <c r="F326" s="22" t="s">
        <v>701</v>
      </c>
      <c r="G326" s="22" t="s">
        <v>691</v>
      </c>
      <c r="H326" s="22" t="s">
        <v>30</v>
      </c>
      <c r="I326" s="22" t="s">
        <v>702</v>
      </c>
      <c r="J326" s="22" t="s">
        <v>703</v>
      </c>
      <c r="K326" s="519" t="s">
        <v>1438</v>
      </c>
      <c r="L326" s="521" t="s">
        <v>1473</v>
      </c>
      <c r="M326" s="521" t="s">
        <v>1474</v>
      </c>
      <c r="N326" s="521" t="s">
        <v>815</v>
      </c>
      <c r="O326" s="22" t="s">
        <v>604</v>
      </c>
      <c r="P326" s="69" t="s">
        <v>59</v>
      </c>
      <c r="Q326" s="537" t="s">
        <v>1438</v>
      </c>
      <c r="R326" s="335" t="str">
        <f t="shared" ca="1" si="17"/>
        <v>N/A</v>
      </c>
      <c r="S326" s="335" t="str">
        <f t="shared" ca="1" si="18"/>
        <v>N/A</v>
      </c>
      <c r="T326" s="429" t="s">
        <v>694</v>
      </c>
      <c r="U326" s="22" t="s">
        <v>695</v>
      </c>
      <c r="V326" s="24"/>
      <c r="W326" s="21"/>
      <c r="Y326" s="490"/>
    </row>
    <row r="327" spans="1:25" ht="165">
      <c r="A327" s="31">
        <v>324</v>
      </c>
      <c r="B327" s="22" t="s">
        <v>39</v>
      </c>
      <c r="C327" s="22" t="s">
        <v>651</v>
      </c>
      <c r="D327" s="22" t="s">
        <v>704</v>
      </c>
      <c r="E327" s="23">
        <v>1</v>
      </c>
      <c r="F327" s="22" t="s">
        <v>705</v>
      </c>
      <c r="G327" s="22" t="s">
        <v>691</v>
      </c>
      <c r="H327" s="22" t="s">
        <v>30</v>
      </c>
      <c r="I327" s="22" t="s">
        <v>706</v>
      </c>
      <c r="J327" s="22" t="s">
        <v>707</v>
      </c>
      <c r="K327" s="519" t="s">
        <v>1438</v>
      </c>
      <c r="L327" s="521" t="s">
        <v>1475</v>
      </c>
      <c r="M327" s="521" t="s">
        <v>1476</v>
      </c>
      <c r="N327" s="521" t="s">
        <v>815</v>
      </c>
      <c r="O327" s="22" t="s">
        <v>604</v>
      </c>
      <c r="P327" s="69" t="s">
        <v>59</v>
      </c>
      <c r="Q327" s="537" t="s">
        <v>1438</v>
      </c>
      <c r="R327" s="335" t="str">
        <f t="shared" ca="1" si="17"/>
        <v>N/A</v>
      </c>
      <c r="S327" s="335" t="str">
        <f t="shared" ca="1" si="18"/>
        <v>N/A</v>
      </c>
      <c r="T327" s="429" t="s">
        <v>694</v>
      </c>
      <c r="U327" s="22" t="s">
        <v>708</v>
      </c>
      <c r="V327" s="24"/>
      <c r="W327" s="21"/>
      <c r="Y327" s="490"/>
    </row>
    <row r="328" spans="1:25" ht="165">
      <c r="A328" s="31">
        <v>325</v>
      </c>
      <c r="B328" s="22" t="s">
        <v>39</v>
      </c>
      <c r="C328" s="22" t="s">
        <v>651</v>
      </c>
      <c r="D328" s="22" t="s">
        <v>709</v>
      </c>
      <c r="E328" s="23">
        <v>1</v>
      </c>
      <c r="F328" s="22" t="s">
        <v>690</v>
      </c>
      <c r="G328" s="22" t="s">
        <v>691</v>
      </c>
      <c r="H328" s="22" t="s">
        <v>30</v>
      </c>
      <c r="I328" s="22" t="s">
        <v>710</v>
      </c>
      <c r="J328" s="22" t="s">
        <v>711</v>
      </c>
      <c r="K328" s="519" t="s">
        <v>1438</v>
      </c>
      <c r="L328" s="521" t="s">
        <v>1477</v>
      </c>
      <c r="M328" s="521" t="s">
        <v>1478</v>
      </c>
      <c r="N328" s="521" t="s">
        <v>815</v>
      </c>
      <c r="O328" s="22" t="s">
        <v>604</v>
      </c>
      <c r="P328" s="69" t="s">
        <v>59</v>
      </c>
      <c r="Q328" s="537" t="s">
        <v>1438</v>
      </c>
      <c r="R328" s="335" t="str">
        <f t="shared" ca="1" si="17"/>
        <v>N/A</v>
      </c>
      <c r="S328" s="335" t="str">
        <f t="shared" ca="1" si="18"/>
        <v>N/A</v>
      </c>
      <c r="T328" s="429" t="s">
        <v>712</v>
      </c>
      <c r="U328" s="22" t="s">
        <v>695</v>
      </c>
      <c r="V328" s="24"/>
      <c r="W328" s="21"/>
      <c r="Y328" s="490"/>
    </row>
    <row r="329" spans="1:25" ht="165">
      <c r="A329" s="31">
        <v>326</v>
      </c>
      <c r="B329" s="22" t="s">
        <v>39</v>
      </c>
      <c r="C329" s="22" t="s">
        <v>651</v>
      </c>
      <c r="D329" s="22" t="s">
        <v>713</v>
      </c>
      <c r="E329" s="23">
        <v>1</v>
      </c>
      <c r="F329" s="22" t="s">
        <v>697</v>
      </c>
      <c r="G329" s="22" t="s">
        <v>691</v>
      </c>
      <c r="H329" s="22" t="s">
        <v>30</v>
      </c>
      <c r="I329" s="22" t="s">
        <v>714</v>
      </c>
      <c r="J329" s="22" t="s">
        <v>715</v>
      </c>
      <c r="K329" s="519" t="s">
        <v>1438</v>
      </c>
      <c r="L329" s="521" t="s">
        <v>1479</v>
      </c>
      <c r="M329" s="521" t="s">
        <v>1480</v>
      </c>
      <c r="N329" s="521" t="s">
        <v>815</v>
      </c>
      <c r="O329" s="22" t="s">
        <v>604</v>
      </c>
      <c r="P329" s="69" t="s">
        <v>59</v>
      </c>
      <c r="Q329" s="537" t="s">
        <v>1438</v>
      </c>
      <c r="R329" s="335" t="str">
        <f t="shared" ca="1" si="17"/>
        <v>N/A</v>
      </c>
      <c r="S329" s="335" t="str">
        <f t="shared" ca="1" si="18"/>
        <v>N/A</v>
      </c>
      <c r="T329" s="429" t="s">
        <v>712</v>
      </c>
      <c r="U329" s="22" t="s">
        <v>695</v>
      </c>
      <c r="V329" s="24"/>
      <c r="W329" s="21"/>
      <c r="Y329" s="490"/>
    </row>
    <row r="330" spans="1:25" ht="165">
      <c r="A330" s="31">
        <v>327</v>
      </c>
      <c r="B330" s="22" t="s">
        <v>39</v>
      </c>
      <c r="C330" s="22" t="s">
        <v>651</v>
      </c>
      <c r="D330" s="22" t="s">
        <v>716</v>
      </c>
      <c r="E330" s="23">
        <v>1</v>
      </c>
      <c r="F330" s="22" t="s">
        <v>701</v>
      </c>
      <c r="G330" s="22" t="s">
        <v>691</v>
      </c>
      <c r="H330" s="22" t="s">
        <v>30</v>
      </c>
      <c r="I330" s="22" t="s">
        <v>717</v>
      </c>
      <c r="J330" s="22" t="s">
        <v>718</v>
      </c>
      <c r="K330" s="519" t="s">
        <v>1438</v>
      </c>
      <c r="L330" s="521" t="s">
        <v>1481</v>
      </c>
      <c r="M330" s="521" t="s">
        <v>1482</v>
      </c>
      <c r="N330" s="521" t="s">
        <v>815</v>
      </c>
      <c r="O330" s="22" t="s">
        <v>604</v>
      </c>
      <c r="P330" s="69" t="s">
        <v>59</v>
      </c>
      <c r="Q330" s="537" t="s">
        <v>1438</v>
      </c>
      <c r="R330" s="335" t="str">
        <f t="shared" ca="1" si="17"/>
        <v>N/A</v>
      </c>
      <c r="S330" s="335" t="str">
        <f t="shared" ca="1" si="18"/>
        <v>N/A</v>
      </c>
      <c r="T330" s="429" t="s">
        <v>712</v>
      </c>
      <c r="U330" s="22" t="s">
        <v>695</v>
      </c>
      <c r="V330" s="24"/>
      <c r="W330" s="21"/>
      <c r="Y330" s="490"/>
    </row>
    <row r="331" spans="1:25" ht="165">
      <c r="A331" s="31">
        <v>328</v>
      </c>
      <c r="B331" s="22" t="s">
        <v>39</v>
      </c>
      <c r="C331" s="22" t="s">
        <v>651</v>
      </c>
      <c r="D331" s="22" t="s">
        <v>719</v>
      </c>
      <c r="E331" s="23">
        <v>1</v>
      </c>
      <c r="F331" s="22" t="s">
        <v>705</v>
      </c>
      <c r="G331" s="22" t="s">
        <v>691</v>
      </c>
      <c r="H331" s="22" t="s">
        <v>30</v>
      </c>
      <c r="I331" s="22" t="s">
        <v>720</v>
      </c>
      <c r="J331" s="22" t="s">
        <v>721</v>
      </c>
      <c r="K331" s="519" t="s">
        <v>1438</v>
      </c>
      <c r="L331" s="521" t="s">
        <v>1483</v>
      </c>
      <c r="M331" s="521" t="s">
        <v>1484</v>
      </c>
      <c r="N331" s="521" t="s">
        <v>815</v>
      </c>
      <c r="O331" s="22" t="s">
        <v>604</v>
      </c>
      <c r="P331" s="69" t="s">
        <v>59</v>
      </c>
      <c r="Q331" s="537" t="s">
        <v>1438</v>
      </c>
      <c r="R331" s="335" t="str">
        <f t="shared" ca="1" si="17"/>
        <v>N/A</v>
      </c>
      <c r="S331" s="335" t="str">
        <f t="shared" ca="1" si="18"/>
        <v>N/A</v>
      </c>
      <c r="T331" s="429" t="s">
        <v>712</v>
      </c>
      <c r="U331" s="22" t="s">
        <v>695</v>
      </c>
      <c r="V331" s="24"/>
      <c r="W331" s="21"/>
      <c r="Y331" s="490"/>
    </row>
    <row r="332" spans="1:25" ht="150">
      <c r="A332" s="32">
        <v>329</v>
      </c>
      <c r="B332" s="25" t="s">
        <v>39</v>
      </c>
      <c r="C332" s="25" t="s">
        <v>722</v>
      </c>
      <c r="D332" s="25" t="s">
        <v>723</v>
      </c>
      <c r="E332" s="26">
        <v>1</v>
      </c>
      <c r="F332" s="25" t="s">
        <v>724</v>
      </c>
      <c r="G332" s="25" t="s">
        <v>725</v>
      </c>
      <c r="H332" s="25" t="s">
        <v>30</v>
      </c>
      <c r="I332" s="25" t="s">
        <v>726</v>
      </c>
      <c r="J332" s="25" t="s">
        <v>727</v>
      </c>
      <c r="K332" s="519" t="s">
        <v>1438</v>
      </c>
      <c r="L332" s="521" t="s">
        <v>1485</v>
      </c>
      <c r="M332" s="521" t="s">
        <v>1486</v>
      </c>
      <c r="N332" s="523" t="s">
        <v>815</v>
      </c>
      <c r="O332" s="25" t="s">
        <v>604</v>
      </c>
      <c r="P332" s="69" t="s">
        <v>59</v>
      </c>
      <c r="Q332" s="538" t="s">
        <v>1438</v>
      </c>
      <c r="R332" s="335" t="str">
        <f t="shared" ca="1" si="17"/>
        <v>N/A</v>
      </c>
      <c r="S332" s="335" t="str">
        <f t="shared" ca="1" si="18"/>
        <v>N/A</v>
      </c>
      <c r="T332" s="27" t="s">
        <v>730</v>
      </c>
      <c r="U332" s="25" t="s">
        <v>731</v>
      </c>
      <c r="V332" s="28"/>
      <c r="W332" s="27"/>
      <c r="Y332" s="490"/>
    </row>
  </sheetData>
  <autoFilter ref="A2:W332" xr:uid="{DBF9CB31-CDA7-429E-AD0F-4469299D3D09}"/>
  <mergeCells count="2">
    <mergeCell ref="A1:A2"/>
    <mergeCell ref="P1:S1"/>
  </mergeCells>
  <printOptions horizontalCentered="1"/>
  <pageMargins left="0.2" right="0.2" top="0.75" bottom="0.75" header="0.3" footer="0.3"/>
  <pageSetup scale="28" fitToHeight="0" orientation="landscape" r:id="rId1"/>
  <headerFooter>
    <oddFooter>&amp;RMay 1, 2019</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7F07-4407-4142-9EFA-03F3A2074149}">
  <sheetPr>
    <tabColor rgb="FF00B0F0"/>
    <pageSetUpPr fitToPage="1"/>
  </sheetPr>
  <dimension ref="A1:Y332"/>
  <sheetViews>
    <sheetView showGridLines="0" zoomScale="80" zoomScaleNormal="80" zoomScaleSheetLayoutView="70" workbookViewId="0">
      <pane xSplit="9" ySplit="2" topLeftCell="J3" activePane="bottomRight" state="frozen"/>
      <selection activeCell="Q4" sqref="Q4"/>
      <selection pane="topRight" activeCell="Q4" sqref="Q4"/>
      <selection pane="bottomLeft" activeCell="Q4" sqref="Q4"/>
      <selection pane="bottomRight" activeCell="Q4" sqref="Q4"/>
    </sheetView>
  </sheetViews>
  <sheetFormatPr defaultColWidth="49.7109375" defaultRowHeight="15"/>
  <cols>
    <col min="1" max="1" width="5.28515625" style="15" bestFit="1" customWidth="1"/>
    <col min="2" max="2" width="9.28515625" style="13" bestFit="1" customWidth="1"/>
    <col min="3" max="3" width="10.85546875" style="13" bestFit="1" customWidth="1"/>
    <col min="4" max="4" width="12" style="13" bestFit="1" customWidth="1"/>
    <col min="5" max="5" width="12.85546875" style="15" bestFit="1" customWidth="1"/>
    <col min="6" max="6" width="19.28515625" style="15" bestFit="1" customWidth="1"/>
    <col min="7" max="7" width="22.140625" style="13" bestFit="1" customWidth="1"/>
    <col min="8" max="8" width="14.5703125" style="13" bestFit="1" customWidth="1"/>
    <col min="9" max="9" width="53.85546875" style="13" bestFit="1" customWidth="1"/>
    <col min="10" max="10" width="37.28515625" style="13" bestFit="1" customWidth="1"/>
    <col min="11" max="11" width="17.140625" style="516" bestFit="1" customWidth="1"/>
    <col min="12" max="12" width="13.140625" style="520" bestFit="1" customWidth="1"/>
    <col min="13" max="13" width="12.42578125" style="520" bestFit="1" customWidth="1"/>
    <col min="14" max="14" width="13.42578125" style="520" bestFit="1" customWidth="1"/>
    <col min="15" max="15" width="21.85546875" style="13" customWidth="1"/>
    <col min="16" max="16" width="21.5703125" style="427" bestFit="1" customWidth="1"/>
    <col min="17" max="17" width="23.140625" style="528" bestFit="1" customWidth="1"/>
    <col min="18" max="18" width="17.42578125" style="428" bestFit="1" customWidth="1"/>
    <col min="19" max="19" width="18.5703125" style="428" bestFit="1" customWidth="1"/>
    <col min="20" max="20" width="50.140625" style="16" bestFit="1" customWidth="1"/>
    <col min="21" max="21" width="63.85546875" style="13" bestFit="1" customWidth="1"/>
    <col min="22" max="22" width="17.28515625" style="13" bestFit="1" customWidth="1"/>
    <col min="23" max="23" width="11.5703125" style="13" bestFit="1" customWidth="1"/>
    <col min="24" max="24" width="15.42578125" style="488" hidden="1" customWidth="1"/>
    <col min="25" max="25" width="17.5703125" style="14" customWidth="1"/>
    <col min="26" max="16384" width="49.7109375" style="14"/>
  </cols>
  <sheetData>
    <row r="1" spans="1:25">
      <c r="A1" s="834" t="s">
        <v>16</v>
      </c>
      <c r="P1" s="845"/>
      <c r="Q1" s="846"/>
      <c r="R1" s="847"/>
      <c r="S1" s="848"/>
    </row>
    <row r="2" spans="1:25" s="18" customFormat="1" ht="50.45" customHeight="1">
      <c r="A2" s="834"/>
      <c r="B2" s="597" t="s">
        <v>22</v>
      </c>
      <c r="C2" s="597" t="s">
        <v>23</v>
      </c>
      <c r="D2" s="597" t="s">
        <v>24</v>
      </c>
      <c r="E2" s="333" t="s">
        <v>25</v>
      </c>
      <c r="F2" s="333" t="s">
        <v>26</v>
      </c>
      <c r="G2" s="333" t="s">
        <v>27</v>
      </c>
      <c r="H2" s="333" t="s">
        <v>28</v>
      </c>
      <c r="I2" s="333" t="s">
        <v>29</v>
      </c>
      <c r="J2" s="333" t="s">
        <v>30</v>
      </c>
      <c r="K2" s="581" t="s">
        <v>807</v>
      </c>
      <c r="L2" s="517" t="s">
        <v>808</v>
      </c>
      <c r="M2" s="517" t="s">
        <v>809</v>
      </c>
      <c r="N2" s="581" t="s">
        <v>810</v>
      </c>
      <c r="O2" s="413" t="s">
        <v>31</v>
      </c>
      <c r="P2" s="598" t="s">
        <v>32</v>
      </c>
      <c r="Q2" s="524" t="s">
        <v>811</v>
      </c>
      <c r="R2" s="370" t="s">
        <v>33</v>
      </c>
      <c r="S2" s="599" t="s">
        <v>34</v>
      </c>
      <c r="T2" s="333" t="s">
        <v>35</v>
      </c>
      <c r="U2" s="333" t="s">
        <v>36</v>
      </c>
      <c r="V2" s="333" t="s">
        <v>37</v>
      </c>
      <c r="W2" s="334" t="s">
        <v>38</v>
      </c>
      <c r="X2" s="489"/>
    </row>
    <row r="3" spans="1:25" s="18" customFormat="1" ht="30">
      <c r="A3" s="30">
        <v>0</v>
      </c>
      <c r="B3" s="19" t="s">
        <v>39</v>
      </c>
      <c r="C3" s="19" t="s">
        <v>40</v>
      </c>
      <c r="D3" s="19" t="s">
        <v>41</v>
      </c>
      <c r="E3" s="20" t="s">
        <v>42</v>
      </c>
      <c r="F3" s="19" t="s">
        <v>43</v>
      </c>
      <c r="G3" s="19" t="s">
        <v>44</v>
      </c>
      <c r="H3" s="19" t="s">
        <v>30</v>
      </c>
      <c r="I3" s="19" t="s">
        <v>45</v>
      </c>
      <c r="J3" s="19" t="s">
        <v>46</v>
      </c>
      <c r="K3" s="518" t="s">
        <v>812</v>
      </c>
      <c r="L3" s="521" t="s">
        <v>813</v>
      </c>
      <c r="M3" s="521" t="s">
        <v>814</v>
      </c>
      <c r="N3" s="521" t="s">
        <v>815</v>
      </c>
      <c r="O3" s="19" t="s">
        <v>47</v>
      </c>
      <c r="P3" s="426">
        <v>2019</v>
      </c>
      <c r="Q3" s="414">
        <f t="shared" ref="Q3:Q66" ca="1" si="0">SUMIF(INDIRECT("'"&amp;K3&amp;"'!c:c"),A3,INDIRECT("'"&amp;K3&amp;"'!g:g"))</f>
        <v>188828.06770849638</v>
      </c>
      <c r="R3" s="335" t="str">
        <f t="shared" ref="R3:R66" ca="1" si="1">IF($N3 = "N","N/A",SUMIF(INDIRECT("'"&amp;K3&amp;"'!i:i"),L3,INDIRECT("'"&amp;K3&amp;"'!n:n")))</f>
        <v>N/A</v>
      </c>
      <c r="S3" s="335" t="str">
        <f t="shared" ref="S3:S66" ca="1" si="2">IF($N3 = "N","N/A",SUMIF(INDIRECT("'"&amp;K3&amp;"'!i:i"),M3,INDIRECT("'"&amp;K3&amp;"'!n:n")))</f>
        <v>N/A</v>
      </c>
      <c r="T3" s="21" t="s">
        <v>48</v>
      </c>
      <c r="U3" s="19" t="s">
        <v>49</v>
      </c>
      <c r="V3" s="29"/>
      <c r="W3" s="21"/>
      <c r="X3" s="489"/>
      <c r="Y3" s="490"/>
    </row>
    <row r="4" spans="1:25" ht="45">
      <c r="A4" s="30">
        <v>1</v>
      </c>
      <c r="B4" s="19" t="s">
        <v>39</v>
      </c>
      <c r="C4" s="19" t="s">
        <v>50</v>
      </c>
      <c r="D4" s="19" t="s">
        <v>41</v>
      </c>
      <c r="E4" s="20" t="s">
        <v>51</v>
      </c>
      <c r="F4" s="19" t="s">
        <v>52</v>
      </c>
      <c r="G4" s="19" t="s">
        <v>53</v>
      </c>
      <c r="H4" s="19" t="s">
        <v>30</v>
      </c>
      <c r="I4" s="19" t="s">
        <v>54</v>
      </c>
      <c r="J4" s="22" t="s">
        <v>52</v>
      </c>
      <c r="K4" s="518" t="s">
        <v>812</v>
      </c>
      <c r="L4" s="521" t="s">
        <v>368</v>
      </c>
      <c r="M4" s="521" t="s">
        <v>816</v>
      </c>
      <c r="N4" s="521" t="s">
        <v>815</v>
      </c>
      <c r="O4" s="19" t="s">
        <v>47</v>
      </c>
      <c r="P4" s="426">
        <v>2019</v>
      </c>
      <c r="Q4" s="414">
        <f t="shared" ca="1" si="0"/>
        <v>55212.734798799051</v>
      </c>
      <c r="R4" s="335" t="str">
        <f t="shared" ca="1" si="1"/>
        <v>N/A</v>
      </c>
      <c r="S4" s="335" t="str">
        <f t="shared" ca="1" si="2"/>
        <v>N/A</v>
      </c>
      <c r="T4" s="429" t="s">
        <v>48</v>
      </c>
      <c r="U4" s="19"/>
      <c r="V4" s="29"/>
      <c r="W4" s="21"/>
      <c r="Y4" s="490"/>
    </row>
    <row r="5" spans="1:25" ht="45">
      <c r="A5" s="31">
        <v>2</v>
      </c>
      <c r="B5" s="22" t="s">
        <v>39</v>
      </c>
      <c r="C5" s="22" t="s">
        <v>50</v>
      </c>
      <c r="D5" s="22" t="s">
        <v>41</v>
      </c>
      <c r="E5" s="23" t="s">
        <v>51</v>
      </c>
      <c r="F5" s="22" t="s">
        <v>55</v>
      </c>
      <c r="G5" s="22" t="s">
        <v>53</v>
      </c>
      <c r="H5" s="22" t="s">
        <v>30</v>
      </c>
      <c r="I5" s="22" t="s">
        <v>54</v>
      </c>
      <c r="J5" s="22" t="s">
        <v>55</v>
      </c>
      <c r="K5" s="518" t="s">
        <v>812</v>
      </c>
      <c r="L5" s="521" t="s">
        <v>373</v>
      </c>
      <c r="M5" s="521" t="s">
        <v>316</v>
      </c>
      <c r="N5" s="521" t="s">
        <v>815</v>
      </c>
      <c r="O5" s="22" t="s">
        <v>47</v>
      </c>
      <c r="P5" s="426">
        <v>2019</v>
      </c>
      <c r="Q5" s="414">
        <f t="shared" ca="1" si="0"/>
        <v>53057.774834896096</v>
      </c>
      <c r="R5" s="335" t="str">
        <f t="shared" ca="1" si="1"/>
        <v>N/A</v>
      </c>
      <c r="S5" s="335" t="str">
        <f t="shared" ca="1" si="2"/>
        <v>N/A</v>
      </c>
      <c r="T5" s="429" t="s">
        <v>48</v>
      </c>
      <c r="U5" s="22"/>
      <c r="V5" s="24"/>
      <c r="W5" s="21"/>
      <c r="Y5" s="490"/>
    </row>
    <row r="6" spans="1:25" ht="45">
      <c r="A6" s="31">
        <v>3</v>
      </c>
      <c r="B6" s="22" t="s">
        <v>39</v>
      </c>
      <c r="C6" s="22" t="s">
        <v>50</v>
      </c>
      <c r="D6" s="22" t="s">
        <v>41</v>
      </c>
      <c r="E6" s="23" t="s">
        <v>51</v>
      </c>
      <c r="F6" s="22" t="s">
        <v>56</v>
      </c>
      <c r="G6" s="22" t="s">
        <v>53</v>
      </c>
      <c r="H6" s="22" t="s">
        <v>30</v>
      </c>
      <c r="I6" s="22" t="s">
        <v>54</v>
      </c>
      <c r="J6" s="22" t="s">
        <v>56</v>
      </c>
      <c r="K6" s="518" t="s">
        <v>812</v>
      </c>
      <c r="L6" s="521" t="s">
        <v>817</v>
      </c>
      <c r="M6" s="521" t="s">
        <v>818</v>
      </c>
      <c r="N6" s="521" t="s">
        <v>815</v>
      </c>
      <c r="O6" s="22" t="s">
        <v>47</v>
      </c>
      <c r="P6" s="426">
        <v>2019</v>
      </c>
      <c r="Q6" s="414">
        <f t="shared" ca="1" si="0"/>
        <v>251434561.78932336</v>
      </c>
      <c r="R6" s="335" t="str">
        <f t="shared" ca="1" si="1"/>
        <v>N/A</v>
      </c>
      <c r="S6" s="335" t="str">
        <f t="shared" ca="1" si="2"/>
        <v>N/A</v>
      </c>
      <c r="T6" s="429" t="s">
        <v>48</v>
      </c>
      <c r="U6" s="22"/>
      <c r="V6" s="24"/>
      <c r="W6" s="21"/>
      <c r="Y6" s="490"/>
    </row>
    <row r="7" spans="1:25" ht="45">
      <c r="A7" s="31">
        <v>4</v>
      </c>
      <c r="B7" s="22" t="s">
        <v>39</v>
      </c>
      <c r="C7" s="22" t="s">
        <v>50</v>
      </c>
      <c r="D7" s="22" t="s">
        <v>41</v>
      </c>
      <c r="E7" s="23" t="s">
        <v>51</v>
      </c>
      <c r="F7" s="22" t="s">
        <v>57</v>
      </c>
      <c r="G7" s="22" t="s">
        <v>53</v>
      </c>
      <c r="H7" s="22" t="s">
        <v>30</v>
      </c>
      <c r="I7" s="22" t="s">
        <v>54</v>
      </c>
      <c r="J7" s="22" t="s">
        <v>57</v>
      </c>
      <c r="K7" s="518" t="s">
        <v>812</v>
      </c>
      <c r="L7" s="521" t="s">
        <v>819</v>
      </c>
      <c r="M7" s="521" t="s">
        <v>226</v>
      </c>
      <c r="N7" s="521" t="s">
        <v>815</v>
      </c>
      <c r="O7" s="22" t="s">
        <v>47</v>
      </c>
      <c r="P7" s="426">
        <v>2019</v>
      </c>
      <c r="Q7" s="414">
        <f t="shared" ca="1" si="0"/>
        <v>242605043.53007609</v>
      </c>
      <c r="R7" s="335" t="str">
        <f t="shared" ca="1" si="1"/>
        <v>N/A</v>
      </c>
      <c r="S7" s="335" t="str">
        <f t="shared" ca="1" si="2"/>
        <v>N/A</v>
      </c>
      <c r="T7" s="429" t="s">
        <v>48</v>
      </c>
      <c r="U7" s="22"/>
      <c r="V7" s="24"/>
      <c r="W7" s="21"/>
      <c r="Y7" s="490"/>
    </row>
    <row r="8" spans="1:25" ht="45">
      <c r="A8" s="31">
        <v>5</v>
      </c>
      <c r="B8" s="22" t="s">
        <v>39</v>
      </c>
      <c r="C8" s="22" t="s">
        <v>50</v>
      </c>
      <c r="D8" s="22" t="s">
        <v>41</v>
      </c>
      <c r="E8" s="23" t="s">
        <v>51</v>
      </c>
      <c r="F8" s="22" t="s">
        <v>58</v>
      </c>
      <c r="G8" s="22" t="s">
        <v>53</v>
      </c>
      <c r="H8" s="22" t="s">
        <v>30</v>
      </c>
      <c r="I8" s="22" t="s">
        <v>54</v>
      </c>
      <c r="J8" s="22" t="s">
        <v>58</v>
      </c>
      <c r="K8" s="518" t="s">
        <v>812</v>
      </c>
      <c r="L8" s="521" t="s">
        <v>820</v>
      </c>
      <c r="M8" s="521" t="s">
        <v>234</v>
      </c>
      <c r="N8" s="521" t="s">
        <v>815</v>
      </c>
      <c r="O8" s="22" t="s">
        <v>47</v>
      </c>
      <c r="P8" s="426">
        <v>2019</v>
      </c>
      <c r="Q8" s="414">
        <f t="shared" ca="1" si="0"/>
        <v>3446225.9504607292</v>
      </c>
      <c r="R8" s="335" t="str">
        <f t="shared" ca="1" si="1"/>
        <v>N/A</v>
      </c>
      <c r="S8" s="335" t="str">
        <f t="shared" ca="1" si="2"/>
        <v>N/A</v>
      </c>
      <c r="T8" s="429" t="s">
        <v>48</v>
      </c>
      <c r="U8" s="22" t="s">
        <v>49</v>
      </c>
      <c r="V8" s="24"/>
      <c r="W8" s="21"/>
      <c r="Y8" s="490"/>
    </row>
    <row r="9" spans="1:25" ht="45">
      <c r="A9" s="31">
        <v>6</v>
      </c>
      <c r="B9" s="22" t="s">
        <v>39</v>
      </c>
      <c r="C9" s="22" t="s">
        <v>50</v>
      </c>
      <c r="D9" s="22" t="s">
        <v>41</v>
      </c>
      <c r="E9" s="23" t="s">
        <v>51</v>
      </c>
      <c r="F9" s="22" t="s">
        <v>60</v>
      </c>
      <c r="G9" s="22" t="s">
        <v>53</v>
      </c>
      <c r="H9" s="22" t="s">
        <v>30</v>
      </c>
      <c r="I9" s="22" t="s">
        <v>54</v>
      </c>
      <c r="J9" s="22" t="s">
        <v>60</v>
      </c>
      <c r="K9" s="518" t="s">
        <v>812</v>
      </c>
      <c r="L9" s="521" t="s">
        <v>821</v>
      </c>
      <c r="M9" s="521" t="s">
        <v>822</v>
      </c>
      <c r="N9" s="521" t="s">
        <v>815</v>
      </c>
      <c r="O9" s="22" t="s">
        <v>47</v>
      </c>
      <c r="P9" s="426">
        <v>2019</v>
      </c>
      <c r="Q9" s="414">
        <f t="shared" ca="1" si="0"/>
        <v>3265339.9873080361</v>
      </c>
      <c r="R9" s="335" t="str">
        <f t="shared" ca="1" si="1"/>
        <v>N/A</v>
      </c>
      <c r="S9" s="335" t="str">
        <f t="shared" ca="1" si="2"/>
        <v>N/A</v>
      </c>
      <c r="T9" s="429" t="s">
        <v>48</v>
      </c>
      <c r="U9" s="22" t="s">
        <v>49</v>
      </c>
      <c r="V9" s="24"/>
      <c r="W9" s="21"/>
      <c r="Y9" s="490"/>
    </row>
    <row r="10" spans="1:25" ht="45">
      <c r="A10" s="31">
        <v>7</v>
      </c>
      <c r="B10" s="22" t="s">
        <v>39</v>
      </c>
      <c r="C10" s="22" t="s">
        <v>50</v>
      </c>
      <c r="D10" s="22" t="s">
        <v>41</v>
      </c>
      <c r="E10" s="23" t="s">
        <v>51</v>
      </c>
      <c r="F10" s="22" t="s">
        <v>61</v>
      </c>
      <c r="G10" s="22" t="s">
        <v>53</v>
      </c>
      <c r="H10" s="22" t="s">
        <v>30</v>
      </c>
      <c r="I10" s="22" t="s">
        <v>54</v>
      </c>
      <c r="J10" s="22" t="s">
        <v>61</v>
      </c>
      <c r="K10" s="518" t="s">
        <v>812</v>
      </c>
      <c r="L10" s="521" t="s">
        <v>823</v>
      </c>
      <c r="M10" s="521" t="s">
        <v>824</v>
      </c>
      <c r="N10" s="521" t="s">
        <v>815</v>
      </c>
      <c r="O10" s="22" t="s">
        <v>47</v>
      </c>
      <c r="P10" s="426">
        <v>2019</v>
      </c>
      <c r="Q10" s="414">
        <f t="shared" ca="1" si="0"/>
        <v>609080.21073442069</v>
      </c>
      <c r="R10" s="335" t="str">
        <f t="shared" ca="1" si="1"/>
        <v>N/A</v>
      </c>
      <c r="S10" s="335" t="str">
        <f t="shared" ca="1" si="2"/>
        <v>N/A</v>
      </c>
      <c r="T10" s="429" t="s">
        <v>48</v>
      </c>
      <c r="U10" s="22"/>
      <c r="V10" s="24"/>
      <c r="W10" s="21"/>
      <c r="Y10" s="490"/>
    </row>
    <row r="11" spans="1:25" ht="45">
      <c r="A11" s="31">
        <v>8</v>
      </c>
      <c r="B11" s="22" t="s">
        <v>39</v>
      </c>
      <c r="C11" s="22" t="s">
        <v>50</v>
      </c>
      <c r="D11" s="22" t="s">
        <v>41</v>
      </c>
      <c r="E11" s="23" t="s">
        <v>51</v>
      </c>
      <c r="F11" s="22" t="s">
        <v>62</v>
      </c>
      <c r="G11" s="22" t="s">
        <v>53</v>
      </c>
      <c r="H11" s="22" t="s">
        <v>30</v>
      </c>
      <c r="I11" s="22" t="s">
        <v>54</v>
      </c>
      <c r="J11" s="22" t="s">
        <v>62</v>
      </c>
      <c r="K11" s="518" t="s">
        <v>812</v>
      </c>
      <c r="L11" s="521" t="s">
        <v>825</v>
      </c>
      <c r="M11" s="521" t="s">
        <v>826</v>
      </c>
      <c r="N11" s="521" t="s">
        <v>815</v>
      </c>
      <c r="O11" s="22" t="s">
        <v>47</v>
      </c>
      <c r="P11" s="426">
        <v>2019</v>
      </c>
      <c r="Q11" s="414">
        <f t="shared" ca="1" si="0"/>
        <v>593121.48082744842</v>
      </c>
      <c r="R11" s="335" t="str">
        <f t="shared" ca="1" si="1"/>
        <v>N/A</v>
      </c>
      <c r="S11" s="335" t="str">
        <f t="shared" ca="1" si="2"/>
        <v>N/A</v>
      </c>
      <c r="T11" s="429" t="s">
        <v>48</v>
      </c>
      <c r="U11" s="22"/>
      <c r="V11" s="24"/>
      <c r="W11" s="21"/>
      <c r="Y11" s="490"/>
    </row>
    <row r="12" spans="1:25" ht="45">
      <c r="A12" s="31">
        <v>9</v>
      </c>
      <c r="B12" s="22" t="s">
        <v>39</v>
      </c>
      <c r="C12" s="22" t="s">
        <v>50</v>
      </c>
      <c r="D12" s="22" t="s">
        <v>41</v>
      </c>
      <c r="E12" s="23" t="s">
        <v>51</v>
      </c>
      <c r="F12" s="22" t="s">
        <v>63</v>
      </c>
      <c r="G12" s="22" t="s">
        <v>53</v>
      </c>
      <c r="H12" s="22" t="s">
        <v>30</v>
      </c>
      <c r="I12" s="22" t="s">
        <v>54</v>
      </c>
      <c r="J12" s="22" t="s">
        <v>63</v>
      </c>
      <c r="K12" s="518" t="s">
        <v>812</v>
      </c>
      <c r="L12" s="521" t="s">
        <v>827</v>
      </c>
      <c r="M12" s="521" t="s">
        <v>828</v>
      </c>
      <c r="N12" s="521" t="s">
        <v>815</v>
      </c>
      <c r="O12" s="22" t="s">
        <v>47</v>
      </c>
      <c r="P12" s="426">
        <v>2019</v>
      </c>
      <c r="Q12" s="414">
        <f t="shared" ca="1" si="0"/>
        <v>2641285318.7758112</v>
      </c>
      <c r="R12" s="335" t="str">
        <f t="shared" ca="1" si="1"/>
        <v>N/A</v>
      </c>
      <c r="S12" s="335" t="str">
        <f t="shared" ca="1" si="2"/>
        <v>N/A</v>
      </c>
      <c r="T12" s="429" t="s">
        <v>48</v>
      </c>
      <c r="U12" s="22"/>
      <c r="V12" s="24"/>
      <c r="W12" s="21"/>
      <c r="Y12" s="490"/>
    </row>
    <row r="13" spans="1:25" ht="45">
      <c r="A13" s="31">
        <v>10</v>
      </c>
      <c r="B13" s="22" t="s">
        <v>39</v>
      </c>
      <c r="C13" s="22" t="s">
        <v>50</v>
      </c>
      <c r="D13" s="22" t="s">
        <v>41</v>
      </c>
      <c r="E13" s="23" t="s">
        <v>51</v>
      </c>
      <c r="F13" s="22" t="s">
        <v>64</v>
      </c>
      <c r="G13" s="22" t="s">
        <v>53</v>
      </c>
      <c r="H13" s="22" t="s">
        <v>30</v>
      </c>
      <c r="I13" s="22" t="s">
        <v>54</v>
      </c>
      <c r="J13" s="22" t="s">
        <v>64</v>
      </c>
      <c r="K13" s="518" t="s">
        <v>812</v>
      </c>
      <c r="L13" s="521" t="s">
        <v>829</v>
      </c>
      <c r="M13" s="521" t="s">
        <v>830</v>
      </c>
      <c r="N13" s="521" t="s">
        <v>815</v>
      </c>
      <c r="O13" s="22" t="s">
        <v>47</v>
      </c>
      <c r="P13" s="426">
        <v>2019</v>
      </c>
      <c r="Q13" s="414">
        <f t="shared" ca="1" si="0"/>
        <v>2561567227.2157989</v>
      </c>
      <c r="R13" s="335" t="str">
        <f t="shared" ca="1" si="1"/>
        <v>N/A</v>
      </c>
      <c r="S13" s="335" t="str">
        <f t="shared" ca="1" si="2"/>
        <v>N/A</v>
      </c>
      <c r="T13" s="429" t="s">
        <v>48</v>
      </c>
      <c r="U13" s="22"/>
      <c r="V13" s="24"/>
      <c r="W13" s="21"/>
      <c r="Y13" s="490"/>
    </row>
    <row r="14" spans="1:25" ht="45">
      <c r="A14" s="31">
        <v>11</v>
      </c>
      <c r="B14" s="22" t="s">
        <v>39</v>
      </c>
      <c r="C14" s="22" t="s">
        <v>50</v>
      </c>
      <c r="D14" s="22" t="s">
        <v>41</v>
      </c>
      <c r="E14" s="23" t="s">
        <v>51</v>
      </c>
      <c r="F14" s="22" t="s">
        <v>65</v>
      </c>
      <c r="G14" s="22" t="s">
        <v>53</v>
      </c>
      <c r="H14" s="22" t="s">
        <v>30</v>
      </c>
      <c r="I14" s="22" t="s">
        <v>54</v>
      </c>
      <c r="J14" s="22" t="s">
        <v>65</v>
      </c>
      <c r="K14" s="518" t="s">
        <v>812</v>
      </c>
      <c r="L14" s="521" t="s">
        <v>831</v>
      </c>
      <c r="M14" s="521" t="s">
        <v>832</v>
      </c>
      <c r="N14" s="521" t="s">
        <v>815</v>
      </c>
      <c r="O14" s="22" t="s">
        <v>47</v>
      </c>
      <c r="P14" s="426">
        <v>2019</v>
      </c>
      <c r="Q14" s="414">
        <f t="shared" ca="1" si="0"/>
        <v>33617961.590264052</v>
      </c>
      <c r="R14" s="335" t="str">
        <f t="shared" ca="1" si="1"/>
        <v>N/A</v>
      </c>
      <c r="S14" s="335" t="str">
        <f t="shared" ca="1" si="2"/>
        <v>N/A</v>
      </c>
      <c r="T14" s="429" t="s">
        <v>48</v>
      </c>
      <c r="U14" s="22" t="s">
        <v>49</v>
      </c>
      <c r="V14" s="24"/>
      <c r="W14" s="21"/>
      <c r="Y14" s="490"/>
    </row>
    <row r="15" spans="1:25" ht="45">
      <c r="A15" s="31">
        <v>12</v>
      </c>
      <c r="B15" s="22" t="s">
        <v>39</v>
      </c>
      <c r="C15" s="22" t="s">
        <v>50</v>
      </c>
      <c r="D15" s="22" t="s">
        <v>41</v>
      </c>
      <c r="E15" s="23" t="s">
        <v>51</v>
      </c>
      <c r="F15" s="22" t="s">
        <v>66</v>
      </c>
      <c r="G15" s="22" t="s">
        <v>53</v>
      </c>
      <c r="H15" s="22" t="s">
        <v>30</v>
      </c>
      <c r="I15" s="22" t="s">
        <v>54</v>
      </c>
      <c r="J15" s="22" t="s">
        <v>66</v>
      </c>
      <c r="K15" s="518" t="s">
        <v>812</v>
      </c>
      <c r="L15" s="521" t="s">
        <v>833</v>
      </c>
      <c r="M15" s="521" t="s">
        <v>834</v>
      </c>
      <c r="N15" s="521" t="s">
        <v>815</v>
      </c>
      <c r="O15" s="22" t="s">
        <v>47</v>
      </c>
      <c r="P15" s="426">
        <v>2019</v>
      </c>
      <c r="Q15" s="414">
        <f t="shared" ca="1" si="0"/>
        <v>30776343.717361189</v>
      </c>
      <c r="R15" s="335" t="str">
        <f t="shared" ca="1" si="1"/>
        <v>N/A</v>
      </c>
      <c r="S15" s="335" t="str">
        <f t="shared" ca="1" si="2"/>
        <v>N/A</v>
      </c>
      <c r="T15" s="429" t="s">
        <v>48</v>
      </c>
      <c r="U15" s="22" t="s">
        <v>49</v>
      </c>
      <c r="V15" s="24"/>
      <c r="W15" s="21"/>
      <c r="Y15" s="490"/>
    </row>
    <row r="16" spans="1:25" ht="45">
      <c r="A16" s="31">
        <v>13</v>
      </c>
      <c r="B16" s="22" t="s">
        <v>39</v>
      </c>
      <c r="C16" s="22" t="s">
        <v>50</v>
      </c>
      <c r="D16" s="22" t="s">
        <v>67</v>
      </c>
      <c r="E16" s="23" t="s">
        <v>68</v>
      </c>
      <c r="F16" s="22" t="s">
        <v>52</v>
      </c>
      <c r="G16" s="22" t="s">
        <v>69</v>
      </c>
      <c r="H16" s="22" t="s">
        <v>30</v>
      </c>
      <c r="I16" s="22" t="s">
        <v>70</v>
      </c>
      <c r="J16" s="22" t="s">
        <v>71</v>
      </c>
      <c r="K16" s="518" t="s">
        <v>812</v>
      </c>
      <c r="L16" s="521" t="s">
        <v>835</v>
      </c>
      <c r="M16" s="521" t="s">
        <v>836</v>
      </c>
      <c r="N16" s="521" t="s">
        <v>815</v>
      </c>
      <c r="O16" s="22" t="s">
        <v>47</v>
      </c>
      <c r="P16" s="426">
        <v>2019</v>
      </c>
      <c r="Q16" s="414">
        <f t="shared" ca="1" si="0"/>
        <v>713.57076212154868</v>
      </c>
      <c r="R16" s="335" t="str">
        <f t="shared" ca="1" si="1"/>
        <v>N/A</v>
      </c>
      <c r="S16" s="335" t="str">
        <f t="shared" ca="1" si="2"/>
        <v>N/A</v>
      </c>
      <c r="T16" s="429"/>
      <c r="U16" s="22"/>
      <c r="V16" s="24"/>
      <c r="W16" s="21"/>
      <c r="Y16" s="490"/>
    </row>
    <row r="17" spans="1:25" ht="45">
      <c r="A17" s="31">
        <v>14</v>
      </c>
      <c r="B17" s="22" t="s">
        <v>39</v>
      </c>
      <c r="C17" s="22" t="s">
        <v>50</v>
      </c>
      <c r="D17" s="22" t="s">
        <v>67</v>
      </c>
      <c r="E17" s="23" t="s">
        <v>68</v>
      </c>
      <c r="F17" s="22" t="s">
        <v>55</v>
      </c>
      <c r="G17" s="22" t="s">
        <v>69</v>
      </c>
      <c r="H17" s="22" t="s">
        <v>30</v>
      </c>
      <c r="I17" s="22" t="s">
        <v>70</v>
      </c>
      <c r="J17" s="22" t="s">
        <v>72</v>
      </c>
      <c r="K17" s="518" t="s">
        <v>812</v>
      </c>
      <c r="L17" s="521" t="s">
        <v>837</v>
      </c>
      <c r="M17" s="521" t="s">
        <v>838</v>
      </c>
      <c r="N17" s="521" t="s">
        <v>815</v>
      </c>
      <c r="O17" s="22" t="s">
        <v>47</v>
      </c>
      <c r="P17" s="426">
        <v>2019</v>
      </c>
      <c r="Q17" s="414">
        <f t="shared" ca="1" si="0"/>
        <v>608.16359659272121</v>
      </c>
      <c r="R17" s="335" t="str">
        <f t="shared" ca="1" si="1"/>
        <v>N/A</v>
      </c>
      <c r="S17" s="335" t="str">
        <f t="shared" ca="1" si="2"/>
        <v>N/A</v>
      </c>
      <c r="T17" s="429"/>
      <c r="U17" s="22"/>
      <c r="V17" s="24"/>
      <c r="W17" s="21"/>
      <c r="Y17" s="490"/>
    </row>
    <row r="18" spans="1:25" ht="45">
      <c r="A18" s="31">
        <v>15</v>
      </c>
      <c r="B18" s="22" t="s">
        <v>39</v>
      </c>
      <c r="C18" s="22" t="s">
        <v>50</v>
      </c>
      <c r="D18" s="22" t="s">
        <v>67</v>
      </c>
      <c r="E18" s="23" t="s">
        <v>68</v>
      </c>
      <c r="F18" s="22" t="s">
        <v>56</v>
      </c>
      <c r="G18" s="22" t="s">
        <v>69</v>
      </c>
      <c r="H18" s="22" t="s">
        <v>30</v>
      </c>
      <c r="I18" s="22" t="s">
        <v>70</v>
      </c>
      <c r="J18" s="22" t="s">
        <v>73</v>
      </c>
      <c r="K18" s="518" t="s">
        <v>812</v>
      </c>
      <c r="L18" s="521" t="s">
        <v>839</v>
      </c>
      <c r="M18" s="521" t="s">
        <v>840</v>
      </c>
      <c r="N18" s="521" t="s">
        <v>815</v>
      </c>
      <c r="O18" s="22" t="s">
        <v>47</v>
      </c>
      <c r="P18" s="426">
        <v>2019</v>
      </c>
      <c r="Q18" s="414">
        <f t="shared" ca="1" si="0"/>
        <v>5751271.3977047149</v>
      </c>
      <c r="R18" s="335" t="str">
        <f t="shared" ca="1" si="1"/>
        <v>N/A</v>
      </c>
      <c r="S18" s="335" t="str">
        <f t="shared" ca="1" si="2"/>
        <v>N/A</v>
      </c>
      <c r="T18" s="429"/>
      <c r="U18" s="22"/>
      <c r="V18" s="24"/>
      <c r="W18" s="21"/>
      <c r="Y18" s="490"/>
    </row>
    <row r="19" spans="1:25" ht="45">
      <c r="A19" s="31">
        <v>16</v>
      </c>
      <c r="B19" s="22" t="s">
        <v>39</v>
      </c>
      <c r="C19" s="22" t="s">
        <v>50</v>
      </c>
      <c r="D19" s="22" t="s">
        <v>67</v>
      </c>
      <c r="E19" s="23" t="s">
        <v>68</v>
      </c>
      <c r="F19" s="22" t="s">
        <v>57</v>
      </c>
      <c r="G19" s="22" t="s">
        <v>69</v>
      </c>
      <c r="H19" s="22" t="s">
        <v>30</v>
      </c>
      <c r="I19" s="22" t="s">
        <v>70</v>
      </c>
      <c r="J19" s="22" t="s">
        <v>74</v>
      </c>
      <c r="K19" s="518" t="s">
        <v>812</v>
      </c>
      <c r="L19" s="521" t="s">
        <v>841</v>
      </c>
      <c r="M19" s="521" t="s">
        <v>842</v>
      </c>
      <c r="N19" s="521" t="s">
        <v>815</v>
      </c>
      <c r="O19" s="22" t="s">
        <v>47</v>
      </c>
      <c r="P19" s="426">
        <v>2019</v>
      </c>
      <c r="Q19" s="414">
        <f t="shared" ca="1" si="0"/>
        <v>5396092.1874105139</v>
      </c>
      <c r="R19" s="335" t="str">
        <f t="shared" ca="1" si="1"/>
        <v>N/A</v>
      </c>
      <c r="S19" s="335" t="str">
        <f t="shared" ca="1" si="2"/>
        <v>N/A</v>
      </c>
      <c r="T19" s="429"/>
      <c r="U19" s="22"/>
      <c r="V19" s="24"/>
      <c r="W19" s="21"/>
      <c r="Y19" s="490"/>
    </row>
    <row r="20" spans="1:25" ht="45">
      <c r="A20" s="31">
        <v>17</v>
      </c>
      <c r="B20" s="22" t="s">
        <v>39</v>
      </c>
      <c r="C20" s="22" t="s">
        <v>50</v>
      </c>
      <c r="D20" s="22" t="s">
        <v>67</v>
      </c>
      <c r="E20" s="23" t="s">
        <v>68</v>
      </c>
      <c r="F20" s="22" t="s">
        <v>58</v>
      </c>
      <c r="G20" s="22" t="s">
        <v>69</v>
      </c>
      <c r="H20" s="22" t="s">
        <v>30</v>
      </c>
      <c r="I20" s="22" t="s">
        <v>70</v>
      </c>
      <c r="J20" s="22" t="s">
        <v>75</v>
      </c>
      <c r="K20" s="518" t="s">
        <v>812</v>
      </c>
      <c r="L20" s="521" t="s">
        <v>843</v>
      </c>
      <c r="M20" s="521" t="s">
        <v>844</v>
      </c>
      <c r="N20" s="521" t="s">
        <v>815</v>
      </c>
      <c r="O20" s="22" t="s">
        <v>47</v>
      </c>
      <c r="P20" s="426">
        <v>2019</v>
      </c>
      <c r="Q20" s="414">
        <f t="shared" ca="1" si="0"/>
        <v>-8589.6833227240641</v>
      </c>
      <c r="R20" s="335" t="str">
        <f t="shared" ca="1" si="1"/>
        <v>N/A</v>
      </c>
      <c r="S20" s="335" t="str">
        <f t="shared" ca="1" si="2"/>
        <v>N/A</v>
      </c>
      <c r="T20" s="429" t="s">
        <v>59</v>
      </c>
      <c r="U20" s="22" t="str">
        <f>Definitions!C$7</f>
        <v>D.18-05-041: DAC = Bill accounts in census tracts corresponding to census tracts in the top quartile of CalEnviroScreen 3.0 scores.</v>
      </c>
      <c r="V20" s="24"/>
      <c r="W20" s="21"/>
      <c r="Y20" s="490"/>
    </row>
    <row r="21" spans="1:25" ht="45">
      <c r="A21" s="31">
        <v>18</v>
      </c>
      <c r="B21" s="22" t="s">
        <v>39</v>
      </c>
      <c r="C21" s="22" t="s">
        <v>50</v>
      </c>
      <c r="D21" s="22" t="s">
        <v>67</v>
      </c>
      <c r="E21" s="23" t="s">
        <v>68</v>
      </c>
      <c r="F21" s="22" t="s">
        <v>60</v>
      </c>
      <c r="G21" s="22" t="s">
        <v>69</v>
      </c>
      <c r="H21" s="22" t="s">
        <v>30</v>
      </c>
      <c r="I21" s="22" t="s">
        <v>70</v>
      </c>
      <c r="J21" s="22" t="s">
        <v>76</v>
      </c>
      <c r="K21" s="518" t="s">
        <v>812</v>
      </c>
      <c r="L21" s="521" t="s">
        <v>845</v>
      </c>
      <c r="M21" s="521" t="s">
        <v>846</v>
      </c>
      <c r="N21" s="521" t="s">
        <v>815</v>
      </c>
      <c r="O21" s="22" t="s">
        <v>47</v>
      </c>
      <c r="P21" s="426">
        <v>2019</v>
      </c>
      <c r="Q21" s="414">
        <f t="shared" ca="1" si="0"/>
        <v>-6611.3009034252136</v>
      </c>
      <c r="R21" s="335" t="str">
        <f t="shared" ca="1" si="1"/>
        <v>N/A</v>
      </c>
      <c r="S21" s="335" t="str">
        <f t="shared" ca="1" si="2"/>
        <v>N/A</v>
      </c>
      <c r="T21" s="429" t="s">
        <v>59</v>
      </c>
      <c r="U21" s="22" t="str">
        <f>Definitions!C$7</f>
        <v>D.18-05-041: DAC = Bill accounts in census tracts corresponding to census tracts in the top quartile of CalEnviroScreen 3.0 scores.</v>
      </c>
      <c r="V21" s="24"/>
      <c r="W21" s="21"/>
      <c r="Y21" s="490"/>
    </row>
    <row r="22" spans="1:25" ht="45">
      <c r="A22" s="31">
        <v>19</v>
      </c>
      <c r="B22" s="22" t="s">
        <v>39</v>
      </c>
      <c r="C22" s="22" t="s">
        <v>50</v>
      </c>
      <c r="D22" s="22" t="s">
        <v>67</v>
      </c>
      <c r="E22" s="23" t="s">
        <v>68</v>
      </c>
      <c r="F22" s="22" t="s">
        <v>61</v>
      </c>
      <c r="G22" s="22" t="s">
        <v>69</v>
      </c>
      <c r="H22" s="22" t="s">
        <v>30</v>
      </c>
      <c r="I22" s="22" t="s">
        <v>70</v>
      </c>
      <c r="J22" s="22" t="s">
        <v>77</v>
      </c>
      <c r="K22" s="518" t="s">
        <v>812</v>
      </c>
      <c r="L22" s="521" t="s">
        <v>847</v>
      </c>
      <c r="M22" s="521" t="s">
        <v>848</v>
      </c>
      <c r="N22" s="521" t="s">
        <v>815</v>
      </c>
      <c r="O22" s="22" t="s">
        <v>47</v>
      </c>
      <c r="P22" s="426">
        <v>2019</v>
      </c>
      <c r="Q22" s="414">
        <f t="shared" ca="1" si="0"/>
        <v>4101.7857173698412</v>
      </c>
      <c r="R22" s="335" t="str">
        <f t="shared" ca="1" si="1"/>
        <v>N/A</v>
      </c>
      <c r="S22" s="335" t="str">
        <f t="shared" ca="1" si="2"/>
        <v>N/A</v>
      </c>
      <c r="T22" s="429"/>
      <c r="U22" s="22"/>
      <c r="V22" s="24"/>
      <c r="W22" s="21"/>
      <c r="Y22" s="490"/>
    </row>
    <row r="23" spans="1:25" ht="45">
      <c r="A23" s="31">
        <v>20</v>
      </c>
      <c r="B23" s="22" t="s">
        <v>39</v>
      </c>
      <c r="C23" s="22" t="s">
        <v>50</v>
      </c>
      <c r="D23" s="22" t="s">
        <v>67</v>
      </c>
      <c r="E23" s="23" t="s">
        <v>68</v>
      </c>
      <c r="F23" s="22" t="s">
        <v>62</v>
      </c>
      <c r="G23" s="22" t="s">
        <v>69</v>
      </c>
      <c r="H23" s="22" t="s">
        <v>30</v>
      </c>
      <c r="I23" s="22" t="s">
        <v>70</v>
      </c>
      <c r="J23" s="22" t="s">
        <v>78</v>
      </c>
      <c r="K23" s="518" t="s">
        <v>812</v>
      </c>
      <c r="L23" s="521" t="s">
        <v>849</v>
      </c>
      <c r="M23" s="521" t="s">
        <v>850</v>
      </c>
      <c r="N23" s="521" t="s">
        <v>815</v>
      </c>
      <c r="O23" s="22" t="s">
        <v>47</v>
      </c>
      <c r="P23" s="426">
        <v>2019</v>
      </c>
      <c r="Q23" s="414">
        <f t="shared" ca="1" si="0"/>
        <v>3454.0071397847041</v>
      </c>
      <c r="R23" s="335" t="str">
        <f t="shared" ca="1" si="1"/>
        <v>N/A</v>
      </c>
      <c r="S23" s="335" t="str">
        <f t="shared" ca="1" si="2"/>
        <v>N/A</v>
      </c>
      <c r="T23" s="429"/>
      <c r="U23" s="22"/>
      <c r="V23" s="24"/>
      <c r="W23" s="21"/>
      <c r="Y23" s="490"/>
    </row>
    <row r="24" spans="1:25" ht="45">
      <c r="A24" s="31">
        <v>21</v>
      </c>
      <c r="B24" s="22" t="s">
        <v>39</v>
      </c>
      <c r="C24" s="22" t="s">
        <v>50</v>
      </c>
      <c r="D24" s="22" t="s">
        <v>67</v>
      </c>
      <c r="E24" s="23" t="s">
        <v>68</v>
      </c>
      <c r="F24" s="22" t="s">
        <v>63</v>
      </c>
      <c r="G24" s="22" t="s">
        <v>69</v>
      </c>
      <c r="H24" s="22" t="s">
        <v>30</v>
      </c>
      <c r="I24" s="22" t="s">
        <v>70</v>
      </c>
      <c r="J24" s="22" t="s">
        <v>79</v>
      </c>
      <c r="K24" s="518" t="s">
        <v>812</v>
      </c>
      <c r="L24" s="521" t="s">
        <v>851</v>
      </c>
      <c r="M24" s="521" t="s">
        <v>852</v>
      </c>
      <c r="N24" s="521" t="s">
        <v>815</v>
      </c>
      <c r="O24" s="22" t="s">
        <v>47</v>
      </c>
      <c r="P24" s="426">
        <v>2019</v>
      </c>
      <c r="Q24" s="414">
        <f t="shared" ca="1" si="0"/>
        <v>20787082.358309519</v>
      </c>
      <c r="R24" s="335" t="str">
        <f t="shared" ca="1" si="1"/>
        <v>N/A</v>
      </c>
      <c r="S24" s="335" t="str">
        <f t="shared" ca="1" si="2"/>
        <v>N/A</v>
      </c>
      <c r="T24" s="429"/>
      <c r="U24" s="22"/>
      <c r="V24" s="24"/>
      <c r="W24" s="21"/>
      <c r="Y24" s="490"/>
    </row>
    <row r="25" spans="1:25" ht="45">
      <c r="A25" s="31">
        <v>22</v>
      </c>
      <c r="B25" s="22" t="s">
        <v>39</v>
      </c>
      <c r="C25" s="22" t="s">
        <v>50</v>
      </c>
      <c r="D25" s="22" t="s">
        <v>67</v>
      </c>
      <c r="E25" s="23" t="s">
        <v>68</v>
      </c>
      <c r="F25" s="22" t="s">
        <v>64</v>
      </c>
      <c r="G25" s="22" t="s">
        <v>69</v>
      </c>
      <c r="H25" s="22" t="s">
        <v>30</v>
      </c>
      <c r="I25" s="22" t="s">
        <v>70</v>
      </c>
      <c r="J25" s="22" t="s">
        <v>80</v>
      </c>
      <c r="K25" s="518" t="s">
        <v>812</v>
      </c>
      <c r="L25" s="521" t="s">
        <v>853</v>
      </c>
      <c r="M25" s="521" t="s">
        <v>854</v>
      </c>
      <c r="N25" s="521" t="s">
        <v>815</v>
      </c>
      <c r="O25" s="22" t="s">
        <v>47</v>
      </c>
      <c r="P25" s="426">
        <v>2019</v>
      </c>
      <c r="Q25" s="414">
        <f t="shared" ca="1" si="0"/>
        <v>18073823.016866051</v>
      </c>
      <c r="R25" s="335" t="str">
        <f t="shared" ca="1" si="1"/>
        <v>N/A</v>
      </c>
      <c r="S25" s="335" t="str">
        <f t="shared" ca="1" si="2"/>
        <v>N/A</v>
      </c>
      <c r="T25" s="429"/>
      <c r="U25" s="22"/>
      <c r="V25" s="24"/>
      <c r="W25" s="21"/>
      <c r="Y25" s="490"/>
    </row>
    <row r="26" spans="1:25" ht="45">
      <c r="A26" s="31">
        <v>23</v>
      </c>
      <c r="B26" s="22" t="s">
        <v>39</v>
      </c>
      <c r="C26" s="22" t="s">
        <v>50</v>
      </c>
      <c r="D26" s="22" t="s">
        <v>67</v>
      </c>
      <c r="E26" s="23" t="s">
        <v>68</v>
      </c>
      <c r="F26" s="22" t="s">
        <v>65</v>
      </c>
      <c r="G26" s="22" t="s">
        <v>69</v>
      </c>
      <c r="H26" s="22" t="s">
        <v>30</v>
      </c>
      <c r="I26" s="22" t="s">
        <v>70</v>
      </c>
      <c r="J26" s="22" t="s">
        <v>81</v>
      </c>
      <c r="K26" s="518" t="s">
        <v>812</v>
      </c>
      <c r="L26" s="521" t="s">
        <v>855</v>
      </c>
      <c r="M26" s="521" t="s">
        <v>856</v>
      </c>
      <c r="N26" s="521" t="s">
        <v>815</v>
      </c>
      <c r="O26" s="22" t="s">
        <v>47</v>
      </c>
      <c r="P26" s="426">
        <v>2019</v>
      </c>
      <c r="Q26" s="414">
        <f t="shared" ca="1" si="0"/>
        <v>-21496.601848040758</v>
      </c>
      <c r="R26" s="335" t="str">
        <f t="shared" ca="1" si="1"/>
        <v>N/A</v>
      </c>
      <c r="S26" s="335" t="str">
        <f t="shared" ca="1" si="2"/>
        <v>N/A</v>
      </c>
      <c r="T26" s="429" t="s">
        <v>59</v>
      </c>
      <c r="U26" s="22" t="str">
        <f>Definitions!C$7</f>
        <v>D.18-05-041: DAC = Bill accounts in census tracts corresponding to census tracts in the top quartile of CalEnviroScreen 3.0 scores.</v>
      </c>
      <c r="V26" s="24"/>
      <c r="W26" s="21"/>
      <c r="Y26" s="490"/>
    </row>
    <row r="27" spans="1:25" ht="45">
      <c r="A27" s="31">
        <v>24</v>
      </c>
      <c r="B27" s="22" t="s">
        <v>39</v>
      </c>
      <c r="C27" s="22" t="s">
        <v>50</v>
      </c>
      <c r="D27" s="22" t="s">
        <v>67</v>
      </c>
      <c r="E27" s="23" t="s">
        <v>68</v>
      </c>
      <c r="F27" s="22" t="s">
        <v>66</v>
      </c>
      <c r="G27" s="22" t="s">
        <v>69</v>
      </c>
      <c r="H27" s="22" t="s">
        <v>30</v>
      </c>
      <c r="I27" s="22" t="s">
        <v>70</v>
      </c>
      <c r="J27" s="22" t="s">
        <v>82</v>
      </c>
      <c r="K27" s="518" t="s">
        <v>812</v>
      </c>
      <c r="L27" s="521" t="s">
        <v>857</v>
      </c>
      <c r="M27" s="521" t="s">
        <v>858</v>
      </c>
      <c r="N27" s="521" t="s">
        <v>815</v>
      </c>
      <c r="O27" s="22" t="s">
        <v>47</v>
      </c>
      <c r="P27" s="426">
        <v>2019</v>
      </c>
      <c r="Q27" s="414">
        <f t="shared" ca="1" si="0"/>
        <v>-22659.07743245137</v>
      </c>
      <c r="R27" s="335" t="str">
        <f t="shared" ca="1" si="1"/>
        <v>N/A</v>
      </c>
      <c r="S27" s="335" t="str">
        <f t="shared" ca="1" si="2"/>
        <v>N/A</v>
      </c>
      <c r="T27" s="429" t="s">
        <v>59</v>
      </c>
      <c r="U27" s="22" t="str">
        <f>Definitions!C$7</f>
        <v>D.18-05-041: DAC = Bill accounts in census tracts corresponding to census tracts in the top quartile of CalEnviroScreen 3.0 scores.</v>
      </c>
      <c r="V27" s="24"/>
      <c r="W27" s="21"/>
      <c r="Y27" s="490"/>
    </row>
    <row r="28" spans="1:25" ht="45">
      <c r="A28" s="31">
        <v>25</v>
      </c>
      <c r="B28" s="22" t="s">
        <v>39</v>
      </c>
      <c r="C28" s="22" t="s">
        <v>50</v>
      </c>
      <c r="D28" s="22" t="s">
        <v>83</v>
      </c>
      <c r="E28" s="23" t="s">
        <v>84</v>
      </c>
      <c r="F28" s="22" t="s">
        <v>52</v>
      </c>
      <c r="G28" s="22" t="s">
        <v>85</v>
      </c>
      <c r="H28" s="22" t="s">
        <v>30</v>
      </c>
      <c r="I28" s="22" t="s">
        <v>86</v>
      </c>
      <c r="J28" s="22" t="s">
        <v>87</v>
      </c>
      <c r="K28" s="518" t="s">
        <v>812</v>
      </c>
      <c r="L28" s="521" t="s">
        <v>859</v>
      </c>
      <c r="M28" s="521" t="s">
        <v>860</v>
      </c>
      <c r="N28" s="521" t="s">
        <v>815</v>
      </c>
      <c r="O28" s="22" t="s">
        <v>47</v>
      </c>
      <c r="P28" s="426">
        <v>2019</v>
      </c>
      <c r="Q28" s="414">
        <f t="shared" ca="1" si="0"/>
        <v>214.51003992111239</v>
      </c>
      <c r="R28" s="335" t="str">
        <f t="shared" ca="1" si="1"/>
        <v>N/A</v>
      </c>
      <c r="S28" s="335" t="str">
        <f t="shared" ca="1" si="2"/>
        <v>N/A</v>
      </c>
      <c r="T28" s="429"/>
      <c r="U28" s="22"/>
      <c r="V28" s="24"/>
      <c r="W28" s="21"/>
      <c r="Y28" s="490"/>
    </row>
    <row r="29" spans="1:25" ht="45">
      <c r="A29" s="31">
        <v>26</v>
      </c>
      <c r="B29" s="22" t="s">
        <v>39</v>
      </c>
      <c r="C29" s="22" t="s">
        <v>50</v>
      </c>
      <c r="D29" s="22" t="s">
        <v>83</v>
      </c>
      <c r="E29" s="23" t="s">
        <v>84</v>
      </c>
      <c r="F29" s="22" t="s">
        <v>55</v>
      </c>
      <c r="G29" s="22" t="s">
        <v>85</v>
      </c>
      <c r="H29" s="22" t="s">
        <v>30</v>
      </c>
      <c r="I29" s="22" t="s">
        <v>86</v>
      </c>
      <c r="J29" s="22" t="s">
        <v>88</v>
      </c>
      <c r="K29" s="518" t="s">
        <v>812</v>
      </c>
      <c r="L29" s="521" t="s">
        <v>861</v>
      </c>
      <c r="M29" s="521" t="s">
        <v>862</v>
      </c>
      <c r="N29" s="521" t="s">
        <v>815</v>
      </c>
      <c r="O29" s="22" t="s">
        <v>47</v>
      </c>
      <c r="P29" s="426">
        <v>2019</v>
      </c>
      <c r="Q29" s="414">
        <f t="shared" ca="1" si="0"/>
        <v>193.05904104331938</v>
      </c>
      <c r="R29" s="335" t="str">
        <f t="shared" ca="1" si="1"/>
        <v>N/A</v>
      </c>
      <c r="S29" s="335" t="str">
        <f t="shared" ca="1" si="2"/>
        <v>N/A</v>
      </c>
      <c r="T29" s="429"/>
      <c r="U29" s="22"/>
      <c r="V29" s="24"/>
      <c r="W29" s="21"/>
      <c r="Y29" s="490"/>
    </row>
    <row r="30" spans="1:25" ht="45">
      <c r="A30" s="31">
        <v>27</v>
      </c>
      <c r="B30" s="22" t="s">
        <v>39</v>
      </c>
      <c r="C30" s="22" t="s">
        <v>50</v>
      </c>
      <c r="D30" s="22" t="s">
        <v>83</v>
      </c>
      <c r="E30" s="23" t="s">
        <v>84</v>
      </c>
      <c r="F30" s="22" t="s">
        <v>56</v>
      </c>
      <c r="G30" s="22" t="s">
        <v>85</v>
      </c>
      <c r="H30" s="22" t="s">
        <v>30</v>
      </c>
      <c r="I30" s="22" t="s">
        <v>86</v>
      </c>
      <c r="J30" s="22" t="s">
        <v>89</v>
      </c>
      <c r="K30" s="518" t="s">
        <v>812</v>
      </c>
      <c r="L30" s="521" t="s">
        <v>863</v>
      </c>
      <c r="M30" s="521" t="s">
        <v>864</v>
      </c>
      <c r="N30" s="521" t="s">
        <v>815</v>
      </c>
      <c r="O30" s="22" t="s">
        <v>47</v>
      </c>
      <c r="P30" s="426">
        <v>2019</v>
      </c>
      <c r="Q30" s="414">
        <f t="shared" ca="1" si="0"/>
        <v>768861.38582170778</v>
      </c>
      <c r="R30" s="335" t="str">
        <f t="shared" ca="1" si="1"/>
        <v>N/A</v>
      </c>
      <c r="S30" s="335" t="str">
        <f t="shared" ca="1" si="2"/>
        <v>N/A</v>
      </c>
      <c r="T30" s="429"/>
      <c r="U30" s="22"/>
      <c r="V30" s="24"/>
      <c r="W30" s="21"/>
      <c r="Y30" s="490"/>
    </row>
    <row r="31" spans="1:25" ht="45">
      <c r="A31" s="31">
        <v>28</v>
      </c>
      <c r="B31" s="22" t="s">
        <v>39</v>
      </c>
      <c r="C31" s="22" t="s">
        <v>50</v>
      </c>
      <c r="D31" s="22" t="s">
        <v>83</v>
      </c>
      <c r="E31" s="23" t="s">
        <v>84</v>
      </c>
      <c r="F31" s="22" t="s">
        <v>57</v>
      </c>
      <c r="G31" s="22" t="s">
        <v>85</v>
      </c>
      <c r="H31" s="22" t="s">
        <v>30</v>
      </c>
      <c r="I31" s="22" t="s">
        <v>86</v>
      </c>
      <c r="J31" s="22" t="s">
        <v>57</v>
      </c>
      <c r="K31" s="518" t="s">
        <v>812</v>
      </c>
      <c r="L31" s="521" t="s">
        <v>865</v>
      </c>
      <c r="M31" s="521" t="s">
        <v>866</v>
      </c>
      <c r="N31" s="521" t="s">
        <v>815</v>
      </c>
      <c r="O31" s="22" t="s">
        <v>47</v>
      </c>
      <c r="P31" s="426">
        <v>2019</v>
      </c>
      <c r="Q31" s="414">
        <f t="shared" ca="1" si="0"/>
        <v>691975.26557062077</v>
      </c>
      <c r="R31" s="335" t="str">
        <f t="shared" ca="1" si="1"/>
        <v>N/A</v>
      </c>
      <c r="S31" s="335" t="str">
        <f t="shared" ca="1" si="2"/>
        <v>N/A</v>
      </c>
      <c r="T31" s="429"/>
      <c r="U31" s="22"/>
      <c r="V31" s="24"/>
      <c r="W31" s="21"/>
      <c r="Y31" s="490"/>
    </row>
    <row r="32" spans="1:25" ht="90">
      <c r="A32" s="31">
        <v>29</v>
      </c>
      <c r="B32" s="22" t="s">
        <v>39</v>
      </c>
      <c r="C32" s="22" t="s">
        <v>50</v>
      </c>
      <c r="D32" s="22" t="s">
        <v>83</v>
      </c>
      <c r="E32" s="23" t="s">
        <v>84</v>
      </c>
      <c r="F32" s="22" t="s">
        <v>58</v>
      </c>
      <c r="G32" s="22" t="s">
        <v>85</v>
      </c>
      <c r="H32" s="22" t="s">
        <v>30</v>
      </c>
      <c r="I32" s="22" t="s">
        <v>86</v>
      </c>
      <c r="J32" s="22" t="s">
        <v>58</v>
      </c>
      <c r="K32" s="518" t="s">
        <v>812</v>
      </c>
      <c r="L32" s="521" t="s">
        <v>867</v>
      </c>
      <c r="M32" s="521" t="s">
        <v>868</v>
      </c>
      <c r="N32" s="521" t="s">
        <v>815</v>
      </c>
      <c r="O32" s="22" t="s">
        <v>47</v>
      </c>
      <c r="P32" s="426">
        <v>2019</v>
      </c>
      <c r="Q32" s="414">
        <f t="shared" ca="1" si="0"/>
        <v>-1506.3048092467031</v>
      </c>
      <c r="R32" s="335" t="str">
        <f t="shared" ca="1" si="1"/>
        <v>N/A</v>
      </c>
      <c r="S32" s="335" t="str">
        <f t="shared" ca="1" si="2"/>
        <v>N/A</v>
      </c>
      <c r="T32" s="429" t="s">
        <v>59</v>
      </c>
      <c r="U32"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2" s="24"/>
      <c r="W32" s="21"/>
      <c r="Y32" s="490"/>
    </row>
    <row r="33" spans="1:25" ht="90">
      <c r="A33" s="31">
        <v>30</v>
      </c>
      <c r="B33" s="22" t="s">
        <v>39</v>
      </c>
      <c r="C33" s="22" t="s">
        <v>50</v>
      </c>
      <c r="D33" s="22" t="s">
        <v>83</v>
      </c>
      <c r="E33" s="23" t="s">
        <v>84</v>
      </c>
      <c r="F33" s="22" t="s">
        <v>60</v>
      </c>
      <c r="G33" s="22" t="s">
        <v>85</v>
      </c>
      <c r="H33" s="22" t="s">
        <v>30</v>
      </c>
      <c r="I33" s="22" t="s">
        <v>86</v>
      </c>
      <c r="J33" s="22" t="s">
        <v>60</v>
      </c>
      <c r="K33" s="518" t="s">
        <v>812</v>
      </c>
      <c r="L33" s="521" t="s">
        <v>869</v>
      </c>
      <c r="M33" s="521" t="s">
        <v>870</v>
      </c>
      <c r="N33" s="521" t="s">
        <v>815</v>
      </c>
      <c r="O33" s="22" t="s">
        <v>47</v>
      </c>
      <c r="P33" s="426">
        <v>2019</v>
      </c>
      <c r="Q33" s="414">
        <f t="shared" ca="1" si="0"/>
        <v>-1355.6743642351378</v>
      </c>
      <c r="R33" s="335" t="str">
        <f t="shared" ca="1" si="1"/>
        <v>N/A</v>
      </c>
      <c r="S33" s="335" t="str">
        <f t="shared" ca="1" si="2"/>
        <v>N/A</v>
      </c>
      <c r="T33" s="429" t="s">
        <v>59</v>
      </c>
      <c r="U3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3" s="24"/>
      <c r="W33" s="21"/>
      <c r="Y33" s="490"/>
    </row>
    <row r="34" spans="1:25" ht="45">
      <c r="A34" s="31">
        <v>31</v>
      </c>
      <c r="B34" s="22" t="s">
        <v>39</v>
      </c>
      <c r="C34" s="22" t="s">
        <v>50</v>
      </c>
      <c r="D34" s="22" t="s">
        <v>83</v>
      </c>
      <c r="E34" s="23" t="s">
        <v>84</v>
      </c>
      <c r="F34" s="22" t="s">
        <v>61</v>
      </c>
      <c r="G34" s="22" t="s">
        <v>85</v>
      </c>
      <c r="H34" s="22" t="s">
        <v>30</v>
      </c>
      <c r="I34" s="22" t="s">
        <v>86</v>
      </c>
      <c r="J34" s="22" t="s">
        <v>61</v>
      </c>
      <c r="K34" s="518" t="s">
        <v>812</v>
      </c>
      <c r="L34" s="521" t="s">
        <v>871</v>
      </c>
      <c r="M34" s="521" t="s">
        <v>872</v>
      </c>
      <c r="N34" s="521" t="s">
        <v>815</v>
      </c>
      <c r="O34" s="22" t="s">
        <v>47</v>
      </c>
      <c r="P34" s="426">
        <v>2019</v>
      </c>
      <c r="Q34" s="414">
        <f t="shared" ca="1" si="0"/>
        <v>1142.0903837244618</v>
      </c>
      <c r="R34" s="335" t="str">
        <f t="shared" ca="1" si="1"/>
        <v>N/A</v>
      </c>
      <c r="S34" s="335" t="str">
        <f t="shared" ca="1" si="2"/>
        <v>N/A</v>
      </c>
      <c r="T34" s="429"/>
      <c r="U34" s="22"/>
      <c r="V34" s="24"/>
      <c r="W34" s="21"/>
      <c r="Y34" s="490"/>
    </row>
    <row r="35" spans="1:25" ht="45">
      <c r="A35" s="31">
        <v>32</v>
      </c>
      <c r="B35" s="22" t="s">
        <v>39</v>
      </c>
      <c r="C35" s="22" t="s">
        <v>50</v>
      </c>
      <c r="D35" s="22" t="s">
        <v>83</v>
      </c>
      <c r="E35" s="23" t="s">
        <v>84</v>
      </c>
      <c r="F35" s="22" t="s">
        <v>62</v>
      </c>
      <c r="G35" s="22" t="s">
        <v>85</v>
      </c>
      <c r="H35" s="22" t="s">
        <v>30</v>
      </c>
      <c r="I35" s="22" t="s">
        <v>86</v>
      </c>
      <c r="J35" s="22" t="s">
        <v>62</v>
      </c>
      <c r="K35" s="518" t="s">
        <v>812</v>
      </c>
      <c r="L35" s="521" t="s">
        <v>873</v>
      </c>
      <c r="M35" s="521" t="s">
        <v>874</v>
      </c>
      <c r="N35" s="521" t="s">
        <v>815</v>
      </c>
      <c r="O35" s="22" t="s">
        <v>47</v>
      </c>
      <c r="P35" s="426">
        <v>2019</v>
      </c>
      <c r="Q35" s="414">
        <f t="shared" ca="1" si="0"/>
        <v>1027.8813725815721</v>
      </c>
      <c r="R35" s="335" t="str">
        <f t="shared" ca="1" si="1"/>
        <v>N/A</v>
      </c>
      <c r="S35" s="335" t="str">
        <f t="shared" ca="1" si="2"/>
        <v>N/A</v>
      </c>
      <c r="T35" s="429"/>
      <c r="U35" s="22"/>
      <c r="V35" s="24"/>
      <c r="W35" s="21"/>
      <c r="Y35" s="490"/>
    </row>
    <row r="36" spans="1:25" ht="45">
      <c r="A36" s="31">
        <v>33</v>
      </c>
      <c r="B36" s="22" t="s">
        <v>39</v>
      </c>
      <c r="C36" s="22" t="s">
        <v>50</v>
      </c>
      <c r="D36" s="22" t="s">
        <v>83</v>
      </c>
      <c r="E36" s="23" t="s">
        <v>84</v>
      </c>
      <c r="F36" s="22" t="s">
        <v>63</v>
      </c>
      <c r="G36" s="22" t="s">
        <v>85</v>
      </c>
      <c r="H36" s="22" t="s">
        <v>30</v>
      </c>
      <c r="I36" s="22" t="s">
        <v>86</v>
      </c>
      <c r="J36" s="22" t="s">
        <v>63</v>
      </c>
      <c r="K36" s="518" t="s">
        <v>812</v>
      </c>
      <c r="L36" s="521" t="s">
        <v>875</v>
      </c>
      <c r="M36" s="521" t="s">
        <v>876</v>
      </c>
      <c r="N36" s="521" t="s">
        <v>815</v>
      </c>
      <c r="O36" s="22" t="s">
        <v>47</v>
      </c>
      <c r="P36" s="426">
        <v>2019</v>
      </c>
      <c r="Q36" s="414">
        <f t="shared" ca="1" si="0"/>
        <v>4241739.1991328923</v>
      </c>
      <c r="R36" s="335" t="str">
        <f t="shared" ca="1" si="1"/>
        <v>N/A</v>
      </c>
      <c r="S36" s="335" t="str">
        <f t="shared" ca="1" si="2"/>
        <v>N/A</v>
      </c>
      <c r="T36" s="429"/>
      <c r="U36" s="22"/>
      <c r="V36" s="24"/>
      <c r="W36" s="21"/>
      <c r="Y36" s="490"/>
    </row>
    <row r="37" spans="1:25" ht="45">
      <c r="A37" s="31">
        <v>34</v>
      </c>
      <c r="B37" s="22" t="s">
        <v>39</v>
      </c>
      <c r="C37" s="22" t="s">
        <v>50</v>
      </c>
      <c r="D37" s="22" t="s">
        <v>83</v>
      </c>
      <c r="E37" s="23" t="s">
        <v>84</v>
      </c>
      <c r="F37" s="22" t="s">
        <v>64</v>
      </c>
      <c r="G37" s="22" t="s">
        <v>85</v>
      </c>
      <c r="H37" s="22" t="s">
        <v>30</v>
      </c>
      <c r="I37" s="22" t="s">
        <v>86</v>
      </c>
      <c r="J37" s="22" t="s">
        <v>64</v>
      </c>
      <c r="K37" s="518" t="s">
        <v>812</v>
      </c>
      <c r="L37" s="521" t="s">
        <v>877</v>
      </c>
      <c r="M37" s="521" t="s">
        <v>878</v>
      </c>
      <c r="N37" s="521" t="s">
        <v>815</v>
      </c>
      <c r="O37" s="22" t="s">
        <v>47</v>
      </c>
      <c r="P37" s="426">
        <v>2019</v>
      </c>
      <c r="Q37" s="414">
        <f t="shared" ca="1" si="0"/>
        <v>3817565.380350546</v>
      </c>
      <c r="R37" s="335" t="str">
        <f t="shared" ca="1" si="1"/>
        <v>N/A</v>
      </c>
      <c r="S37" s="335" t="str">
        <f t="shared" ca="1" si="2"/>
        <v>N/A</v>
      </c>
      <c r="T37" s="429"/>
      <c r="U37" s="22"/>
      <c r="V37" s="24"/>
      <c r="W37" s="21"/>
      <c r="Y37" s="490"/>
    </row>
    <row r="38" spans="1:25" ht="90">
      <c r="A38" s="31">
        <v>35</v>
      </c>
      <c r="B38" s="22" t="s">
        <v>39</v>
      </c>
      <c r="C38" s="22" t="s">
        <v>50</v>
      </c>
      <c r="D38" s="22" t="s">
        <v>83</v>
      </c>
      <c r="E38" s="23" t="s">
        <v>84</v>
      </c>
      <c r="F38" s="22" t="s">
        <v>65</v>
      </c>
      <c r="G38" s="22" t="s">
        <v>85</v>
      </c>
      <c r="H38" s="22" t="s">
        <v>30</v>
      </c>
      <c r="I38" s="22" t="s">
        <v>86</v>
      </c>
      <c r="J38" s="22" t="s">
        <v>65</v>
      </c>
      <c r="K38" s="518" t="s">
        <v>812</v>
      </c>
      <c r="L38" s="521" t="s">
        <v>879</v>
      </c>
      <c r="M38" s="521" t="s">
        <v>880</v>
      </c>
      <c r="N38" s="521" t="s">
        <v>815</v>
      </c>
      <c r="O38" s="22" t="s">
        <v>47</v>
      </c>
      <c r="P38" s="426">
        <v>2019</v>
      </c>
      <c r="Q38" s="414">
        <f t="shared" ca="1" si="0"/>
        <v>9607.369357042222</v>
      </c>
      <c r="R38" s="335" t="str">
        <f t="shared" ca="1" si="1"/>
        <v>N/A</v>
      </c>
      <c r="S38" s="335" t="str">
        <f t="shared" ca="1" si="2"/>
        <v>N/A</v>
      </c>
      <c r="T38" s="429" t="s">
        <v>59</v>
      </c>
      <c r="U38"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8" s="24"/>
      <c r="W38" s="21"/>
      <c r="Y38" s="490"/>
    </row>
    <row r="39" spans="1:25" ht="90">
      <c r="A39" s="31">
        <v>36</v>
      </c>
      <c r="B39" s="22" t="s">
        <v>39</v>
      </c>
      <c r="C39" s="22" t="s">
        <v>50</v>
      </c>
      <c r="D39" s="22" t="s">
        <v>83</v>
      </c>
      <c r="E39" s="23" t="s">
        <v>84</v>
      </c>
      <c r="F39" s="22" t="s">
        <v>66</v>
      </c>
      <c r="G39" s="22" t="s">
        <v>85</v>
      </c>
      <c r="H39" s="22" t="s">
        <v>30</v>
      </c>
      <c r="I39" s="22" t="s">
        <v>86</v>
      </c>
      <c r="J39" s="22" t="s">
        <v>66</v>
      </c>
      <c r="K39" s="518" t="s">
        <v>812</v>
      </c>
      <c r="L39" s="521" t="s">
        <v>881</v>
      </c>
      <c r="M39" s="521" t="s">
        <v>882</v>
      </c>
      <c r="N39" s="521" t="s">
        <v>815</v>
      </c>
      <c r="O39" s="22" t="s">
        <v>47</v>
      </c>
      <c r="P39" s="426">
        <v>2019</v>
      </c>
      <c r="Q39" s="414">
        <f t="shared" ca="1" si="0"/>
        <v>8646.6326503955333</v>
      </c>
      <c r="R39" s="335" t="str">
        <f t="shared" ca="1" si="1"/>
        <v>N/A</v>
      </c>
      <c r="S39" s="335" t="str">
        <f t="shared" ca="1" si="2"/>
        <v>N/A</v>
      </c>
      <c r="T39" s="429" t="s">
        <v>59</v>
      </c>
      <c r="U39"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39" s="24"/>
      <c r="W39" s="21"/>
      <c r="Y39" s="490"/>
    </row>
    <row r="40" spans="1:25" ht="30">
      <c r="A40" s="31">
        <v>37</v>
      </c>
      <c r="B40" s="22" t="s">
        <v>39</v>
      </c>
      <c r="C40" s="22" t="s">
        <v>50</v>
      </c>
      <c r="D40" s="22" t="s">
        <v>90</v>
      </c>
      <c r="E40" s="23" t="s">
        <v>91</v>
      </c>
      <c r="F40" s="22" t="s">
        <v>92</v>
      </c>
      <c r="G40" s="22" t="s">
        <v>93</v>
      </c>
      <c r="H40" s="22" t="s">
        <v>30</v>
      </c>
      <c r="I40" s="22" t="s">
        <v>94</v>
      </c>
      <c r="J40" s="22" t="s">
        <v>92</v>
      </c>
      <c r="K40" s="518" t="s">
        <v>812</v>
      </c>
      <c r="L40" s="521" t="s">
        <v>883</v>
      </c>
      <c r="M40" s="521" t="s">
        <v>884</v>
      </c>
      <c r="N40" s="521" t="s">
        <v>885</v>
      </c>
      <c r="O40" s="22" t="s">
        <v>47</v>
      </c>
      <c r="P40" s="426">
        <v>2019</v>
      </c>
      <c r="Q40" s="414">
        <f t="shared" ca="1" si="0"/>
        <v>442.41093104497247</v>
      </c>
      <c r="R40" s="335">
        <f t="shared" ca="1" si="1"/>
        <v>0</v>
      </c>
      <c r="S40" s="335">
        <f t="shared" ca="1" si="2"/>
        <v>0</v>
      </c>
      <c r="T40" s="429"/>
      <c r="U40" s="22"/>
      <c r="V40" s="24"/>
      <c r="W40" s="21"/>
      <c r="Y40" s="490"/>
    </row>
    <row r="41" spans="1:25" ht="30">
      <c r="A41" s="31">
        <v>38</v>
      </c>
      <c r="B41" s="22" t="s">
        <v>39</v>
      </c>
      <c r="C41" s="22" t="s">
        <v>50</v>
      </c>
      <c r="D41" s="22" t="s">
        <v>90</v>
      </c>
      <c r="E41" s="23" t="s">
        <v>91</v>
      </c>
      <c r="F41" s="22" t="s">
        <v>95</v>
      </c>
      <c r="G41" s="22" t="s">
        <v>93</v>
      </c>
      <c r="H41" s="22" t="s">
        <v>30</v>
      </c>
      <c r="I41" s="22" t="s">
        <v>94</v>
      </c>
      <c r="J41" s="22" t="s">
        <v>95</v>
      </c>
      <c r="K41" s="518" t="s">
        <v>812</v>
      </c>
      <c r="L41" s="521" t="s">
        <v>886</v>
      </c>
      <c r="M41" s="521" t="s">
        <v>887</v>
      </c>
      <c r="N41" s="521" t="s">
        <v>885</v>
      </c>
      <c r="O41" s="22" t="s">
        <v>47</v>
      </c>
      <c r="P41" s="426">
        <v>2019</v>
      </c>
      <c r="Q41" s="414">
        <f t="shared" ca="1" si="0"/>
        <v>0.12039327439739812</v>
      </c>
      <c r="R41" s="335">
        <f t="shared" ca="1" si="1"/>
        <v>0</v>
      </c>
      <c r="S41" s="335">
        <f t="shared" ca="1" si="2"/>
        <v>0</v>
      </c>
      <c r="T41" s="429"/>
      <c r="U41" s="22"/>
      <c r="V41" s="24"/>
      <c r="W41" s="21"/>
      <c r="Y41" s="490"/>
    </row>
    <row r="42" spans="1:25" ht="30">
      <c r="A42" s="31">
        <v>39</v>
      </c>
      <c r="B42" s="22" t="s">
        <v>39</v>
      </c>
      <c r="C42" s="22" t="s">
        <v>50</v>
      </c>
      <c r="D42" s="22" t="s">
        <v>90</v>
      </c>
      <c r="E42" s="23" t="s">
        <v>91</v>
      </c>
      <c r="F42" s="22" t="s">
        <v>96</v>
      </c>
      <c r="G42" s="22" t="s">
        <v>93</v>
      </c>
      <c r="H42" s="22" t="s">
        <v>30</v>
      </c>
      <c r="I42" s="22" t="s">
        <v>94</v>
      </c>
      <c r="J42" s="22" t="s">
        <v>96</v>
      </c>
      <c r="K42" s="518" t="s">
        <v>812</v>
      </c>
      <c r="L42" s="521" t="s">
        <v>888</v>
      </c>
      <c r="M42" s="521" t="s">
        <v>889</v>
      </c>
      <c r="N42" s="521" t="s">
        <v>885</v>
      </c>
      <c r="O42" s="22" t="s">
        <v>47</v>
      </c>
      <c r="P42" s="426">
        <v>2019</v>
      </c>
      <c r="Q42" s="414">
        <f t="shared" ca="1" si="0"/>
        <v>1.06881631989195</v>
      </c>
      <c r="R42" s="335">
        <f t="shared" ca="1" si="1"/>
        <v>0</v>
      </c>
      <c r="S42" s="335">
        <f t="shared" ca="1" si="2"/>
        <v>0</v>
      </c>
      <c r="T42" s="429" t="s">
        <v>48</v>
      </c>
      <c r="U42" s="22" t="s">
        <v>49</v>
      </c>
      <c r="V42" s="24"/>
      <c r="W42" s="21"/>
      <c r="Y42" s="490"/>
    </row>
    <row r="43" spans="1:25" ht="30">
      <c r="A43" s="31">
        <v>40</v>
      </c>
      <c r="B43" s="22" t="s">
        <v>39</v>
      </c>
      <c r="C43" s="22" t="s">
        <v>50</v>
      </c>
      <c r="D43" s="22" t="s">
        <v>90</v>
      </c>
      <c r="E43" s="23" t="s">
        <v>91</v>
      </c>
      <c r="F43" s="22" t="s">
        <v>97</v>
      </c>
      <c r="G43" s="22" t="s">
        <v>93</v>
      </c>
      <c r="H43" s="22" t="s">
        <v>30</v>
      </c>
      <c r="I43" s="22" t="s">
        <v>94</v>
      </c>
      <c r="J43" s="22" t="s">
        <v>97</v>
      </c>
      <c r="K43" s="518" t="s">
        <v>812</v>
      </c>
      <c r="L43" s="521" t="s">
        <v>890</v>
      </c>
      <c r="M43" s="521" t="s">
        <v>891</v>
      </c>
      <c r="N43" s="521" t="s">
        <v>885</v>
      </c>
      <c r="O43" s="22" t="s">
        <v>47</v>
      </c>
      <c r="P43" s="426">
        <v>2019</v>
      </c>
      <c r="Q43" s="414">
        <f t="shared" ca="1" si="0"/>
        <v>538.62799204923965</v>
      </c>
      <c r="R43" s="335">
        <f t="shared" ca="1" si="1"/>
        <v>0</v>
      </c>
      <c r="S43" s="335">
        <f t="shared" ca="1" si="2"/>
        <v>0</v>
      </c>
      <c r="T43" s="429"/>
      <c r="U43" s="22"/>
      <c r="V43" s="24"/>
      <c r="W43" s="21"/>
      <c r="Y43" s="490"/>
    </row>
    <row r="44" spans="1:25" ht="30">
      <c r="A44" s="31">
        <v>41</v>
      </c>
      <c r="B44" s="22" t="s">
        <v>39</v>
      </c>
      <c r="C44" s="22" t="s">
        <v>50</v>
      </c>
      <c r="D44" s="22" t="s">
        <v>90</v>
      </c>
      <c r="E44" s="23" t="s">
        <v>91</v>
      </c>
      <c r="F44" s="22" t="s">
        <v>98</v>
      </c>
      <c r="G44" s="22" t="s">
        <v>93</v>
      </c>
      <c r="H44" s="22" t="s">
        <v>30</v>
      </c>
      <c r="I44" s="22" t="s">
        <v>94</v>
      </c>
      <c r="J44" s="22" t="s">
        <v>98</v>
      </c>
      <c r="K44" s="518" t="s">
        <v>812</v>
      </c>
      <c r="L44" s="521" t="s">
        <v>892</v>
      </c>
      <c r="M44" s="521" t="s">
        <v>893</v>
      </c>
      <c r="N44" s="521" t="s">
        <v>885</v>
      </c>
      <c r="O44" s="22" t="s">
        <v>47</v>
      </c>
      <c r="P44" s="426">
        <v>2019</v>
      </c>
      <c r="Q44" s="414">
        <f t="shared" ca="1" si="0"/>
        <v>0.14657682054043045</v>
      </c>
      <c r="R44" s="335">
        <f t="shared" ca="1" si="1"/>
        <v>0</v>
      </c>
      <c r="S44" s="335">
        <f t="shared" ca="1" si="2"/>
        <v>0</v>
      </c>
      <c r="T44" s="429"/>
      <c r="U44" s="22"/>
      <c r="V44" s="24"/>
      <c r="W44" s="21"/>
      <c r="Y44" s="490"/>
    </row>
    <row r="45" spans="1:25" ht="30">
      <c r="A45" s="31">
        <v>42</v>
      </c>
      <c r="B45" s="22" t="s">
        <v>39</v>
      </c>
      <c r="C45" s="22" t="s">
        <v>50</v>
      </c>
      <c r="D45" s="22" t="s">
        <v>90</v>
      </c>
      <c r="E45" s="23" t="s">
        <v>91</v>
      </c>
      <c r="F45" s="22" t="s">
        <v>99</v>
      </c>
      <c r="G45" s="22" t="s">
        <v>93</v>
      </c>
      <c r="H45" s="22" t="s">
        <v>30</v>
      </c>
      <c r="I45" s="22" t="s">
        <v>94</v>
      </c>
      <c r="J45" s="22" t="s">
        <v>99</v>
      </c>
      <c r="K45" s="518" t="s">
        <v>812</v>
      </c>
      <c r="L45" s="521" t="s">
        <v>894</v>
      </c>
      <c r="M45" s="521" t="s">
        <v>895</v>
      </c>
      <c r="N45" s="521" t="s">
        <v>885</v>
      </c>
      <c r="O45" s="22" t="s">
        <v>47</v>
      </c>
      <c r="P45" s="426">
        <v>2019</v>
      </c>
      <c r="Q45" s="414">
        <f t="shared" ca="1" si="0"/>
        <v>1.3012661936111558</v>
      </c>
      <c r="R45" s="335">
        <f t="shared" ca="1" si="1"/>
        <v>0</v>
      </c>
      <c r="S45" s="335">
        <f t="shared" ca="1" si="2"/>
        <v>0</v>
      </c>
      <c r="T45" s="429" t="s">
        <v>48</v>
      </c>
      <c r="U45" s="22" t="s">
        <v>49</v>
      </c>
      <c r="V45" s="24"/>
      <c r="W45" s="21"/>
      <c r="Y45" s="490"/>
    </row>
    <row r="46" spans="1:25" ht="45">
      <c r="A46" s="31">
        <v>43</v>
      </c>
      <c r="B46" s="22" t="s">
        <v>39</v>
      </c>
      <c r="C46" s="22" t="s">
        <v>50</v>
      </c>
      <c r="D46" s="22" t="s">
        <v>100</v>
      </c>
      <c r="E46" s="23" t="s">
        <v>51</v>
      </c>
      <c r="F46" s="22" t="s">
        <v>52</v>
      </c>
      <c r="G46" s="22" t="s">
        <v>53</v>
      </c>
      <c r="H46" s="22" t="s">
        <v>30</v>
      </c>
      <c r="I46" s="22" t="s">
        <v>101</v>
      </c>
      <c r="J46" s="22" t="s">
        <v>52</v>
      </c>
      <c r="K46" s="519" t="s">
        <v>896</v>
      </c>
      <c r="L46" s="521" t="s">
        <v>897</v>
      </c>
      <c r="M46" s="521" t="s">
        <v>898</v>
      </c>
      <c r="N46" s="521" t="s">
        <v>815</v>
      </c>
      <c r="O46" s="22" t="s">
        <v>102</v>
      </c>
      <c r="P46" s="426">
        <v>2019</v>
      </c>
      <c r="Q46" s="414">
        <f t="shared" ca="1" si="0"/>
        <v>111.749128412769</v>
      </c>
      <c r="R46" s="335" t="str">
        <f t="shared" ca="1" si="1"/>
        <v>N/A</v>
      </c>
      <c r="S46" s="335" t="str">
        <f t="shared" ca="1" si="2"/>
        <v>N/A</v>
      </c>
      <c r="T46" s="429" t="s">
        <v>899</v>
      </c>
      <c r="U46" s="22"/>
      <c r="V46" s="24"/>
      <c r="W46" s="21"/>
      <c r="Y46" s="490"/>
    </row>
    <row r="47" spans="1:25" ht="45">
      <c r="A47" s="31">
        <v>44</v>
      </c>
      <c r="B47" s="22" t="s">
        <v>39</v>
      </c>
      <c r="C47" s="22" t="s">
        <v>50</v>
      </c>
      <c r="D47" s="22" t="s">
        <v>100</v>
      </c>
      <c r="E47" s="23" t="s">
        <v>51</v>
      </c>
      <c r="F47" s="22" t="s">
        <v>55</v>
      </c>
      <c r="G47" s="22" t="s">
        <v>53</v>
      </c>
      <c r="H47" s="22" t="s">
        <v>30</v>
      </c>
      <c r="I47" s="22" t="s">
        <v>101</v>
      </c>
      <c r="J47" s="22" t="s">
        <v>55</v>
      </c>
      <c r="K47" s="519" t="s">
        <v>896</v>
      </c>
      <c r="L47" s="521" t="s">
        <v>900</v>
      </c>
      <c r="M47" s="521" t="s">
        <v>901</v>
      </c>
      <c r="N47" s="521" t="s">
        <v>815</v>
      </c>
      <c r="O47" s="22" t="s">
        <v>102</v>
      </c>
      <c r="P47" s="426">
        <v>2019</v>
      </c>
      <c r="Q47" s="414">
        <f t="shared" ca="1" si="0"/>
        <v>74.695319897478598</v>
      </c>
      <c r="R47" s="335" t="str">
        <f t="shared" ca="1" si="1"/>
        <v>N/A</v>
      </c>
      <c r="S47" s="335" t="str">
        <f t="shared" ca="1" si="2"/>
        <v>N/A</v>
      </c>
      <c r="T47" s="429" t="s">
        <v>899</v>
      </c>
      <c r="U47" s="22"/>
      <c r="V47" s="24"/>
      <c r="W47" s="21"/>
      <c r="Y47" s="490"/>
    </row>
    <row r="48" spans="1:25" ht="45">
      <c r="A48" s="31">
        <v>45</v>
      </c>
      <c r="B48" s="22" t="s">
        <v>39</v>
      </c>
      <c r="C48" s="22" t="s">
        <v>50</v>
      </c>
      <c r="D48" s="22" t="s">
        <v>100</v>
      </c>
      <c r="E48" s="23" t="s">
        <v>51</v>
      </c>
      <c r="F48" s="22" t="s">
        <v>56</v>
      </c>
      <c r="G48" s="22" t="s">
        <v>53</v>
      </c>
      <c r="H48" s="22" t="s">
        <v>30</v>
      </c>
      <c r="I48" s="22" t="s">
        <v>101</v>
      </c>
      <c r="J48" s="22" t="s">
        <v>56</v>
      </c>
      <c r="K48" s="519" t="s">
        <v>896</v>
      </c>
      <c r="L48" s="521" t="s">
        <v>902</v>
      </c>
      <c r="M48" s="521" t="s">
        <v>903</v>
      </c>
      <c r="N48" s="521" t="s">
        <v>815</v>
      </c>
      <c r="O48" s="22" t="s">
        <v>102</v>
      </c>
      <c r="P48" s="426">
        <v>2019</v>
      </c>
      <c r="Q48" s="414">
        <f t="shared" ca="1" si="0"/>
        <v>1032489.93762617</v>
      </c>
      <c r="R48" s="335" t="str">
        <f t="shared" ca="1" si="1"/>
        <v>N/A</v>
      </c>
      <c r="S48" s="335" t="str">
        <f t="shared" ca="1" si="2"/>
        <v>N/A</v>
      </c>
      <c r="T48" s="429" t="s">
        <v>899</v>
      </c>
      <c r="U48" s="22"/>
      <c r="V48" s="24"/>
      <c r="W48" s="21"/>
      <c r="Y48" s="490"/>
    </row>
    <row r="49" spans="1:25" ht="45">
      <c r="A49" s="31">
        <v>46</v>
      </c>
      <c r="B49" s="22" t="s">
        <v>39</v>
      </c>
      <c r="C49" s="22" t="s">
        <v>50</v>
      </c>
      <c r="D49" s="22" t="s">
        <v>100</v>
      </c>
      <c r="E49" s="23" t="s">
        <v>51</v>
      </c>
      <c r="F49" s="22" t="s">
        <v>57</v>
      </c>
      <c r="G49" s="22" t="s">
        <v>53</v>
      </c>
      <c r="H49" s="22" t="s">
        <v>30</v>
      </c>
      <c r="I49" s="22" t="s">
        <v>101</v>
      </c>
      <c r="J49" s="22" t="s">
        <v>57</v>
      </c>
      <c r="K49" s="519" t="s">
        <v>896</v>
      </c>
      <c r="L49" s="521" t="s">
        <v>904</v>
      </c>
      <c r="M49" s="521" t="s">
        <v>905</v>
      </c>
      <c r="N49" s="521" t="s">
        <v>815</v>
      </c>
      <c r="O49" s="22" t="s">
        <v>102</v>
      </c>
      <c r="P49" s="426">
        <v>2019</v>
      </c>
      <c r="Q49" s="414">
        <f t="shared" ca="1" si="0"/>
        <v>624041.56883064599</v>
      </c>
      <c r="R49" s="335" t="str">
        <f t="shared" ca="1" si="1"/>
        <v>N/A</v>
      </c>
      <c r="S49" s="335" t="str">
        <f t="shared" ca="1" si="2"/>
        <v>N/A</v>
      </c>
      <c r="T49" s="429" t="s">
        <v>899</v>
      </c>
      <c r="U49" s="22"/>
      <c r="V49" s="24"/>
      <c r="W49" s="21"/>
      <c r="Y49" s="490"/>
    </row>
    <row r="50" spans="1:25" ht="45">
      <c r="A50" s="31">
        <v>47</v>
      </c>
      <c r="B50" s="22" t="s">
        <v>39</v>
      </c>
      <c r="C50" s="22" t="s">
        <v>50</v>
      </c>
      <c r="D50" s="22" t="s">
        <v>100</v>
      </c>
      <c r="E50" s="23" t="s">
        <v>51</v>
      </c>
      <c r="F50" s="22" t="s">
        <v>58</v>
      </c>
      <c r="G50" s="22" t="s">
        <v>53</v>
      </c>
      <c r="H50" s="22" t="s">
        <v>30</v>
      </c>
      <c r="I50" s="22" t="s">
        <v>101</v>
      </c>
      <c r="J50" s="22" t="s">
        <v>58</v>
      </c>
      <c r="K50" s="519" t="s">
        <v>896</v>
      </c>
      <c r="L50" s="521" t="s">
        <v>906</v>
      </c>
      <c r="M50" s="521" t="s">
        <v>907</v>
      </c>
      <c r="N50" s="521" t="s">
        <v>815</v>
      </c>
      <c r="O50" s="22" t="s">
        <v>102</v>
      </c>
      <c r="P50" s="426">
        <v>2019</v>
      </c>
      <c r="Q50" s="414">
        <f t="shared" ca="1" si="0"/>
        <v>67210.402317334898</v>
      </c>
      <c r="R50" s="335" t="str">
        <f t="shared" ca="1" si="1"/>
        <v>N/A</v>
      </c>
      <c r="S50" s="335" t="str">
        <f t="shared" ca="1" si="2"/>
        <v>N/A</v>
      </c>
      <c r="T50" s="429" t="s">
        <v>899</v>
      </c>
      <c r="U50" s="22" t="s">
        <v>49</v>
      </c>
      <c r="V50" s="24"/>
      <c r="W50" s="21"/>
      <c r="Y50" s="490"/>
    </row>
    <row r="51" spans="1:25" ht="45">
      <c r="A51" s="31">
        <v>48</v>
      </c>
      <c r="B51" s="22" t="s">
        <v>39</v>
      </c>
      <c r="C51" s="22" t="s">
        <v>50</v>
      </c>
      <c r="D51" s="22" t="s">
        <v>100</v>
      </c>
      <c r="E51" s="23" t="s">
        <v>51</v>
      </c>
      <c r="F51" s="22" t="s">
        <v>60</v>
      </c>
      <c r="G51" s="22" t="s">
        <v>53</v>
      </c>
      <c r="H51" s="22" t="s">
        <v>30</v>
      </c>
      <c r="I51" s="22" t="s">
        <v>101</v>
      </c>
      <c r="J51" s="22" t="s">
        <v>60</v>
      </c>
      <c r="K51" s="519" t="s">
        <v>896</v>
      </c>
      <c r="L51" s="521" t="s">
        <v>908</v>
      </c>
      <c r="M51" s="521" t="s">
        <v>909</v>
      </c>
      <c r="N51" s="521" t="s">
        <v>815</v>
      </c>
      <c r="O51" s="22" t="s">
        <v>102</v>
      </c>
      <c r="P51" s="426">
        <v>2019</v>
      </c>
      <c r="Q51" s="414">
        <f t="shared" ca="1" si="0"/>
        <v>38763.076341592903</v>
      </c>
      <c r="R51" s="335" t="str">
        <f t="shared" ca="1" si="1"/>
        <v>N/A</v>
      </c>
      <c r="S51" s="335" t="str">
        <f t="shared" ca="1" si="2"/>
        <v>N/A</v>
      </c>
      <c r="T51" s="429" t="s">
        <v>899</v>
      </c>
      <c r="U51" s="22" t="s">
        <v>49</v>
      </c>
      <c r="V51" s="24"/>
      <c r="W51" s="21"/>
      <c r="Y51" s="490"/>
    </row>
    <row r="52" spans="1:25" ht="45">
      <c r="A52" s="31">
        <v>49</v>
      </c>
      <c r="B52" s="22" t="s">
        <v>39</v>
      </c>
      <c r="C52" s="22" t="s">
        <v>50</v>
      </c>
      <c r="D52" s="22" t="s">
        <v>100</v>
      </c>
      <c r="E52" s="23" t="s">
        <v>51</v>
      </c>
      <c r="F52" s="22" t="s">
        <v>61</v>
      </c>
      <c r="G52" s="22" t="s">
        <v>53</v>
      </c>
      <c r="H52" s="22" t="s">
        <v>30</v>
      </c>
      <c r="I52" s="22" t="s">
        <v>101</v>
      </c>
      <c r="J52" s="22" t="s">
        <v>61</v>
      </c>
      <c r="K52" s="519" t="s">
        <v>896</v>
      </c>
      <c r="L52" s="521" t="s">
        <v>910</v>
      </c>
      <c r="M52" s="521" t="s">
        <v>911</v>
      </c>
      <c r="N52" s="521" t="s">
        <v>815</v>
      </c>
      <c r="O52" s="22" t="s">
        <v>102</v>
      </c>
      <c r="P52" s="426">
        <v>2019</v>
      </c>
      <c r="Q52" s="414">
        <f t="shared" ca="1" si="0"/>
        <v>1260.8270398638001</v>
      </c>
      <c r="R52" s="335" t="str">
        <f t="shared" ca="1" si="1"/>
        <v>N/A</v>
      </c>
      <c r="S52" s="335" t="str">
        <f t="shared" ca="1" si="2"/>
        <v>N/A</v>
      </c>
      <c r="T52" s="429" t="s">
        <v>899</v>
      </c>
      <c r="U52" s="22"/>
      <c r="V52" s="24"/>
      <c r="W52" s="21"/>
      <c r="Y52" s="490"/>
    </row>
    <row r="53" spans="1:25" ht="45">
      <c r="A53" s="31">
        <v>50</v>
      </c>
      <c r="B53" s="22" t="s">
        <v>39</v>
      </c>
      <c r="C53" s="22" t="s">
        <v>50</v>
      </c>
      <c r="D53" s="22" t="s">
        <v>100</v>
      </c>
      <c r="E53" s="23" t="s">
        <v>51</v>
      </c>
      <c r="F53" s="22" t="s">
        <v>62</v>
      </c>
      <c r="G53" s="22" t="s">
        <v>53</v>
      </c>
      <c r="H53" s="22" t="s">
        <v>30</v>
      </c>
      <c r="I53" s="22" t="s">
        <v>101</v>
      </c>
      <c r="J53" s="22" t="s">
        <v>62</v>
      </c>
      <c r="K53" s="519" t="s">
        <v>896</v>
      </c>
      <c r="L53" s="521" t="s">
        <v>912</v>
      </c>
      <c r="M53" s="521" t="s">
        <v>913</v>
      </c>
      <c r="N53" s="521" t="s">
        <v>815</v>
      </c>
      <c r="O53" s="22" t="s">
        <v>102</v>
      </c>
      <c r="P53" s="426">
        <v>2019</v>
      </c>
      <c r="Q53" s="414">
        <f t="shared" ca="1" si="0"/>
        <v>825.33274796973899</v>
      </c>
      <c r="R53" s="335" t="str">
        <f t="shared" ca="1" si="1"/>
        <v>N/A</v>
      </c>
      <c r="S53" s="335" t="str">
        <f t="shared" ca="1" si="2"/>
        <v>N/A</v>
      </c>
      <c r="T53" s="429" t="s">
        <v>899</v>
      </c>
      <c r="U53" s="22"/>
      <c r="V53" s="24"/>
      <c r="W53" s="21"/>
      <c r="Y53" s="490"/>
    </row>
    <row r="54" spans="1:25" ht="45">
      <c r="A54" s="31">
        <v>51</v>
      </c>
      <c r="B54" s="22" t="s">
        <v>39</v>
      </c>
      <c r="C54" s="22" t="s">
        <v>50</v>
      </c>
      <c r="D54" s="22" t="s">
        <v>100</v>
      </c>
      <c r="E54" s="23" t="s">
        <v>51</v>
      </c>
      <c r="F54" s="22" t="s">
        <v>63</v>
      </c>
      <c r="G54" s="22" t="s">
        <v>53</v>
      </c>
      <c r="H54" s="22" t="s">
        <v>30</v>
      </c>
      <c r="I54" s="22" t="s">
        <v>101</v>
      </c>
      <c r="J54" s="22" t="s">
        <v>63</v>
      </c>
      <c r="K54" s="519" t="s">
        <v>896</v>
      </c>
      <c r="L54" s="521" t="s">
        <v>914</v>
      </c>
      <c r="M54" s="521" t="s">
        <v>915</v>
      </c>
      <c r="N54" s="521" t="s">
        <v>815</v>
      </c>
      <c r="O54" s="22" t="s">
        <v>102</v>
      </c>
      <c r="P54" s="426">
        <v>2019</v>
      </c>
      <c r="Q54" s="414">
        <f t="shared" ca="1" si="0"/>
        <v>11133227.128706099</v>
      </c>
      <c r="R54" s="335" t="str">
        <f t="shared" ca="1" si="1"/>
        <v>N/A</v>
      </c>
      <c r="S54" s="335" t="str">
        <f t="shared" ca="1" si="2"/>
        <v>N/A</v>
      </c>
      <c r="T54" s="429" t="s">
        <v>899</v>
      </c>
      <c r="U54" s="22"/>
      <c r="V54" s="24"/>
      <c r="W54" s="21"/>
      <c r="Y54" s="490"/>
    </row>
    <row r="55" spans="1:25" ht="45">
      <c r="A55" s="31">
        <v>52</v>
      </c>
      <c r="B55" s="22" t="s">
        <v>39</v>
      </c>
      <c r="C55" s="22" t="s">
        <v>50</v>
      </c>
      <c r="D55" s="22" t="s">
        <v>100</v>
      </c>
      <c r="E55" s="23" t="s">
        <v>51</v>
      </c>
      <c r="F55" s="22" t="s">
        <v>64</v>
      </c>
      <c r="G55" s="22" t="s">
        <v>53</v>
      </c>
      <c r="H55" s="22" t="s">
        <v>30</v>
      </c>
      <c r="I55" s="22" t="s">
        <v>101</v>
      </c>
      <c r="J55" s="22" t="s">
        <v>64</v>
      </c>
      <c r="K55" s="519" t="s">
        <v>896</v>
      </c>
      <c r="L55" s="521" t="s">
        <v>916</v>
      </c>
      <c r="M55" s="521" t="s">
        <v>917</v>
      </c>
      <c r="N55" s="521" t="s">
        <v>815</v>
      </c>
      <c r="O55" s="22" t="s">
        <v>102</v>
      </c>
      <c r="P55" s="426">
        <v>2019</v>
      </c>
      <c r="Q55" s="414">
        <f t="shared" ca="1" si="0"/>
        <v>6751199.06814628</v>
      </c>
      <c r="R55" s="335" t="str">
        <f t="shared" ca="1" si="1"/>
        <v>N/A</v>
      </c>
      <c r="S55" s="335" t="str">
        <f t="shared" ca="1" si="2"/>
        <v>N/A</v>
      </c>
      <c r="T55" s="429" t="s">
        <v>899</v>
      </c>
      <c r="U55" s="22"/>
      <c r="V55" s="24"/>
      <c r="W55" s="21"/>
      <c r="Y55" s="490"/>
    </row>
    <row r="56" spans="1:25" ht="45">
      <c r="A56" s="31">
        <v>53</v>
      </c>
      <c r="B56" s="22" t="s">
        <v>39</v>
      </c>
      <c r="C56" s="22" t="s">
        <v>50</v>
      </c>
      <c r="D56" s="22" t="s">
        <v>100</v>
      </c>
      <c r="E56" s="23" t="s">
        <v>51</v>
      </c>
      <c r="F56" s="22" t="s">
        <v>65</v>
      </c>
      <c r="G56" s="22" t="s">
        <v>53</v>
      </c>
      <c r="H56" s="22" t="s">
        <v>30</v>
      </c>
      <c r="I56" s="22" t="s">
        <v>101</v>
      </c>
      <c r="J56" s="22" t="s">
        <v>65</v>
      </c>
      <c r="K56" s="519" t="s">
        <v>896</v>
      </c>
      <c r="L56" s="521" t="s">
        <v>918</v>
      </c>
      <c r="M56" s="521" t="s">
        <v>919</v>
      </c>
      <c r="N56" s="521" t="s">
        <v>815</v>
      </c>
      <c r="O56" s="22" t="s">
        <v>102</v>
      </c>
      <c r="P56" s="426">
        <v>2019</v>
      </c>
      <c r="Q56" s="414">
        <f t="shared" ca="1" si="0"/>
        <v>806223.21620807797</v>
      </c>
      <c r="R56" s="335" t="str">
        <f t="shared" ca="1" si="1"/>
        <v>N/A</v>
      </c>
      <c r="S56" s="335" t="str">
        <f t="shared" ca="1" si="2"/>
        <v>N/A</v>
      </c>
      <c r="T56" s="429" t="s">
        <v>899</v>
      </c>
      <c r="U56" s="22" t="s">
        <v>49</v>
      </c>
      <c r="V56" s="24"/>
      <c r="W56" s="21"/>
      <c r="Y56" s="490"/>
    </row>
    <row r="57" spans="1:25" ht="45">
      <c r="A57" s="31">
        <v>54</v>
      </c>
      <c r="B57" s="22" t="s">
        <v>39</v>
      </c>
      <c r="C57" s="22" t="s">
        <v>50</v>
      </c>
      <c r="D57" s="22" t="s">
        <v>100</v>
      </c>
      <c r="E57" s="23" t="s">
        <v>51</v>
      </c>
      <c r="F57" s="22" t="s">
        <v>66</v>
      </c>
      <c r="G57" s="22" t="s">
        <v>53</v>
      </c>
      <c r="H57" s="22" t="s">
        <v>30</v>
      </c>
      <c r="I57" s="22" t="s">
        <v>101</v>
      </c>
      <c r="J57" s="22" t="s">
        <v>66</v>
      </c>
      <c r="K57" s="519" t="s">
        <v>896</v>
      </c>
      <c r="L57" s="521" t="s">
        <v>920</v>
      </c>
      <c r="M57" s="521" t="s">
        <v>921</v>
      </c>
      <c r="N57" s="521" t="s">
        <v>815</v>
      </c>
      <c r="O57" s="22" t="s">
        <v>102</v>
      </c>
      <c r="P57" s="426">
        <v>2019</v>
      </c>
      <c r="Q57" s="414">
        <f t="shared" ca="1" si="0"/>
        <v>462418.04391632299</v>
      </c>
      <c r="R57" s="335" t="str">
        <f t="shared" ca="1" si="1"/>
        <v>N/A</v>
      </c>
      <c r="S57" s="335" t="str">
        <f t="shared" ca="1" si="2"/>
        <v>N/A</v>
      </c>
      <c r="T57" s="429" t="s">
        <v>899</v>
      </c>
      <c r="U57" s="22" t="s">
        <v>49</v>
      </c>
      <c r="V57" s="24"/>
      <c r="W57" s="21"/>
      <c r="Y57" s="490"/>
    </row>
    <row r="58" spans="1:25" ht="30">
      <c r="A58" s="31">
        <v>55</v>
      </c>
      <c r="B58" s="22" t="s">
        <v>39</v>
      </c>
      <c r="C58" s="22" t="s">
        <v>40</v>
      </c>
      <c r="D58" s="22" t="s">
        <v>103</v>
      </c>
      <c r="E58" s="23" t="s">
        <v>42</v>
      </c>
      <c r="F58" s="22" t="s">
        <v>43</v>
      </c>
      <c r="G58" s="22" t="s">
        <v>44</v>
      </c>
      <c r="H58" s="22" t="s">
        <v>30</v>
      </c>
      <c r="I58" s="22" t="s">
        <v>104</v>
      </c>
      <c r="J58" s="19" t="s">
        <v>46</v>
      </c>
      <c r="K58" s="519" t="s">
        <v>896</v>
      </c>
      <c r="L58" s="521" t="s">
        <v>922</v>
      </c>
      <c r="M58" s="521" t="s">
        <v>923</v>
      </c>
      <c r="N58" s="521" t="s">
        <v>815</v>
      </c>
      <c r="O58" s="22" t="s">
        <v>102</v>
      </c>
      <c r="P58" s="426">
        <v>2019</v>
      </c>
      <c r="Q58" s="414">
        <f t="shared" ca="1" si="0"/>
        <v>646.64169377370911</v>
      </c>
      <c r="R58" s="335" t="str">
        <f t="shared" ca="1" si="1"/>
        <v>N/A</v>
      </c>
      <c r="S58" s="335" t="str">
        <f t="shared" ca="1" si="2"/>
        <v>N/A</v>
      </c>
      <c r="T58" s="429" t="s">
        <v>48</v>
      </c>
      <c r="U58" s="22" t="s">
        <v>105</v>
      </c>
      <c r="V58" s="24"/>
      <c r="W58" s="21"/>
      <c r="Y58" s="490"/>
    </row>
    <row r="59" spans="1:25" ht="60">
      <c r="A59" s="31">
        <v>56</v>
      </c>
      <c r="B59" s="22" t="s">
        <v>39</v>
      </c>
      <c r="C59" s="22" t="s">
        <v>40</v>
      </c>
      <c r="D59" s="22" t="s">
        <v>106</v>
      </c>
      <c r="E59" s="23" t="s">
        <v>107</v>
      </c>
      <c r="F59" s="22" t="s">
        <v>108</v>
      </c>
      <c r="G59" s="22" t="s">
        <v>109</v>
      </c>
      <c r="H59" s="22" t="s">
        <v>30</v>
      </c>
      <c r="I59" s="22" t="s">
        <v>110</v>
      </c>
      <c r="J59" s="101" t="s">
        <v>111</v>
      </c>
      <c r="K59" s="519" t="s">
        <v>896</v>
      </c>
      <c r="L59" s="521" t="s">
        <v>924</v>
      </c>
      <c r="M59" s="521" t="s">
        <v>925</v>
      </c>
      <c r="N59" s="521" t="s">
        <v>885</v>
      </c>
      <c r="O59" s="22" t="s">
        <v>102</v>
      </c>
      <c r="P59" s="426">
        <v>2019</v>
      </c>
      <c r="Q59" s="414">
        <f t="shared" ca="1" si="0"/>
        <v>0.70816317545376795</v>
      </c>
      <c r="R59" s="335">
        <f t="shared" ca="1" si="1"/>
        <v>0</v>
      </c>
      <c r="S59" s="335">
        <f t="shared" ca="1" si="2"/>
        <v>0</v>
      </c>
      <c r="T59" s="429"/>
      <c r="U59" s="22"/>
      <c r="V59" s="24"/>
      <c r="W59" s="21"/>
      <c r="Y59" s="490"/>
    </row>
    <row r="60" spans="1:25" ht="60">
      <c r="A60" s="31">
        <v>57</v>
      </c>
      <c r="B60" s="22" t="s">
        <v>39</v>
      </c>
      <c r="C60" s="22" t="s">
        <v>40</v>
      </c>
      <c r="D60" s="22" t="s">
        <v>106</v>
      </c>
      <c r="E60" s="23" t="s">
        <v>107</v>
      </c>
      <c r="F60" s="22" t="s">
        <v>112</v>
      </c>
      <c r="G60" s="22" t="s">
        <v>109</v>
      </c>
      <c r="H60" s="22" t="s">
        <v>30</v>
      </c>
      <c r="I60" s="22" t="s">
        <v>110</v>
      </c>
      <c r="J60" s="101" t="s">
        <v>113</v>
      </c>
      <c r="K60" s="519" t="s">
        <v>896</v>
      </c>
      <c r="L60" s="521" t="s">
        <v>926</v>
      </c>
      <c r="M60" s="521" t="s">
        <v>927</v>
      </c>
      <c r="N60" s="521" t="s">
        <v>885</v>
      </c>
      <c r="O60" s="22" t="s">
        <v>102</v>
      </c>
      <c r="P60" s="426">
        <v>2019</v>
      </c>
      <c r="Q60" s="414">
        <f t="shared" ca="1" si="0"/>
        <v>3845.101555649735</v>
      </c>
      <c r="R60" s="335">
        <f t="shared" ca="1" si="1"/>
        <v>0</v>
      </c>
      <c r="S60" s="335">
        <f t="shared" ca="1" si="2"/>
        <v>0</v>
      </c>
      <c r="T60" s="429"/>
      <c r="U60" s="22"/>
      <c r="V60" s="24"/>
      <c r="W60" s="21"/>
      <c r="Y60" s="490"/>
    </row>
    <row r="61" spans="1:25" ht="60">
      <c r="A61" s="31">
        <v>58</v>
      </c>
      <c r="B61" s="22" t="s">
        <v>39</v>
      </c>
      <c r="C61" s="22" t="s">
        <v>40</v>
      </c>
      <c r="D61" s="22" t="s">
        <v>106</v>
      </c>
      <c r="E61" s="23" t="s">
        <v>107</v>
      </c>
      <c r="F61" s="22" t="s">
        <v>114</v>
      </c>
      <c r="G61" s="22" t="s">
        <v>109</v>
      </c>
      <c r="H61" s="22" t="s">
        <v>30</v>
      </c>
      <c r="I61" s="22" t="s">
        <v>110</v>
      </c>
      <c r="J61" s="101" t="s">
        <v>115</v>
      </c>
      <c r="K61" s="519" t="s">
        <v>896</v>
      </c>
      <c r="L61" s="521" t="s">
        <v>928</v>
      </c>
      <c r="M61" s="521" t="s">
        <v>929</v>
      </c>
      <c r="N61" s="521" t="s">
        <v>885</v>
      </c>
      <c r="O61" s="22" t="s">
        <v>102</v>
      </c>
      <c r="P61" s="426">
        <v>2019</v>
      </c>
      <c r="Q61" s="414">
        <f t="shared" ca="1" si="0"/>
        <v>132.09404088456441</v>
      </c>
      <c r="R61" s="335">
        <f t="shared" ca="1" si="1"/>
        <v>0</v>
      </c>
      <c r="S61" s="335">
        <f t="shared" ca="1" si="2"/>
        <v>0</v>
      </c>
      <c r="T61" s="429" t="s">
        <v>116</v>
      </c>
      <c r="U61" s="22" t="s">
        <v>117</v>
      </c>
      <c r="V61" s="24"/>
      <c r="W61" s="21"/>
      <c r="Y61" s="490"/>
    </row>
    <row r="62" spans="1:25" ht="45">
      <c r="A62" s="31">
        <v>59</v>
      </c>
      <c r="B62" s="22" t="s">
        <v>39</v>
      </c>
      <c r="C62" s="22" t="s">
        <v>40</v>
      </c>
      <c r="D62" s="22" t="s">
        <v>106</v>
      </c>
      <c r="E62" s="23" t="s">
        <v>118</v>
      </c>
      <c r="F62" s="22" t="s">
        <v>108</v>
      </c>
      <c r="G62" s="22" t="s">
        <v>119</v>
      </c>
      <c r="H62" s="22" t="s">
        <v>30</v>
      </c>
      <c r="I62" s="22" t="s">
        <v>120</v>
      </c>
      <c r="J62" s="101" t="s">
        <v>121</v>
      </c>
      <c r="K62" s="519" t="s">
        <v>896</v>
      </c>
      <c r="L62" s="521" t="s">
        <v>930</v>
      </c>
      <c r="M62" s="521" t="s">
        <v>931</v>
      </c>
      <c r="N62" s="521" t="s">
        <v>885</v>
      </c>
      <c r="O62" s="22" t="s">
        <v>102</v>
      </c>
      <c r="P62" s="426">
        <v>2019</v>
      </c>
      <c r="Q62" s="414">
        <f t="shared" ca="1" si="0"/>
        <v>1.8624585434977029E-2</v>
      </c>
      <c r="R62" s="335">
        <f t="shared" ca="1" si="1"/>
        <v>0</v>
      </c>
      <c r="S62" s="335">
        <f t="shared" ca="1" si="2"/>
        <v>0</v>
      </c>
      <c r="T62" s="429"/>
      <c r="U62" s="22"/>
      <c r="V62" s="24"/>
      <c r="W62" s="21"/>
      <c r="Y62" s="490"/>
    </row>
    <row r="63" spans="1:25" ht="45">
      <c r="A63" s="31">
        <v>60</v>
      </c>
      <c r="B63" s="22" t="s">
        <v>39</v>
      </c>
      <c r="C63" s="22" t="s">
        <v>40</v>
      </c>
      <c r="D63" s="22" t="s">
        <v>106</v>
      </c>
      <c r="E63" s="23" t="s">
        <v>118</v>
      </c>
      <c r="F63" s="22" t="s">
        <v>112</v>
      </c>
      <c r="G63" s="22" t="s">
        <v>119</v>
      </c>
      <c r="H63" s="22" t="s">
        <v>30</v>
      </c>
      <c r="I63" s="22" t="s">
        <v>120</v>
      </c>
      <c r="J63" s="101" t="s">
        <v>122</v>
      </c>
      <c r="K63" s="519" t="s">
        <v>896</v>
      </c>
      <c r="L63" s="521" t="s">
        <v>932</v>
      </c>
      <c r="M63" s="521" t="s">
        <v>933</v>
      </c>
      <c r="N63" s="521" t="s">
        <v>885</v>
      </c>
      <c r="O63" s="22" t="s">
        <v>102</v>
      </c>
      <c r="P63" s="426">
        <v>2019</v>
      </c>
      <c r="Q63" s="414">
        <f t="shared" ca="1" si="0"/>
        <v>824.67508692301249</v>
      </c>
      <c r="R63" s="335">
        <f t="shared" ca="1" si="1"/>
        <v>0</v>
      </c>
      <c r="S63" s="335">
        <f t="shared" ca="1" si="2"/>
        <v>0</v>
      </c>
      <c r="T63" s="429"/>
      <c r="U63" s="22"/>
      <c r="V63" s="24"/>
      <c r="W63" s="21"/>
      <c r="Y63" s="490"/>
    </row>
    <row r="64" spans="1:25" ht="60">
      <c r="A64" s="31">
        <v>61</v>
      </c>
      <c r="B64" s="22" t="s">
        <v>39</v>
      </c>
      <c r="C64" s="22" t="s">
        <v>40</v>
      </c>
      <c r="D64" s="22" t="s">
        <v>106</v>
      </c>
      <c r="E64" s="23" t="s">
        <v>118</v>
      </c>
      <c r="F64" s="22" t="s">
        <v>114</v>
      </c>
      <c r="G64" s="22" t="s">
        <v>119</v>
      </c>
      <c r="H64" s="22" t="s">
        <v>30</v>
      </c>
      <c r="I64" s="22" t="s">
        <v>120</v>
      </c>
      <c r="J64" s="101" t="s">
        <v>123</v>
      </c>
      <c r="K64" s="519" t="s">
        <v>896</v>
      </c>
      <c r="L64" s="521" t="s">
        <v>934</v>
      </c>
      <c r="M64" s="521" t="s">
        <v>935</v>
      </c>
      <c r="N64" s="521" t="s">
        <v>885</v>
      </c>
      <c r="O64" s="22" t="s">
        <v>102</v>
      </c>
      <c r="P64" s="426">
        <v>2019</v>
      </c>
      <c r="Q64" s="414">
        <f t="shared" ca="1" si="0"/>
        <v>52.180663016717212</v>
      </c>
      <c r="R64" s="335">
        <f t="shared" ca="1" si="1"/>
        <v>0</v>
      </c>
      <c r="S64" s="335">
        <f t="shared" ca="1" si="2"/>
        <v>0</v>
      </c>
      <c r="T64" s="429" t="s">
        <v>124</v>
      </c>
      <c r="U64" s="22" t="s">
        <v>117</v>
      </c>
      <c r="V64" s="24"/>
      <c r="W64" s="21"/>
      <c r="Y64" s="490"/>
    </row>
    <row r="65" spans="1:25" ht="45">
      <c r="A65" s="31">
        <v>62</v>
      </c>
      <c r="B65" s="22" t="s">
        <v>39</v>
      </c>
      <c r="C65" s="22" t="s">
        <v>40</v>
      </c>
      <c r="D65" s="22" t="s">
        <v>106</v>
      </c>
      <c r="E65" s="23" t="s">
        <v>125</v>
      </c>
      <c r="F65" s="22" t="s">
        <v>108</v>
      </c>
      <c r="G65" s="22" t="s">
        <v>126</v>
      </c>
      <c r="H65" s="22" t="s">
        <v>30</v>
      </c>
      <c r="I65" s="22" t="s">
        <v>127</v>
      </c>
      <c r="J65" s="101" t="s">
        <v>128</v>
      </c>
      <c r="K65" s="519" t="s">
        <v>896</v>
      </c>
      <c r="L65" s="521" t="s">
        <v>936</v>
      </c>
      <c r="M65" s="521" t="s">
        <v>937</v>
      </c>
      <c r="N65" s="521" t="s">
        <v>815</v>
      </c>
      <c r="O65" s="22" t="s">
        <v>102</v>
      </c>
      <c r="P65" s="426">
        <v>2019</v>
      </c>
      <c r="Q65" s="414">
        <f t="shared" ca="1" si="0"/>
        <v>0</v>
      </c>
      <c r="R65" s="335" t="str">
        <f t="shared" ca="1" si="1"/>
        <v>N/A</v>
      </c>
      <c r="S65" s="335" t="str">
        <f t="shared" ca="1" si="2"/>
        <v>N/A</v>
      </c>
      <c r="T65" s="429"/>
      <c r="U65" s="22"/>
      <c r="V65" s="24"/>
      <c r="W65" s="21"/>
      <c r="Y65" s="490"/>
    </row>
    <row r="66" spans="1:25" ht="45">
      <c r="A66" s="31">
        <v>63</v>
      </c>
      <c r="B66" s="22" t="s">
        <v>39</v>
      </c>
      <c r="C66" s="22" t="s">
        <v>40</v>
      </c>
      <c r="D66" s="22" t="s">
        <v>106</v>
      </c>
      <c r="E66" s="23" t="s">
        <v>125</v>
      </c>
      <c r="F66" s="22" t="s">
        <v>112</v>
      </c>
      <c r="G66" s="22" t="s">
        <v>126</v>
      </c>
      <c r="H66" s="22" t="s">
        <v>30</v>
      </c>
      <c r="I66" s="22" t="s">
        <v>127</v>
      </c>
      <c r="J66" s="101" t="s">
        <v>129</v>
      </c>
      <c r="K66" s="519" t="s">
        <v>896</v>
      </c>
      <c r="L66" s="521" t="s">
        <v>938</v>
      </c>
      <c r="M66" s="521" t="s">
        <v>939</v>
      </c>
      <c r="N66" s="521" t="s">
        <v>815</v>
      </c>
      <c r="O66" s="22" t="s">
        <v>102</v>
      </c>
      <c r="P66" s="426">
        <v>2019</v>
      </c>
      <c r="Q66" s="414">
        <f t="shared" ca="1" si="0"/>
        <v>0</v>
      </c>
      <c r="R66" s="335" t="str">
        <f t="shared" ca="1" si="1"/>
        <v>N/A</v>
      </c>
      <c r="S66" s="335" t="str">
        <f t="shared" ca="1" si="2"/>
        <v>N/A</v>
      </c>
      <c r="T66" s="429"/>
      <c r="U66" s="22"/>
      <c r="V66" s="24"/>
      <c r="W66" s="21"/>
      <c r="Y66" s="490"/>
    </row>
    <row r="67" spans="1:25" ht="45">
      <c r="A67" s="31">
        <v>64</v>
      </c>
      <c r="B67" s="22" t="s">
        <v>39</v>
      </c>
      <c r="C67" s="22" t="s">
        <v>40</v>
      </c>
      <c r="D67" s="22" t="s">
        <v>106</v>
      </c>
      <c r="E67" s="23" t="s">
        <v>125</v>
      </c>
      <c r="F67" s="22" t="s">
        <v>114</v>
      </c>
      <c r="G67" s="22" t="s">
        <v>126</v>
      </c>
      <c r="H67" s="22" t="s">
        <v>30</v>
      </c>
      <c r="I67" s="22" t="s">
        <v>127</v>
      </c>
      <c r="J67" s="101" t="s">
        <v>130</v>
      </c>
      <c r="K67" s="519" t="s">
        <v>896</v>
      </c>
      <c r="L67" s="521" t="s">
        <v>940</v>
      </c>
      <c r="M67" s="521" t="s">
        <v>941</v>
      </c>
      <c r="N67" s="521" t="s">
        <v>815</v>
      </c>
      <c r="O67" s="22" t="s">
        <v>102</v>
      </c>
      <c r="P67" s="426">
        <v>2019</v>
      </c>
      <c r="Q67" s="414">
        <f t="shared" ref="Q67:Q130" ca="1" si="3">SUMIF(INDIRECT("'"&amp;K67&amp;"'!c:c"),A67,INDIRECT("'"&amp;K67&amp;"'!g:g"))</f>
        <v>0</v>
      </c>
      <c r="R67" s="335" t="str">
        <f t="shared" ref="R67:R130" ca="1" si="4">IF($N67 = "N","N/A",SUMIF(INDIRECT("'"&amp;K67&amp;"'!i:i"),L67,INDIRECT("'"&amp;K67&amp;"'!n:n")))</f>
        <v>N/A</v>
      </c>
      <c r="S67" s="335" t="str">
        <f t="shared" ref="S67:S130" ca="1" si="5">IF($N67 = "N","N/A",SUMIF(INDIRECT("'"&amp;K67&amp;"'!i:i"),M67,INDIRECT("'"&amp;K67&amp;"'!n:n")))</f>
        <v>N/A</v>
      </c>
      <c r="T67" s="429" t="s">
        <v>131</v>
      </c>
      <c r="U67" s="22" t="s">
        <v>132</v>
      </c>
      <c r="V67" s="24"/>
      <c r="W67" s="21"/>
      <c r="Y67" s="490"/>
    </row>
    <row r="68" spans="1:25" ht="45">
      <c r="A68" s="31">
        <v>65</v>
      </c>
      <c r="B68" s="22" t="s">
        <v>39</v>
      </c>
      <c r="C68" s="22" t="s">
        <v>40</v>
      </c>
      <c r="D68" s="22" t="s">
        <v>106</v>
      </c>
      <c r="E68" s="23" t="s">
        <v>133</v>
      </c>
      <c r="F68" s="22" t="s">
        <v>108</v>
      </c>
      <c r="G68" s="22" t="s">
        <v>134</v>
      </c>
      <c r="H68" s="22" t="s">
        <v>30</v>
      </c>
      <c r="I68" s="22" t="s">
        <v>135</v>
      </c>
      <c r="J68" s="101" t="s">
        <v>136</v>
      </c>
      <c r="K68" s="519" t="s">
        <v>896</v>
      </c>
      <c r="L68" s="521" t="s">
        <v>942</v>
      </c>
      <c r="M68" s="521" t="s">
        <v>943</v>
      </c>
      <c r="N68" s="521" t="s">
        <v>885</v>
      </c>
      <c r="O68" s="22" t="s">
        <v>102</v>
      </c>
      <c r="P68" s="426">
        <v>2019</v>
      </c>
      <c r="Q68" s="414">
        <f t="shared" ca="1" si="3"/>
        <v>8.1899694272682635E-2</v>
      </c>
      <c r="R68" s="335">
        <f t="shared" ca="1" si="4"/>
        <v>0</v>
      </c>
      <c r="S68" s="335">
        <f t="shared" ca="1" si="5"/>
        <v>0</v>
      </c>
      <c r="T68" s="429"/>
      <c r="U68" s="22"/>
      <c r="V68" s="24"/>
      <c r="W68" s="21"/>
      <c r="Y68" s="490"/>
    </row>
    <row r="69" spans="1:25" ht="45">
      <c r="A69" s="31">
        <v>66</v>
      </c>
      <c r="B69" s="22" t="s">
        <v>39</v>
      </c>
      <c r="C69" s="22" t="s">
        <v>40</v>
      </c>
      <c r="D69" s="22" t="s">
        <v>106</v>
      </c>
      <c r="E69" s="23" t="s">
        <v>133</v>
      </c>
      <c r="F69" s="22" t="s">
        <v>112</v>
      </c>
      <c r="G69" s="22" t="s">
        <v>134</v>
      </c>
      <c r="H69" s="22" t="s">
        <v>30</v>
      </c>
      <c r="I69" s="22" t="s">
        <v>135</v>
      </c>
      <c r="J69" s="101" t="s">
        <v>137</v>
      </c>
      <c r="K69" s="519" t="s">
        <v>896</v>
      </c>
      <c r="L69" s="521" t="s">
        <v>944</v>
      </c>
      <c r="M69" s="521" t="s">
        <v>945</v>
      </c>
      <c r="N69" s="521" t="s">
        <v>885</v>
      </c>
      <c r="O69" s="22" t="s">
        <v>102</v>
      </c>
      <c r="P69" s="426">
        <v>2019</v>
      </c>
      <c r="Q69" s="414">
        <f t="shared" ca="1" si="3"/>
        <v>761.27707542182577</v>
      </c>
      <c r="R69" s="335">
        <f t="shared" ca="1" si="4"/>
        <v>0</v>
      </c>
      <c r="S69" s="335">
        <f t="shared" ca="1" si="5"/>
        <v>0</v>
      </c>
      <c r="T69" s="429"/>
      <c r="U69" s="22"/>
      <c r="V69" s="24"/>
      <c r="W69" s="21"/>
      <c r="Y69" s="490"/>
    </row>
    <row r="70" spans="1:25" ht="60">
      <c r="A70" s="31">
        <v>67</v>
      </c>
      <c r="B70" s="22" t="s">
        <v>39</v>
      </c>
      <c r="C70" s="22" t="s">
        <v>40</v>
      </c>
      <c r="D70" s="22" t="s">
        <v>106</v>
      </c>
      <c r="E70" s="23" t="s">
        <v>133</v>
      </c>
      <c r="F70" s="22" t="s">
        <v>114</v>
      </c>
      <c r="G70" s="22" t="s">
        <v>134</v>
      </c>
      <c r="H70" s="22" t="s">
        <v>30</v>
      </c>
      <c r="I70" s="22" t="s">
        <v>135</v>
      </c>
      <c r="J70" s="101" t="s">
        <v>138</v>
      </c>
      <c r="K70" s="519" t="s">
        <v>896</v>
      </c>
      <c r="L70" s="521" t="s">
        <v>946</v>
      </c>
      <c r="M70" s="521" t="s">
        <v>947</v>
      </c>
      <c r="N70" s="521" t="s">
        <v>885</v>
      </c>
      <c r="O70" s="22" t="s">
        <v>102</v>
      </c>
      <c r="P70" s="426">
        <v>2019</v>
      </c>
      <c r="Q70" s="414">
        <f t="shared" ca="1" si="3"/>
        <v>54.528459728478438</v>
      </c>
      <c r="R70" s="335">
        <f t="shared" ca="1" si="4"/>
        <v>0</v>
      </c>
      <c r="S70" s="335">
        <f t="shared" ca="1" si="5"/>
        <v>0</v>
      </c>
      <c r="T70" s="429" t="s">
        <v>139</v>
      </c>
      <c r="U70" s="22" t="s">
        <v>117</v>
      </c>
      <c r="V70" s="24"/>
      <c r="W70" s="21"/>
      <c r="Y70" s="490"/>
    </row>
    <row r="71" spans="1:25" ht="105">
      <c r="A71" s="31">
        <v>68</v>
      </c>
      <c r="B71" s="22" t="s">
        <v>39</v>
      </c>
      <c r="C71" s="22" t="s">
        <v>40</v>
      </c>
      <c r="D71" s="22" t="s">
        <v>140</v>
      </c>
      <c r="E71" s="23" t="s">
        <v>141</v>
      </c>
      <c r="F71" s="22" t="s">
        <v>142</v>
      </c>
      <c r="G71" s="22" t="s">
        <v>143</v>
      </c>
      <c r="H71" s="22" t="s">
        <v>30</v>
      </c>
      <c r="I71" s="22" t="s">
        <v>144</v>
      </c>
      <c r="J71" s="22" t="s">
        <v>145</v>
      </c>
      <c r="K71" s="519" t="s">
        <v>896</v>
      </c>
      <c r="L71" s="521" t="s">
        <v>948</v>
      </c>
      <c r="M71" s="521" t="s">
        <v>949</v>
      </c>
      <c r="N71" s="521" t="s">
        <v>885</v>
      </c>
      <c r="O71" s="22" t="s">
        <v>102</v>
      </c>
      <c r="P71" s="426">
        <v>2019</v>
      </c>
      <c r="Q71" s="533">
        <f t="shared" ca="1" si="3"/>
        <v>7.7566998391272058E-3</v>
      </c>
      <c r="R71" s="335">
        <f t="shared" ca="1" si="4"/>
        <v>0</v>
      </c>
      <c r="S71" s="335">
        <f t="shared" ca="1" si="5"/>
        <v>0</v>
      </c>
      <c r="T71" s="429" t="s">
        <v>950</v>
      </c>
      <c r="U71" s="22" t="s">
        <v>147</v>
      </c>
      <c r="V71" s="24"/>
      <c r="W71" s="21"/>
      <c r="Y71" s="490"/>
    </row>
    <row r="72" spans="1:25" ht="60">
      <c r="A72" s="31">
        <v>69</v>
      </c>
      <c r="B72" s="22" t="s">
        <v>39</v>
      </c>
      <c r="C72" s="22" t="s">
        <v>40</v>
      </c>
      <c r="D72" s="22" t="s">
        <v>140</v>
      </c>
      <c r="E72" s="23" t="s">
        <v>148</v>
      </c>
      <c r="F72" s="22" t="s">
        <v>142</v>
      </c>
      <c r="G72" s="22" t="s">
        <v>149</v>
      </c>
      <c r="H72" s="22" t="s">
        <v>30</v>
      </c>
      <c r="I72" s="22" t="s">
        <v>150</v>
      </c>
      <c r="J72" s="22" t="s">
        <v>151</v>
      </c>
      <c r="K72" s="519" t="s">
        <v>896</v>
      </c>
      <c r="L72" s="521" t="s">
        <v>951</v>
      </c>
      <c r="M72" s="521" t="s">
        <v>952</v>
      </c>
      <c r="N72" s="521" t="s">
        <v>885</v>
      </c>
      <c r="O72" s="22" t="s">
        <v>102</v>
      </c>
      <c r="P72" s="426">
        <v>2019</v>
      </c>
      <c r="Q72" s="533">
        <f t="shared" ca="1" si="3"/>
        <v>1.3302034428794992E-3</v>
      </c>
      <c r="R72" s="335">
        <f t="shared" ca="1" si="4"/>
        <v>0</v>
      </c>
      <c r="S72" s="335">
        <f t="shared" ca="1" si="5"/>
        <v>0</v>
      </c>
      <c r="T72" s="429" t="s">
        <v>152</v>
      </c>
      <c r="U72" s="22" t="str">
        <f>Definitions!C7</f>
        <v>D.18-05-041: DAC = Bill accounts in census tracts corresponding to census tracts in the top quartile of CalEnviroScreen 3.0 scores.</v>
      </c>
      <c r="V72" s="24"/>
      <c r="W72" s="21"/>
      <c r="Y72" s="490"/>
    </row>
    <row r="73" spans="1:25" ht="90">
      <c r="A73" s="31">
        <v>70</v>
      </c>
      <c r="B73" s="22" t="s">
        <v>39</v>
      </c>
      <c r="C73" s="22" t="s">
        <v>40</v>
      </c>
      <c r="D73" s="22" t="s">
        <v>140</v>
      </c>
      <c r="E73" s="23" t="s">
        <v>153</v>
      </c>
      <c r="F73" s="22" t="s">
        <v>142</v>
      </c>
      <c r="G73" s="22" t="s">
        <v>154</v>
      </c>
      <c r="H73" s="22" t="s">
        <v>30</v>
      </c>
      <c r="I73" s="22" t="s">
        <v>155</v>
      </c>
      <c r="J73" s="22" t="s">
        <v>156</v>
      </c>
      <c r="K73" s="519" t="s">
        <v>896</v>
      </c>
      <c r="L73" s="521" t="s">
        <v>953</v>
      </c>
      <c r="M73" s="521" t="s">
        <v>954</v>
      </c>
      <c r="N73" s="521" t="s">
        <v>885</v>
      </c>
      <c r="O73" s="22" t="s">
        <v>102</v>
      </c>
      <c r="P73" s="426">
        <v>2019</v>
      </c>
      <c r="Q73" s="533">
        <f t="shared" ca="1" si="3"/>
        <v>4.2153438516198964E-4</v>
      </c>
      <c r="R73" s="335">
        <f t="shared" ca="1" si="4"/>
        <v>0</v>
      </c>
      <c r="S73" s="335">
        <f t="shared" ca="1" si="5"/>
        <v>0</v>
      </c>
      <c r="T73" s="429" t="s">
        <v>157</v>
      </c>
      <c r="U73"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73" s="24"/>
      <c r="W73" s="21"/>
      <c r="Y73" s="490"/>
    </row>
    <row r="74" spans="1:25" ht="30">
      <c r="A74" s="31">
        <v>71</v>
      </c>
      <c r="B74" s="22" t="s">
        <v>39</v>
      </c>
      <c r="C74" s="22" t="s">
        <v>40</v>
      </c>
      <c r="D74" s="22" t="s">
        <v>158</v>
      </c>
      <c r="E74" s="23" t="s">
        <v>91</v>
      </c>
      <c r="F74" s="22" t="s">
        <v>92</v>
      </c>
      <c r="G74" s="22" t="s">
        <v>93</v>
      </c>
      <c r="H74" s="22" t="s">
        <v>30</v>
      </c>
      <c r="I74" s="22" t="s">
        <v>159</v>
      </c>
      <c r="J74" s="22" t="s">
        <v>92</v>
      </c>
      <c r="K74" s="519" t="s">
        <v>896</v>
      </c>
      <c r="L74" s="521" t="s">
        <v>955</v>
      </c>
      <c r="M74" s="521" t="s">
        <v>956</v>
      </c>
      <c r="N74" s="521" t="s">
        <v>885</v>
      </c>
      <c r="O74" s="22" t="s">
        <v>102</v>
      </c>
      <c r="P74" s="426">
        <v>2019</v>
      </c>
      <c r="Q74" s="414">
        <f t="shared" ca="1" si="3"/>
        <v>962.76142935991925</v>
      </c>
      <c r="R74" s="335">
        <f t="shared" ca="1" si="4"/>
        <v>0</v>
      </c>
      <c r="S74" s="335">
        <f t="shared" ca="1" si="5"/>
        <v>0</v>
      </c>
      <c r="T74" s="429"/>
      <c r="U74" s="22"/>
      <c r="V74" s="24"/>
      <c r="W74" s="21"/>
      <c r="Y74" s="490"/>
    </row>
    <row r="75" spans="1:25" ht="30">
      <c r="A75" s="31">
        <v>72</v>
      </c>
      <c r="B75" s="22" t="s">
        <v>39</v>
      </c>
      <c r="C75" s="22" t="s">
        <v>40</v>
      </c>
      <c r="D75" s="22" t="s">
        <v>158</v>
      </c>
      <c r="E75" s="23" t="s">
        <v>91</v>
      </c>
      <c r="F75" s="22" t="s">
        <v>95</v>
      </c>
      <c r="G75" s="22" t="s">
        <v>93</v>
      </c>
      <c r="H75" s="22" t="s">
        <v>30</v>
      </c>
      <c r="I75" s="22" t="s">
        <v>159</v>
      </c>
      <c r="J75" s="22" t="s">
        <v>95</v>
      </c>
      <c r="K75" s="519" t="s">
        <v>896</v>
      </c>
      <c r="L75" s="521" t="s">
        <v>957</v>
      </c>
      <c r="M75" s="521" t="s">
        <v>958</v>
      </c>
      <c r="N75" s="521" t="s">
        <v>885</v>
      </c>
      <c r="O75" s="22" t="s">
        <v>102</v>
      </c>
      <c r="P75" s="426">
        <v>2019</v>
      </c>
      <c r="Q75" s="414">
        <f t="shared" ca="1" si="3"/>
        <v>0.19222505797688974</v>
      </c>
      <c r="R75" s="335">
        <f t="shared" ca="1" si="4"/>
        <v>0</v>
      </c>
      <c r="S75" s="335">
        <f t="shared" ca="1" si="5"/>
        <v>0</v>
      </c>
      <c r="T75" s="429"/>
      <c r="U75" s="22"/>
      <c r="V75" s="24"/>
      <c r="W75" s="21"/>
      <c r="Y75" s="490"/>
    </row>
    <row r="76" spans="1:25" ht="30">
      <c r="A76" s="31">
        <v>73</v>
      </c>
      <c r="B76" s="22" t="s">
        <v>39</v>
      </c>
      <c r="C76" s="22" t="s">
        <v>40</v>
      </c>
      <c r="D76" s="22" t="s">
        <v>158</v>
      </c>
      <c r="E76" s="23" t="s">
        <v>91</v>
      </c>
      <c r="F76" s="22" t="s">
        <v>96</v>
      </c>
      <c r="G76" s="22" t="s">
        <v>93</v>
      </c>
      <c r="H76" s="22" t="s">
        <v>30</v>
      </c>
      <c r="I76" s="22" t="s">
        <v>159</v>
      </c>
      <c r="J76" s="22" t="s">
        <v>96</v>
      </c>
      <c r="K76" s="519" t="s">
        <v>896</v>
      </c>
      <c r="L76" s="521" t="s">
        <v>959</v>
      </c>
      <c r="M76" s="521" t="s">
        <v>960</v>
      </c>
      <c r="N76" s="521" t="s">
        <v>885</v>
      </c>
      <c r="O76" s="22" t="s">
        <v>102</v>
      </c>
      <c r="P76" s="426">
        <v>2019</v>
      </c>
      <c r="Q76" s="414">
        <f t="shared" ca="1" si="3"/>
        <v>2.2174402850636699</v>
      </c>
      <c r="R76" s="335">
        <f t="shared" ca="1" si="4"/>
        <v>0</v>
      </c>
      <c r="S76" s="335">
        <f t="shared" ca="1" si="5"/>
        <v>0</v>
      </c>
      <c r="T76" s="429" t="s">
        <v>48</v>
      </c>
      <c r="U76" s="22" t="s">
        <v>49</v>
      </c>
      <c r="V76" s="24"/>
      <c r="W76" s="21"/>
      <c r="Y76" s="490"/>
    </row>
    <row r="77" spans="1:25" ht="30">
      <c r="A77" s="31">
        <v>74</v>
      </c>
      <c r="B77" s="22" t="s">
        <v>39</v>
      </c>
      <c r="C77" s="22" t="s">
        <v>40</v>
      </c>
      <c r="D77" s="22" t="s">
        <v>158</v>
      </c>
      <c r="E77" s="23" t="s">
        <v>91</v>
      </c>
      <c r="F77" s="22" t="s">
        <v>97</v>
      </c>
      <c r="G77" s="22" t="s">
        <v>93</v>
      </c>
      <c r="H77" s="22" t="s">
        <v>30</v>
      </c>
      <c r="I77" s="22" t="s">
        <v>159</v>
      </c>
      <c r="J77" s="22" t="s">
        <v>97</v>
      </c>
      <c r="K77" s="519" t="s">
        <v>896</v>
      </c>
      <c r="L77" s="521" t="s">
        <v>961</v>
      </c>
      <c r="M77" s="521" t="s">
        <v>962</v>
      </c>
      <c r="N77" s="521" t="s">
        <v>885</v>
      </c>
      <c r="O77" s="22" t="s">
        <v>102</v>
      </c>
      <c r="P77" s="426">
        <v>2019</v>
      </c>
      <c r="Q77" s="414">
        <f t="shared" ca="1" si="3"/>
        <v>1078.0793842289152</v>
      </c>
      <c r="R77" s="335">
        <f t="shared" ca="1" si="4"/>
        <v>0</v>
      </c>
      <c r="S77" s="335">
        <f t="shared" ca="1" si="5"/>
        <v>0</v>
      </c>
      <c r="T77" s="429"/>
      <c r="U77" s="22"/>
      <c r="V77" s="24"/>
      <c r="W77" s="21"/>
      <c r="Y77" s="490"/>
    </row>
    <row r="78" spans="1:25" ht="30">
      <c r="A78" s="31">
        <v>75</v>
      </c>
      <c r="B78" s="22" t="s">
        <v>39</v>
      </c>
      <c r="C78" s="22" t="s">
        <v>40</v>
      </c>
      <c r="D78" s="22" t="s">
        <v>158</v>
      </c>
      <c r="E78" s="23" t="s">
        <v>91</v>
      </c>
      <c r="F78" s="22" t="s">
        <v>98</v>
      </c>
      <c r="G78" s="22" t="s">
        <v>93</v>
      </c>
      <c r="H78" s="22" t="s">
        <v>30</v>
      </c>
      <c r="I78" s="22" t="s">
        <v>159</v>
      </c>
      <c r="J78" s="22" t="s">
        <v>98</v>
      </c>
      <c r="K78" s="519" t="s">
        <v>896</v>
      </c>
      <c r="L78" s="521" t="s">
        <v>963</v>
      </c>
      <c r="M78" s="521" t="s">
        <v>964</v>
      </c>
      <c r="N78" s="521" t="s">
        <v>885</v>
      </c>
      <c r="O78" s="22" t="s">
        <v>102</v>
      </c>
      <c r="P78" s="426">
        <v>2019</v>
      </c>
      <c r="Q78" s="414">
        <f t="shared" ca="1" si="3"/>
        <v>0.21524945414033653</v>
      </c>
      <c r="R78" s="335">
        <f t="shared" ca="1" si="4"/>
        <v>0</v>
      </c>
      <c r="S78" s="335">
        <f t="shared" ca="1" si="5"/>
        <v>0</v>
      </c>
      <c r="T78" s="429"/>
      <c r="U78" s="22"/>
      <c r="V78" s="24"/>
      <c r="W78" s="21"/>
      <c r="Y78" s="490"/>
    </row>
    <row r="79" spans="1:25" ht="30">
      <c r="A79" s="31">
        <v>76</v>
      </c>
      <c r="B79" s="22" t="s">
        <v>39</v>
      </c>
      <c r="C79" s="22" t="s">
        <v>40</v>
      </c>
      <c r="D79" s="22" t="s">
        <v>158</v>
      </c>
      <c r="E79" s="23" t="s">
        <v>91</v>
      </c>
      <c r="F79" s="22" t="s">
        <v>99</v>
      </c>
      <c r="G79" s="22" t="s">
        <v>93</v>
      </c>
      <c r="H79" s="22" t="s">
        <v>30</v>
      </c>
      <c r="I79" s="22" t="s">
        <v>159</v>
      </c>
      <c r="J79" s="22" t="s">
        <v>99</v>
      </c>
      <c r="K79" s="519" t="s">
        <v>896</v>
      </c>
      <c r="L79" s="521" t="s">
        <v>965</v>
      </c>
      <c r="M79" s="521" t="s">
        <v>966</v>
      </c>
      <c r="N79" s="521" t="s">
        <v>885</v>
      </c>
      <c r="O79" s="22" t="s">
        <v>102</v>
      </c>
      <c r="P79" s="426">
        <v>2019</v>
      </c>
      <c r="Q79" s="414">
        <f t="shared" ca="1" si="3"/>
        <v>2.4830415762243181</v>
      </c>
      <c r="R79" s="335">
        <f t="shared" ca="1" si="4"/>
        <v>0</v>
      </c>
      <c r="S79" s="335">
        <f t="shared" ca="1" si="5"/>
        <v>0</v>
      </c>
      <c r="T79" s="429" t="s">
        <v>48</v>
      </c>
      <c r="U79" s="22" t="s">
        <v>49</v>
      </c>
      <c r="V79" s="24"/>
      <c r="W79" s="21"/>
      <c r="Y79" s="490"/>
    </row>
    <row r="80" spans="1:25" ht="45">
      <c r="A80" s="31">
        <v>77</v>
      </c>
      <c r="B80" s="22" t="s">
        <v>39</v>
      </c>
      <c r="C80" s="22" t="s">
        <v>40</v>
      </c>
      <c r="D80" s="22" t="s">
        <v>160</v>
      </c>
      <c r="E80" s="23" t="s">
        <v>161</v>
      </c>
      <c r="F80" s="22" t="s">
        <v>162</v>
      </c>
      <c r="G80" s="22" t="s">
        <v>163</v>
      </c>
      <c r="H80" s="22" t="s">
        <v>164</v>
      </c>
      <c r="I80" s="22" t="s">
        <v>165</v>
      </c>
      <c r="J80" s="22" t="s">
        <v>166</v>
      </c>
      <c r="K80" s="519" t="s">
        <v>896</v>
      </c>
      <c r="L80" s="521" t="s">
        <v>967</v>
      </c>
      <c r="M80" s="521" t="s">
        <v>968</v>
      </c>
      <c r="N80" s="521" t="s">
        <v>815</v>
      </c>
      <c r="O80" s="22" t="s">
        <v>102</v>
      </c>
      <c r="P80" s="426">
        <v>2019</v>
      </c>
      <c r="Q80" s="414">
        <f t="shared" ca="1" si="3"/>
        <v>36845.376452039825</v>
      </c>
      <c r="R80" s="335" t="str">
        <f t="shared" ca="1" si="4"/>
        <v>N/A</v>
      </c>
      <c r="S80" s="335" t="str">
        <f t="shared" ca="1" si="5"/>
        <v>N/A</v>
      </c>
      <c r="T80" s="429" t="s">
        <v>168</v>
      </c>
      <c r="U80" s="22" t="s">
        <v>169</v>
      </c>
      <c r="V80" s="24"/>
      <c r="W80" s="21"/>
      <c r="Y80" s="490"/>
    </row>
    <row r="81" spans="1:25" ht="60">
      <c r="A81" s="31">
        <v>78</v>
      </c>
      <c r="B81" s="22" t="s">
        <v>39</v>
      </c>
      <c r="C81" s="22" t="s">
        <v>40</v>
      </c>
      <c r="D81" s="22" t="s">
        <v>170</v>
      </c>
      <c r="E81" s="23" t="s">
        <v>171</v>
      </c>
      <c r="F81" s="22" t="s">
        <v>52</v>
      </c>
      <c r="G81" s="22" t="s">
        <v>53</v>
      </c>
      <c r="H81" s="22" t="s">
        <v>30</v>
      </c>
      <c r="I81" s="22" t="s">
        <v>172</v>
      </c>
      <c r="J81" s="22" t="s">
        <v>173</v>
      </c>
      <c r="K81" s="519" t="s">
        <v>969</v>
      </c>
      <c r="L81" s="521" t="s">
        <v>970</v>
      </c>
      <c r="M81" s="521" t="s">
        <v>971</v>
      </c>
      <c r="N81" s="521" t="s">
        <v>815</v>
      </c>
      <c r="O81" s="22" t="s">
        <v>174</v>
      </c>
      <c r="P81" s="426">
        <v>2019</v>
      </c>
      <c r="Q81" s="414">
        <f t="shared" ca="1" si="3"/>
        <v>472.46451493200942</v>
      </c>
      <c r="R81" s="335" t="str">
        <f t="shared" ca="1" si="4"/>
        <v>N/A</v>
      </c>
      <c r="S81" s="335" t="str">
        <f t="shared" ca="1" si="5"/>
        <v>N/A</v>
      </c>
      <c r="T81" s="429" t="s">
        <v>899</v>
      </c>
      <c r="U81" s="22"/>
      <c r="V81" s="24"/>
      <c r="W81" s="21"/>
      <c r="Y81" s="490"/>
    </row>
    <row r="82" spans="1:25" ht="60">
      <c r="A82" s="31">
        <v>79</v>
      </c>
      <c r="B82" s="22" t="s">
        <v>39</v>
      </c>
      <c r="C82" s="22" t="s">
        <v>40</v>
      </c>
      <c r="D82" s="22" t="s">
        <v>170</v>
      </c>
      <c r="E82" s="23" t="s">
        <v>171</v>
      </c>
      <c r="F82" s="22" t="s">
        <v>55</v>
      </c>
      <c r="G82" s="22" t="s">
        <v>53</v>
      </c>
      <c r="H82" s="22" t="s">
        <v>30</v>
      </c>
      <c r="I82" s="22" t="s">
        <v>172</v>
      </c>
      <c r="J82" s="22" t="s">
        <v>175</v>
      </c>
      <c r="K82" s="519" t="s">
        <v>969</v>
      </c>
      <c r="L82" s="521" t="s">
        <v>972</v>
      </c>
      <c r="M82" s="521" t="s">
        <v>973</v>
      </c>
      <c r="N82" s="521" t="s">
        <v>815</v>
      </c>
      <c r="O82" s="22" t="s">
        <v>174</v>
      </c>
      <c r="P82" s="426">
        <v>2019</v>
      </c>
      <c r="Q82" s="414">
        <f t="shared" ca="1" si="3"/>
        <v>375.30491883338573</v>
      </c>
      <c r="R82" s="335" t="str">
        <f t="shared" ca="1" si="4"/>
        <v>N/A</v>
      </c>
      <c r="S82" s="335" t="str">
        <f t="shared" ca="1" si="5"/>
        <v>N/A</v>
      </c>
      <c r="T82" s="429" t="s">
        <v>899</v>
      </c>
      <c r="U82" s="22"/>
      <c r="V82" s="24"/>
      <c r="W82" s="21"/>
      <c r="Y82" s="490"/>
    </row>
    <row r="83" spans="1:25" ht="60">
      <c r="A83" s="31">
        <v>80</v>
      </c>
      <c r="B83" s="22" t="s">
        <v>39</v>
      </c>
      <c r="C83" s="22" t="s">
        <v>40</v>
      </c>
      <c r="D83" s="22" t="s">
        <v>170</v>
      </c>
      <c r="E83" s="23" t="s">
        <v>171</v>
      </c>
      <c r="F83" s="22" t="s">
        <v>56</v>
      </c>
      <c r="G83" s="22" t="s">
        <v>53</v>
      </c>
      <c r="H83" s="22" t="s">
        <v>30</v>
      </c>
      <c r="I83" s="22" t="s">
        <v>172</v>
      </c>
      <c r="J83" s="22" t="s">
        <v>176</v>
      </c>
      <c r="K83" s="519" t="s">
        <v>969</v>
      </c>
      <c r="L83" s="521" t="s">
        <v>974</v>
      </c>
      <c r="M83" s="521" t="s">
        <v>975</v>
      </c>
      <c r="N83" s="521" t="s">
        <v>815</v>
      </c>
      <c r="O83" s="22" t="s">
        <v>174</v>
      </c>
      <c r="P83" s="426">
        <v>2019</v>
      </c>
      <c r="Q83" s="414">
        <f t="shared" ca="1" si="3"/>
        <v>2351367.3470587926</v>
      </c>
      <c r="R83" s="335" t="str">
        <f t="shared" ca="1" si="4"/>
        <v>N/A</v>
      </c>
      <c r="S83" s="335" t="str">
        <f t="shared" ca="1" si="5"/>
        <v>N/A</v>
      </c>
      <c r="T83" s="429" t="s">
        <v>899</v>
      </c>
      <c r="U83" s="22"/>
      <c r="V83" s="24"/>
      <c r="W83" s="21"/>
      <c r="Y83" s="490"/>
    </row>
    <row r="84" spans="1:25" ht="60">
      <c r="A84" s="31">
        <v>81</v>
      </c>
      <c r="B84" s="22" t="s">
        <v>39</v>
      </c>
      <c r="C84" s="22" t="s">
        <v>40</v>
      </c>
      <c r="D84" s="22" t="s">
        <v>170</v>
      </c>
      <c r="E84" s="23" t="s">
        <v>171</v>
      </c>
      <c r="F84" s="22" t="s">
        <v>57</v>
      </c>
      <c r="G84" s="22" t="s">
        <v>53</v>
      </c>
      <c r="H84" s="22" t="s">
        <v>30</v>
      </c>
      <c r="I84" s="22" t="s">
        <v>172</v>
      </c>
      <c r="J84" s="22" t="s">
        <v>177</v>
      </c>
      <c r="K84" s="519" t="s">
        <v>969</v>
      </c>
      <c r="L84" s="521" t="s">
        <v>976</v>
      </c>
      <c r="M84" s="521" t="s">
        <v>977</v>
      </c>
      <c r="N84" s="521" t="s">
        <v>815</v>
      </c>
      <c r="O84" s="22" t="s">
        <v>174</v>
      </c>
      <c r="P84" s="426">
        <v>2019</v>
      </c>
      <c r="Q84" s="414">
        <f t="shared" ca="1" si="3"/>
        <v>1668325.764766549</v>
      </c>
      <c r="R84" s="335" t="str">
        <f t="shared" ca="1" si="4"/>
        <v>N/A</v>
      </c>
      <c r="S84" s="335" t="str">
        <f t="shared" ca="1" si="5"/>
        <v>N/A</v>
      </c>
      <c r="T84" s="429" t="s">
        <v>899</v>
      </c>
      <c r="U84" s="22"/>
      <c r="V84" s="24"/>
      <c r="W84" s="21"/>
      <c r="Y84" s="490"/>
    </row>
    <row r="85" spans="1:25" ht="60">
      <c r="A85" s="31">
        <v>82</v>
      </c>
      <c r="B85" s="22" t="s">
        <v>39</v>
      </c>
      <c r="C85" s="22" t="s">
        <v>40</v>
      </c>
      <c r="D85" s="22" t="s">
        <v>170</v>
      </c>
      <c r="E85" s="23" t="s">
        <v>171</v>
      </c>
      <c r="F85" s="22" t="s">
        <v>58</v>
      </c>
      <c r="G85" s="22" t="s">
        <v>53</v>
      </c>
      <c r="H85" s="22" t="s">
        <v>30</v>
      </c>
      <c r="I85" s="22" t="s">
        <v>172</v>
      </c>
      <c r="J85" s="22" t="s">
        <v>178</v>
      </c>
      <c r="K85" s="519" t="s">
        <v>969</v>
      </c>
      <c r="L85" s="521" t="s">
        <v>978</v>
      </c>
      <c r="M85" s="521" t="s">
        <v>979</v>
      </c>
      <c r="N85" s="521" t="s">
        <v>815</v>
      </c>
      <c r="O85" s="22" t="s">
        <v>174</v>
      </c>
      <c r="P85" s="426">
        <v>2019</v>
      </c>
      <c r="Q85" s="414">
        <f t="shared" ca="1" si="3"/>
        <v>24608.467718135285</v>
      </c>
      <c r="R85" s="335" t="str">
        <f t="shared" ca="1" si="4"/>
        <v>N/A</v>
      </c>
      <c r="S85" s="335" t="str">
        <f t="shared" ca="1" si="5"/>
        <v>N/A</v>
      </c>
      <c r="T85" s="429" t="s">
        <v>899</v>
      </c>
      <c r="U85" s="22" t="str">
        <f>Definitions!C$20</f>
        <v>A multi-family unit. Designated by a unique billing account under rate GR and location code (LC_CD) = B, C, D (&gt;= 2 units)</v>
      </c>
      <c r="V85" s="24"/>
      <c r="W85" s="21"/>
      <c r="Y85" s="490"/>
    </row>
    <row r="86" spans="1:25" ht="60">
      <c r="A86" s="31">
        <v>83</v>
      </c>
      <c r="B86" s="22" t="s">
        <v>39</v>
      </c>
      <c r="C86" s="22" t="s">
        <v>40</v>
      </c>
      <c r="D86" s="22" t="s">
        <v>170</v>
      </c>
      <c r="E86" s="23" t="s">
        <v>171</v>
      </c>
      <c r="F86" s="22" t="s">
        <v>60</v>
      </c>
      <c r="G86" s="22" t="s">
        <v>53</v>
      </c>
      <c r="H86" s="22" t="s">
        <v>30</v>
      </c>
      <c r="I86" s="22" t="s">
        <v>172</v>
      </c>
      <c r="J86" s="22" t="s">
        <v>180</v>
      </c>
      <c r="K86" s="519" t="s">
        <v>969</v>
      </c>
      <c r="L86" s="521" t="s">
        <v>980</v>
      </c>
      <c r="M86" s="521" t="s">
        <v>981</v>
      </c>
      <c r="N86" s="521" t="s">
        <v>815</v>
      </c>
      <c r="O86" s="22" t="s">
        <v>174</v>
      </c>
      <c r="P86" s="426">
        <v>2019</v>
      </c>
      <c r="Q86" s="414">
        <f t="shared" ca="1" si="3"/>
        <v>13695.783272898685</v>
      </c>
      <c r="R86" s="335" t="str">
        <f t="shared" ca="1" si="4"/>
        <v>N/A</v>
      </c>
      <c r="S86" s="335" t="str">
        <f t="shared" ca="1" si="5"/>
        <v>N/A</v>
      </c>
      <c r="T86" s="429" t="s">
        <v>899</v>
      </c>
      <c r="U86" s="22" t="str">
        <f>Definitions!C$20</f>
        <v>A multi-family unit. Designated by a unique billing account under rate GR and location code (LC_CD) = B, C, D (&gt;= 2 units)</v>
      </c>
      <c r="V86" s="24"/>
      <c r="W86" s="21"/>
      <c r="Y86" s="490"/>
    </row>
    <row r="87" spans="1:25" ht="60">
      <c r="A87" s="31">
        <v>84</v>
      </c>
      <c r="B87" s="22" t="s">
        <v>39</v>
      </c>
      <c r="C87" s="22" t="s">
        <v>40</v>
      </c>
      <c r="D87" s="22" t="s">
        <v>170</v>
      </c>
      <c r="E87" s="23" t="s">
        <v>171</v>
      </c>
      <c r="F87" s="22" t="s">
        <v>61</v>
      </c>
      <c r="G87" s="22" t="s">
        <v>53</v>
      </c>
      <c r="H87" s="22" t="s">
        <v>30</v>
      </c>
      <c r="I87" s="22" t="s">
        <v>172</v>
      </c>
      <c r="J87" s="22" t="s">
        <v>181</v>
      </c>
      <c r="K87" s="519" t="s">
        <v>969</v>
      </c>
      <c r="L87" s="521" t="s">
        <v>982</v>
      </c>
      <c r="M87" s="521" t="s">
        <v>983</v>
      </c>
      <c r="N87" s="521" t="s">
        <v>815</v>
      </c>
      <c r="O87" s="22" t="s">
        <v>174</v>
      </c>
      <c r="P87" s="426">
        <v>2019</v>
      </c>
      <c r="Q87" s="414">
        <f t="shared" ca="1" si="3"/>
        <v>1509.0301823954469</v>
      </c>
      <c r="R87" s="335" t="str">
        <f t="shared" ca="1" si="4"/>
        <v>N/A</v>
      </c>
      <c r="S87" s="335" t="str">
        <f t="shared" ca="1" si="5"/>
        <v>N/A</v>
      </c>
      <c r="T87" s="429" t="s">
        <v>899</v>
      </c>
      <c r="U87" s="22"/>
      <c r="V87" s="24"/>
      <c r="W87" s="21"/>
      <c r="Y87" s="490"/>
    </row>
    <row r="88" spans="1:25" ht="60">
      <c r="A88" s="31">
        <v>85</v>
      </c>
      <c r="B88" s="22" t="s">
        <v>39</v>
      </c>
      <c r="C88" s="22" t="s">
        <v>40</v>
      </c>
      <c r="D88" s="22" t="s">
        <v>170</v>
      </c>
      <c r="E88" s="23" t="s">
        <v>171</v>
      </c>
      <c r="F88" s="22" t="s">
        <v>62</v>
      </c>
      <c r="G88" s="22" t="s">
        <v>53</v>
      </c>
      <c r="H88" s="22" t="s">
        <v>30</v>
      </c>
      <c r="I88" s="22" t="s">
        <v>172</v>
      </c>
      <c r="J88" s="22" t="s">
        <v>182</v>
      </c>
      <c r="K88" s="519" t="s">
        <v>969</v>
      </c>
      <c r="L88" s="521" t="s">
        <v>984</v>
      </c>
      <c r="M88" s="521" t="s">
        <v>985</v>
      </c>
      <c r="N88" s="521" t="s">
        <v>815</v>
      </c>
      <c r="O88" s="22" t="s">
        <v>174</v>
      </c>
      <c r="P88" s="426">
        <v>2019</v>
      </c>
      <c r="Q88" s="414">
        <f t="shared" ca="1" si="3"/>
        <v>1186.4867226503263</v>
      </c>
      <c r="R88" s="335" t="str">
        <f t="shared" ca="1" si="4"/>
        <v>N/A</v>
      </c>
      <c r="S88" s="335" t="str">
        <f t="shared" ca="1" si="5"/>
        <v>N/A</v>
      </c>
      <c r="T88" s="429" t="s">
        <v>899</v>
      </c>
      <c r="U88" s="22"/>
      <c r="V88" s="24"/>
      <c r="W88" s="21"/>
      <c r="Y88" s="490"/>
    </row>
    <row r="89" spans="1:25" ht="60">
      <c r="A89" s="31">
        <v>86</v>
      </c>
      <c r="B89" s="22" t="s">
        <v>39</v>
      </c>
      <c r="C89" s="22" t="s">
        <v>40</v>
      </c>
      <c r="D89" s="22" t="s">
        <v>170</v>
      </c>
      <c r="E89" s="23" t="s">
        <v>171</v>
      </c>
      <c r="F89" s="22" t="s">
        <v>63</v>
      </c>
      <c r="G89" s="22" t="s">
        <v>53</v>
      </c>
      <c r="H89" s="22" t="s">
        <v>30</v>
      </c>
      <c r="I89" s="22" t="s">
        <v>172</v>
      </c>
      <c r="J89" s="22" t="s">
        <v>183</v>
      </c>
      <c r="K89" s="519" t="s">
        <v>969</v>
      </c>
      <c r="L89" s="521" t="s">
        <v>986</v>
      </c>
      <c r="M89" s="521" t="s">
        <v>987</v>
      </c>
      <c r="N89" s="521" t="s">
        <v>815</v>
      </c>
      <c r="O89" s="22" t="s">
        <v>174</v>
      </c>
      <c r="P89" s="426">
        <v>2019</v>
      </c>
      <c r="Q89" s="414">
        <f t="shared" ca="1" si="3"/>
        <v>14804156.202913992</v>
      </c>
      <c r="R89" s="335" t="str">
        <f t="shared" ca="1" si="4"/>
        <v>N/A</v>
      </c>
      <c r="S89" s="335" t="str">
        <f t="shared" ca="1" si="5"/>
        <v>N/A</v>
      </c>
      <c r="T89" s="429" t="s">
        <v>899</v>
      </c>
      <c r="U89" s="22"/>
      <c r="V89" s="24"/>
      <c r="W89" s="21"/>
      <c r="Y89" s="490"/>
    </row>
    <row r="90" spans="1:25" ht="60">
      <c r="A90" s="31">
        <v>87</v>
      </c>
      <c r="B90" s="22" t="s">
        <v>39</v>
      </c>
      <c r="C90" s="22" t="s">
        <v>40</v>
      </c>
      <c r="D90" s="22" t="s">
        <v>170</v>
      </c>
      <c r="E90" s="23" t="s">
        <v>171</v>
      </c>
      <c r="F90" s="22" t="s">
        <v>64</v>
      </c>
      <c r="G90" s="22" t="s">
        <v>53</v>
      </c>
      <c r="H90" s="22" t="s">
        <v>30</v>
      </c>
      <c r="I90" s="22" t="s">
        <v>172</v>
      </c>
      <c r="J90" s="22" t="s">
        <v>184</v>
      </c>
      <c r="K90" s="519" t="s">
        <v>969</v>
      </c>
      <c r="L90" s="521" t="s">
        <v>988</v>
      </c>
      <c r="M90" s="521" t="s">
        <v>989</v>
      </c>
      <c r="N90" s="521" t="s">
        <v>815</v>
      </c>
      <c r="O90" s="22" t="s">
        <v>174</v>
      </c>
      <c r="P90" s="426">
        <v>2019</v>
      </c>
      <c r="Q90" s="414">
        <f t="shared" ca="1" si="3"/>
        <v>10036625.689705309</v>
      </c>
      <c r="R90" s="335" t="str">
        <f t="shared" ca="1" si="4"/>
        <v>N/A</v>
      </c>
      <c r="S90" s="335" t="str">
        <f t="shared" ca="1" si="5"/>
        <v>N/A</v>
      </c>
      <c r="T90" s="429" t="s">
        <v>899</v>
      </c>
      <c r="U90" s="22"/>
      <c r="V90" s="24"/>
      <c r="W90" s="21"/>
      <c r="Y90" s="490"/>
    </row>
    <row r="91" spans="1:25" ht="60">
      <c r="A91" s="31">
        <v>88</v>
      </c>
      <c r="B91" s="22" t="s">
        <v>39</v>
      </c>
      <c r="C91" s="22" t="s">
        <v>40</v>
      </c>
      <c r="D91" s="22" t="s">
        <v>170</v>
      </c>
      <c r="E91" s="23" t="s">
        <v>171</v>
      </c>
      <c r="F91" s="22" t="s">
        <v>65</v>
      </c>
      <c r="G91" s="22" t="s">
        <v>53</v>
      </c>
      <c r="H91" s="22" t="s">
        <v>30</v>
      </c>
      <c r="I91" s="22" t="s">
        <v>172</v>
      </c>
      <c r="J91" s="22" t="s">
        <v>185</v>
      </c>
      <c r="K91" s="519" t="s">
        <v>969</v>
      </c>
      <c r="L91" s="521" t="s">
        <v>990</v>
      </c>
      <c r="M91" s="521" t="s">
        <v>991</v>
      </c>
      <c r="N91" s="521" t="s">
        <v>815</v>
      </c>
      <c r="O91" s="22" t="s">
        <v>174</v>
      </c>
      <c r="P91" s="426">
        <v>2019</v>
      </c>
      <c r="Q91" s="414">
        <f t="shared" ca="1" si="3"/>
        <v>345872.63006051077</v>
      </c>
      <c r="R91" s="335" t="str">
        <f t="shared" ca="1" si="4"/>
        <v>N/A</v>
      </c>
      <c r="S91" s="335" t="str">
        <f t="shared" ca="1" si="5"/>
        <v>N/A</v>
      </c>
      <c r="T91" s="429" t="s">
        <v>899</v>
      </c>
      <c r="U91" s="22" t="str">
        <f>Definitions!C$20</f>
        <v>A multi-family unit. Designated by a unique billing account under rate GR and location code (LC_CD) = B, C, D (&gt;= 2 units)</v>
      </c>
      <c r="V91" s="24"/>
      <c r="W91" s="21"/>
      <c r="Y91" s="490"/>
    </row>
    <row r="92" spans="1:25" ht="60">
      <c r="A92" s="31">
        <v>89</v>
      </c>
      <c r="B92" s="22" t="s">
        <v>39</v>
      </c>
      <c r="C92" s="22" t="s">
        <v>40</v>
      </c>
      <c r="D92" s="22" t="s">
        <v>170</v>
      </c>
      <c r="E92" s="23" t="s">
        <v>171</v>
      </c>
      <c r="F92" s="22" t="s">
        <v>66</v>
      </c>
      <c r="G92" s="22" t="s">
        <v>53</v>
      </c>
      <c r="H92" s="22" t="s">
        <v>30</v>
      </c>
      <c r="I92" s="22" t="s">
        <v>172</v>
      </c>
      <c r="J92" s="22" t="s">
        <v>186</v>
      </c>
      <c r="K92" s="519" t="s">
        <v>969</v>
      </c>
      <c r="L92" s="521" t="s">
        <v>992</v>
      </c>
      <c r="M92" s="521" t="s">
        <v>993</v>
      </c>
      <c r="N92" s="521" t="s">
        <v>815</v>
      </c>
      <c r="O92" s="22" t="s">
        <v>174</v>
      </c>
      <c r="P92" s="426">
        <v>2019</v>
      </c>
      <c r="Q92" s="414">
        <f t="shared" ca="1" si="3"/>
        <v>200510.07670012189</v>
      </c>
      <c r="R92" s="335" t="str">
        <f t="shared" ca="1" si="4"/>
        <v>N/A</v>
      </c>
      <c r="S92" s="335" t="str">
        <f t="shared" ca="1" si="5"/>
        <v>N/A</v>
      </c>
      <c r="T92" s="429" t="s">
        <v>899</v>
      </c>
      <c r="U92" s="22" t="str">
        <f>Definitions!C$20</f>
        <v>A multi-family unit. Designated by a unique billing account under rate GR and location code (LC_CD) = B, C, D (&gt;= 2 units)</v>
      </c>
      <c r="V92" s="24"/>
      <c r="W92" s="21"/>
      <c r="Y92" s="490"/>
    </row>
    <row r="93" spans="1:25" ht="60">
      <c r="A93" s="31">
        <v>90</v>
      </c>
      <c r="B93" s="22" t="s">
        <v>39</v>
      </c>
      <c r="C93" s="22" t="s">
        <v>40</v>
      </c>
      <c r="D93" s="22" t="s">
        <v>170</v>
      </c>
      <c r="E93" s="23" t="s">
        <v>187</v>
      </c>
      <c r="F93" s="22" t="s">
        <v>52</v>
      </c>
      <c r="G93" s="22" t="s">
        <v>53</v>
      </c>
      <c r="H93" s="22" t="s">
        <v>30</v>
      </c>
      <c r="I93" s="22" t="s">
        <v>172</v>
      </c>
      <c r="J93" s="22" t="s">
        <v>188</v>
      </c>
      <c r="K93" s="519" t="s">
        <v>969</v>
      </c>
      <c r="L93" s="521" t="s">
        <v>994</v>
      </c>
      <c r="M93" s="521" t="s">
        <v>995</v>
      </c>
      <c r="N93" s="521" t="s">
        <v>815</v>
      </c>
      <c r="O93" s="22" t="s">
        <v>174</v>
      </c>
      <c r="P93" s="426">
        <v>2019</v>
      </c>
      <c r="Q93" s="414">
        <f t="shared" ca="1" si="3"/>
        <v>612.81753846723996</v>
      </c>
      <c r="R93" s="335" t="str">
        <f t="shared" ca="1" si="4"/>
        <v>N/A</v>
      </c>
      <c r="S93" s="335" t="str">
        <f t="shared" ca="1" si="5"/>
        <v>N/A</v>
      </c>
      <c r="T93" s="429" t="s">
        <v>899</v>
      </c>
      <c r="U93" s="22"/>
      <c r="V93" s="24"/>
      <c r="W93" s="21"/>
      <c r="Y93" s="490"/>
    </row>
    <row r="94" spans="1:25" ht="60">
      <c r="A94" s="31">
        <v>91</v>
      </c>
      <c r="B94" s="22" t="s">
        <v>39</v>
      </c>
      <c r="C94" s="22" t="s">
        <v>40</v>
      </c>
      <c r="D94" s="22" t="s">
        <v>170</v>
      </c>
      <c r="E94" s="23" t="s">
        <v>187</v>
      </c>
      <c r="F94" s="22" t="s">
        <v>55</v>
      </c>
      <c r="G94" s="22" t="s">
        <v>53</v>
      </c>
      <c r="H94" s="22" t="s">
        <v>30</v>
      </c>
      <c r="I94" s="22" t="s">
        <v>172</v>
      </c>
      <c r="J94" s="22" t="s">
        <v>189</v>
      </c>
      <c r="K94" s="519" t="s">
        <v>969</v>
      </c>
      <c r="L94" s="521" t="s">
        <v>996</v>
      </c>
      <c r="M94" s="521" t="s">
        <v>997</v>
      </c>
      <c r="N94" s="521" t="s">
        <v>815</v>
      </c>
      <c r="O94" s="22" t="s">
        <v>174</v>
      </c>
      <c r="P94" s="426">
        <v>2019</v>
      </c>
      <c r="Q94" s="414">
        <f t="shared" ca="1" si="3"/>
        <v>466.77326383783571</v>
      </c>
      <c r="R94" s="335" t="str">
        <f t="shared" ca="1" si="4"/>
        <v>N/A</v>
      </c>
      <c r="S94" s="335" t="str">
        <f t="shared" ca="1" si="5"/>
        <v>N/A</v>
      </c>
      <c r="T94" s="429" t="s">
        <v>899</v>
      </c>
      <c r="U94" s="22"/>
      <c r="V94" s="24"/>
      <c r="W94" s="21"/>
      <c r="Y94" s="490"/>
    </row>
    <row r="95" spans="1:25" ht="60">
      <c r="A95" s="31">
        <v>92</v>
      </c>
      <c r="B95" s="22" t="s">
        <v>39</v>
      </c>
      <c r="C95" s="22" t="s">
        <v>40</v>
      </c>
      <c r="D95" s="22" t="s">
        <v>170</v>
      </c>
      <c r="E95" s="23" t="s">
        <v>187</v>
      </c>
      <c r="F95" s="22" t="s">
        <v>56</v>
      </c>
      <c r="G95" s="22" t="s">
        <v>53</v>
      </c>
      <c r="H95" s="22" t="s">
        <v>30</v>
      </c>
      <c r="I95" s="22" t="s">
        <v>172</v>
      </c>
      <c r="J95" s="22" t="s">
        <v>190</v>
      </c>
      <c r="K95" s="519" t="s">
        <v>969</v>
      </c>
      <c r="L95" s="521" t="s">
        <v>998</v>
      </c>
      <c r="M95" s="521" t="s">
        <v>999</v>
      </c>
      <c r="N95" s="521" t="s">
        <v>815</v>
      </c>
      <c r="O95" s="22" t="s">
        <v>174</v>
      </c>
      <c r="P95" s="426">
        <v>2019</v>
      </c>
      <c r="Q95" s="414">
        <f t="shared" ca="1" si="3"/>
        <v>1505805.4656984</v>
      </c>
      <c r="R95" s="335" t="str">
        <f t="shared" ca="1" si="4"/>
        <v>N/A</v>
      </c>
      <c r="S95" s="335" t="str">
        <f t="shared" ca="1" si="5"/>
        <v>N/A</v>
      </c>
      <c r="T95" s="429" t="s">
        <v>899</v>
      </c>
      <c r="U95" s="22"/>
      <c r="V95" s="24"/>
      <c r="W95" s="21"/>
      <c r="Y95" s="490"/>
    </row>
    <row r="96" spans="1:25" ht="60">
      <c r="A96" s="31">
        <v>93</v>
      </c>
      <c r="B96" s="22" t="s">
        <v>39</v>
      </c>
      <c r="C96" s="22" t="s">
        <v>40</v>
      </c>
      <c r="D96" s="22" t="s">
        <v>170</v>
      </c>
      <c r="E96" s="23" t="s">
        <v>187</v>
      </c>
      <c r="F96" s="22" t="s">
        <v>57</v>
      </c>
      <c r="G96" s="22" t="s">
        <v>53</v>
      </c>
      <c r="H96" s="22" t="s">
        <v>30</v>
      </c>
      <c r="I96" s="22" t="s">
        <v>172</v>
      </c>
      <c r="J96" s="22" t="s">
        <v>191</v>
      </c>
      <c r="K96" s="519" t="s">
        <v>969</v>
      </c>
      <c r="L96" s="521" t="s">
        <v>1000</v>
      </c>
      <c r="M96" s="521" t="s">
        <v>1001</v>
      </c>
      <c r="N96" s="521" t="s">
        <v>815</v>
      </c>
      <c r="O96" s="22" t="s">
        <v>174</v>
      </c>
      <c r="P96" s="426">
        <v>2019</v>
      </c>
      <c r="Q96" s="414">
        <f t="shared" ca="1" si="3"/>
        <v>996265.9581351541</v>
      </c>
      <c r="R96" s="335" t="str">
        <f t="shared" ca="1" si="4"/>
        <v>N/A</v>
      </c>
      <c r="S96" s="335" t="str">
        <f t="shared" ca="1" si="5"/>
        <v>N/A</v>
      </c>
      <c r="T96" s="429" t="s">
        <v>899</v>
      </c>
      <c r="U96" s="22"/>
      <c r="V96" s="24"/>
      <c r="W96" s="21"/>
      <c r="Y96" s="490"/>
    </row>
    <row r="97" spans="1:25" ht="60">
      <c r="A97" s="31">
        <v>94</v>
      </c>
      <c r="B97" s="22" t="s">
        <v>39</v>
      </c>
      <c r="C97" s="22" t="s">
        <v>40</v>
      </c>
      <c r="D97" s="22" t="s">
        <v>170</v>
      </c>
      <c r="E97" s="23" t="s">
        <v>187</v>
      </c>
      <c r="F97" s="22" t="s">
        <v>58</v>
      </c>
      <c r="G97" s="22" t="s">
        <v>53</v>
      </c>
      <c r="H97" s="22" t="s">
        <v>30</v>
      </c>
      <c r="I97" s="22" t="s">
        <v>172</v>
      </c>
      <c r="J97" s="22" t="s">
        <v>192</v>
      </c>
      <c r="K97" s="519" t="s">
        <v>969</v>
      </c>
      <c r="L97" s="521" t="s">
        <v>1002</v>
      </c>
      <c r="M97" s="521" t="s">
        <v>1003</v>
      </c>
      <c r="N97" s="521" t="s">
        <v>815</v>
      </c>
      <c r="O97" s="22" t="s">
        <v>174</v>
      </c>
      <c r="P97" s="426">
        <v>2019</v>
      </c>
      <c r="Q97" s="414">
        <f t="shared" ca="1" si="3"/>
        <v>47831.746023068205</v>
      </c>
      <c r="R97" s="335" t="str">
        <f t="shared" ca="1" si="4"/>
        <v>N/A</v>
      </c>
      <c r="S97" s="335" t="str">
        <f t="shared" ca="1" si="5"/>
        <v>N/A</v>
      </c>
      <c r="T97" s="429" t="s">
        <v>899</v>
      </c>
      <c r="U97" s="22" t="str">
        <f>Definitions!C$22</f>
        <v>AL 3826. Natural gas procurement for MF accomodations supply Baseline uses through one meter. Such as service will be billed under rates designated for GM-E, GM-BE or GM-BEC, as appropriate.</v>
      </c>
      <c r="V97" s="24"/>
      <c r="W97" s="21"/>
      <c r="Y97" s="490"/>
    </row>
    <row r="98" spans="1:25" ht="60">
      <c r="A98" s="31">
        <v>95</v>
      </c>
      <c r="B98" s="22" t="s">
        <v>39</v>
      </c>
      <c r="C98" s="22" t="s">
        <v>40</v>
      </c>
      <c r="D98" s="22" t="s">
        <v>170</v>
      </c>
      <c r="E98" s="23" t="s">
        <v>187</v>
      </c>
      <c r="F98" s="22" t="s">
        <v>60</v>
      </c>
      <c r="G98" s="22" t="s">
        <v>53</v>
      </c>
      <c r="H98" s="22" t="s">
        <v>30</v>
      </c>
      <c r="I98" s="22" t="s">
        <v>172</v>
      </c>
      <c r="J98" s="22" t="s">
        <v>193</v>
      </c>
      <c r="K98" s="519" t="s">
        <v>969</v>
      </c>
      <c r="L98" s="521" t="s">
        <v>1004</v>
      </c>
      <c r="M98" s="521" t="s">
        <v>1005</v>
      </c>
      <c r="N98" s="521" t="s">
        <v>815</v>
      </c>
      <c r="O98" s="22" t="s">
        <v>174</v>
      </c>
      <c r="P98" s="426">
        <v>2019</v>
      </c>
      <c r="Q98" s="414">
        <f t="shared" ca="1" si="3"/>
        <v>29610.004248709818</v>
      </c>
      <c r="R98" s="335" t="str">
        <f t="shared" ca="1" si="4"/>
        <v>N/A</v>
      </c>
      <c r="S98" s="335" t="str">
        <f t="shared" ca="1" si="5"/>
        <v>N/A</v>
      </c>
      <c r="T98" s="429" t="s">
        <v>899</v>
      </c>
      <c r="U98" s="22" t="str">
        <f>Definitions!C$22</f>
        <v>AL 3826. Natural gas procurement for MF accomodations supply Baseline uses through one meter. Such as service will be billed under rates designated for GM-E, GM-BE or GM-BEC, as appropriate.</v>
      </c>
      <c r="V98" s="24"/>
      <c r="W98" s="21"/>
      <c r="Y98" s="490"/>
    </row>
    <row r="99" spans="1:25" ht="60">
      <c r="A99" s="31">
        <v>96</v>
      </c>
      <c r="B99" s="22" t="s">
        <v>39</v>
      </c>
      <c r="C99" s="22" t="s">
        <v>40</v>
      </c>
      <c r="D99" s="22" t="s">
        <v>170</v>
      </c>
      <c r="E99" s="23" t="s">
        <v>187</v>
      </c>
      <c r="F99" s="22" t="s">
        <v>61</v>
      </c>
      <c r="G99" s="22" t="s">
        <v>53</v>
      </c>
      <c r="H99" s="22" t="s">
        <v>30</v>
      </c>
      <c r="I99" s="22" t="s">
        <v>172</v>
      </c>
      <c r="J99" s="22" t="s">
        <v>194</v>
      </c>
      <c r="K99" s="519" t="s">
        <v>969</v>
      </c>
      <c r="L99" s="521" t="s">
        <v>1006</v>
      </c>
      <c r="M99" s="521" t="s">
        <v>1007</v>
      </c>
      <c r="N99" s="521" t="s">
        <v>815</v>
      </c>
      <c r="O99" s="22" t="s">
        <v>174</v>
      </c>
      <c r="P99" s="426">
        <v>2019</v>
      </c>
      <c r="Q99" s="414">
        <f t="shared" ca="1" si="3"/>
        <v>2334.8742633611901</v>
      </c>
      <c r="R99" s="335" t="str">
        <f t="shared" ca="1" si="4"/>
        <v>N/A</v>
      </c>
      <c r="S99" s="335" t="str">
        <f t="shared" ca="1" si="5"/>
        <v>N/A</v>
      </c>
      <c r="T99" s="429" t="s">
        <v>899</v>
      </c>
      <c r="U99" s="22"/>
      <c r="V99" s="24"/>
      <c r="W99" s="21"/>
      <c r="Y99" s="490"/>
    </row>
    <row r="100" spans="1:25" ht="60">
      <c r="A100" s="31">
        <v>97</v>
      </c>
      <c r="B100" s="22" t="s">
        <v>39</v>
      </c>
      <c r="C100" s="22" t="s">
        <v>40</v>
      </c>
      <c r="D100" s="22" t="s">
        <v>170</v>
      </c>
      <c r="E100" s="23" t="s">
        <v>187</v>
      </c>
      <c r="F100" s="22" t="s">
        <v>62</v>
      </c>
      <c r="G100" s="22" t="s">
        <v>53</v>
      </c>
      <c r="H100" s="22" t="s">
        <v>30</v>
      </c>
      <c r="I100" s="22" t="s">
        <v>172</v>
      </c>
      <c r="J100" s="22" t="s">
        <v>195</v>
      </c>
      <c r="K100" s="519" t="s">
        <v>969</v>
      </c>
      <c r="L100" s="521" t="s">
        <v>1008</v>
      </c>
      <c r="M100" s="521" t="s">
        <v>1009</v>
      </c>
      <c r="N100" s="521" t="s">
        <v>815</v>
      </c>
      <c r="O100" s="22" t="s">
        <v>174</v>
      </c>
      <c r="P100" s="426">
        <v>2019</v>
      </c>
      <c r="Q100" s="414">
        <f t="shared" ca="1" si="3"/>
        <v>1697.2428099729545</v>
      </c>
      <c r="R100" s="335" t="str">
        <f t="shared" ca="1" si="4"/>
        <v>N/A</v>
      </c>
      <c r="S100" s="335" t="str">
        <f t="shared" ca="1" si="5"/>
        <v>N/A</v>
      </c>
      <c r="T100" s="429" t="s">
        <v>899</v>
      </c>
      <c r="U100" s="22"/>
      <c r="V100" s="24"/>
      <c r="W100" s="21"/>
      <c r="Y100" s="490"/>
    </row>
    <row r="101" spans="1:25" ht="60">
      <c r="A101" s="31">
        <v>98</v>
      </c>
      <c r="B101" s="22" t="s">
        <v>39</v>
      </c>
      <c r="C101" s="22" t="s">
        <v>40</v>
      </c>
      <c r="D101" s="22" t="s">
        <v>170</v>
      </c>
      <c r="E101" s="23" t="s">
        <v>187</v>
      </c>
      <c r="F101" s="22" t="s">
        <v>63</v>
      </c>
      <c r="G101" s="22" t="s">
        <v>53</v>
      </c>
      <c r="H101" s="22" t="s">
        <v>30</v>
      </c>
      <c r="I101" s="22" t="s">
        <v>172</v>
      </c>
      <c r="J101" s="22" t="s">
        <v>196</v>
      </c>
      <c r="K101" s="519" t="s">
        <v>969</v>
      </c>
      <c r="L101" s="521" t="s">
        <v>1010</v>
      </c>
      <c r="M101" s="521" t="s">
        <v>1011</v>
      </c>
      <c r="N101" s="521" t="s">
        <v>815</v>
      </c>
      <c r="O101" s="22" t="s">
        <v>174</v>
      </c>
      <c r="P101" s="426">
        <v>2019</v>
      </c>
      <c r="Q101" s="414">
        <f t="shared" ca="1" si="3"/>
        <v>9862738.1381028295</v>
      </c>
      <c r="R101" s="335" t="str">
        <f t="shared" ca="1" si="4"/>
        <v>N/A</v>
      </c>
      <c r="S101" s="335" t="str">
        <f t="shared" ca="1" si="5"/>
        <v>N/A</v>
      </c>
      <c r="T101" s="429" t="s">
        <v>899</v>
      </c>
      <c r="U101" s="22"/>
      <c r="V101" s="24"/>
      <c r="W101" s="21"/>
      <c r="Y101" s="490"/>
    </row>
    <row r="102" spans="1:25" ht="60">
      <c r="A102" s="31">
        <v>99</v>
      </c>
      <c r="B102" s="22" t="s">
        <v>39</v>
      </c>
      <c r="C102" s="22" t="s">
        <v>40</v>
      </c>
      <c r="D102" s="22" t="s">
        <v>170</v>
      </c>
      <c r="E102" s="23" t="s">
        <v>187</v>
      </c>
      <c r="F102" s="22" t="s">
        <v>64</v>
      </c>
      <c r="G102" s="22" t="s">
        <v>53</v>
      </c>
      <c r="H102" s="22" t="s">
        <v>30</v>
      </c>
      <c r="I102" s="22" t="s">
        <v>172</v>
      </c>
      <c r="J102" s="22" t="s">
        <v>197</v>
      </c>
      <c r="K102" s="519" t="s">
        <v>969</v>
      </c>
      <c r="L102" s="521" t="s">
        <v>1012</v>
      </c>
      <c r="M102" s="521" t="s">
        <v>1013</v>
      </c>
      <c r="N102" s="521" t="s">
        <v>815</v>
      </c>
      <c r="O102" s="22" t="s">
        <v>174</v>
      </c>
      <c r="P102" s="426">
        <v>2019</v>
      </c>
      <c r="Q102" s="414">
        <f t="shared" ca="1" si="3"/>
        <v>6193583.0252720006</v>
      </c>
      <c r="R102" s="335" t="str">
        <f t="shared" ca="1" si="4"/>
        <v>N/A</v>
      </c>
      <c r="S102" s="335" t="str">
        <f t="shared" ca="1" si="5"/>
        <v>N/A</v>
      </c>
      <c r="T102" s="429" t="s">
        <v>899</v>
      </c>
      <c r="U102" s="22"/>
      <c r="V102" s="24"/>
      <c r="W102" s="21"/>
      <c r="Y102" s="490"/>
    </row>
    <row r="103" spans="1:25" ht="60">
      <c r="A103" s="31">
        <v>100</v>
      </c>
      <c r="B103" s="22" t="s">
        <v>39</v>
      </c>
      <c r="C103" s="22" t="s">
        <v>40</v>
      </c>
      <c r="D103" s="22" t="s">
        <v>170</v>
      </c>
      <c r="E103" s="23" t="s">
        <v>187</v>
      </c>
      <c r="F103" s="22" t="s">
        <v>65</v>
      </c>
      <c r="G103" s="22" t="s">
        <v>53</v>
      </c>
      <c r="H103" s="22" t="s">
        <v>30</v>
      </c>
      <c r="I103" s="22" t="s">
        <v>172</v>
      </c>
      <c r="J103" s="22" t="s">
        <v>198</v>
      </c>
      <c r="K103" s="519" t="s">
        <v>969</v>
      </c>
      <c r="L103" s="521" t="s">
        <v>1014</v>
      </c>
      <c r="M103" s="521" t="s">
        <v>1015</v>
      </c>
      <c r="N103" s="521" t="s">
        <v>815</v>
      </c>
      <c r="O103" s="22" t="s">
        <v>174</v>
      </c>
      <c r="P103" s="426">
        <v>2019</v>
      </c>
      <c r="Q103" s="414">
        <f t="shared" ca="1" si="3"/>
        <v>491198.30008748802</v>
      </c>
      <c r="R103" s="335" t="str">
        <f t="shared" ca="1" si="4"/>
        <v>N/A</v>
      </c>
      <c r="S103" s="335" t="str">
        <f t="shared" ca="1" si="5"/>
        <v>N/A</v>
      </c>
      <c r="T103" s="429" t="s">
        <v>899</v>
      </c>
      <c r="U103" s="22" t="str">
        <f>Definitions!C$22</f>
        <v>AL 3826. Natural gas procurement for MF accomodations supply Baseline uses through one meter. Such as service will be billed under rates designated for GM-E, GM-BE or GM-BEC, as appropriate.</v>
      </c>
      <c r="V103" s="24"/>
      <c r="W103" s="21"/>
      <c r="Y103" s="490"/>
    </row>
    <row r="104" spans="1:25" ht="60">
      <c r="A104" s="31">
        <v>101</v>
      </c>
      <c r="B104" s="22" t="s">
        <v>39</v>
      </c>
      <c r="C104" s="22" t="s">
        <v>40</v>
      </c>
      <c r="D104" s="22" t="s">
        <v>170</v>
      </c>
      <c r="E104" s="23" t="s">
        <v>187</v>
      </c>
      <c r="F104" s="22" t="s">
        <v>66</v>
      </c>
      <c r="G104" s="22" t="s">
        <v>53</v>
      </c>
      <c r="H104" s="22" t="s">
        <v>30</v>
      </c>
      <c r="I104" s="22" t="s">
        <v>172</v>
      </c>
      <c r="J104" s="22" t="s">
        <v>199</v>
      </c>
      <c r="K104" s="519" t="s">
        <v>969</v>
      </c>
      <c r="L104" s="521" t="s">
        <v>1016</v>
      </c>
      <c r="M104" s="521" t="s">
        <v>1017</v>
      </c>
      <c r="N104" s="521" t="s">
        <v>815</v>
      </c>
      <c r="O104" s="22" t="s">
        <v>174</v>
      </c>
      <c r="P104" s="426">
        <v>2019</v>
      </c>
      <c r="Q104" s="414">
        <f t="shared" ca="1" si="3"/>
        <v>300691.72016428836</v>
      </c>
      <c r="R104" s="335" t="str">
        <f t="shared" ca="1" si="4"/>
        <v>N/A</v>
      </c>
      <c r="S104" s="335" t="str">
        <f t="shared" ca="1" si="5"/>
        <v>N/A</v>
      </c>
      <c r="T104" s="429" t="s">
        <v>899</v>
      </c>
      <c r="U104" s="22" t="str">
        <f>Definitions!C$22</f>
        <v>AL 3826. Natural gas procurement for MF accomodations supply Baseline uses through one meter. Such as service will be billed under rates designated for GM-E, GM-BE or GM-BEC, as appropriate.</v>
      </c>
      <c r="V104" s="24"/>
      <c r="W104" s="21"/>
      <c r="Y104" s="490"/>
    </row>
    <row r="105" spans="1:25" ht="60">
      <c r="A105" s="31">
        <v>102</v>
      </c>
      <c r="B105" s="22" t="s">
        <v>39</v>
      </c>
      <c r="C105" s="22" t="s">
        <v>40</v>
      </c>
      <c r="D105" s="22" t="s">
        <v>170</v>
      </c>
      <c r="E105" s="23" t="s">
        <v>200</v>
      </c>
      <c r="F105" s="22" t="s">
        <v>52</v>
      </c>
      <c r="G105" s="22" t="s">
        <v>53</v>
      </c>
      <c r="H105" s="22" t="s">
        <v>30</v>
      </c>
      <c r="I105" s="22" t="s">
        <v>172</v>
      </c>
      <c r="J105" s="22" t="s">
        <v>201</v>
      </c>
      <c r="K105" s="519" t="s">
        <v>969</v>
      </c>
      <c r="L105" s="521" t="s">
        <v>1018</v>
      </c>
      <c r="M105" s="521" t="s">
        <v>1019</v>
      </c>
      <c r="N105" s="521" t="s">
        <v>815</v>
      </c>
      <c r="O105" s="22" t="s">
        <v>174</v>
      </c>
      <c r="P105" s="426">
        <v>2019</v>
      </c>
      <c r="Q105" s="414">
        <f t="shared" ca="1" si="3"/>
        <v>295.83382005334192</v>
      </c>
      <c r="R105" s="335" t="str">
        <f t="shared" ca="1" si="4"/>
        <v>N/A</v>
      </c>
      <c r="S105" s="335" t="str">
        <f t="shared" ca="1" si="5"/>
        <v>N/A</v>
      </c>
      <c r="T105" s="429" t="s">
        <v>899</v>
      </c>
      <c r="U105" s="22"/>
      <c r="V105" s="24"/>
      <c r="W105" s="21"/>
      <c r="Y105" s="490"/>
    </row>
    <row r="106" spans="1:25" ht="60">
      <c r="A106" s="31">
        <v>103</v>
      </c>
      <c r="B106" s="22" t="s">
        <v>39</v>
      </c>
      <c r="C106" s="22" t="s">
        <v>40</v>
      </c>
      <c r="D106" s="22" t="s">
        <v>170</v>
      </c>
      <c r="E106" s="23" t="s">
        <v>200</v>
      </c>
      <c r="F106" s="22" t="s">
        <v>55</v>
      </c>
      <c r="G106" s="22" t="s">
        <v>53</v>
      </c>
      <c r="H106" s="22" t="s">
        <v>30</v>
      </c>
      <c r="I106" s="22" t="s">
        <v>172</v>
      </c>
      <c r="J106" s="22" t="s">
        <v>202</v>
      </c>
      <c r="K106" s="519" t="s">
        <v>969</v>
      </c>
      <c r="L106" s="521" t="s">
        <v>1020</v>
      </c>
      <c r="M106" s="521" t="s">
        <v>1021</v>
      </c>
      <c r="N106" s="521" t="s">
        <v>815</v>
      </c>
      <c r="O106" s="22" t="s">
        <v>174</v>
      </c>
      <c r="P106" s="426">
        <v>2019</v>
      </c>
      <c r="Q106" s="414">
        <f t="shared" ca="1" si="3"/>
        <v>239.66784916986686</v>
      </c>
      <c r="R106" s="335" t="str">
        <f t="shared" ca="1" si="4"/>
        <v>N/A</v>
      </c>
      <c r="S106" s="335" t="str">
        <f t="shared" ca="1" si="5"/>
        <v>N/A</v>
      </c>
      <c r="T106" s="429" t="s">
        <v>899</v>
      </c>
      <c r="U106" s="22"/>
      <c r="V106" s="24"/>
      <c r="W106" s="21"/>
      <c r="Y106" s="490"/>
    </row>
    <row r="107" spans="1:25" ht="60">
      <c r="A107" s="31">
        <v>104</v>
      </c>
      <c r="B107" s="22" t="s">
        <v>39</v>
      </c>
      <c r="C107" s="22" t="s">
        <v>40</v>
      </c>
      <c r="D107" s="22" t="s">
        <v>170</v>
      </c>
      <c r="E107" s="23" t="s">
        <v>200</v>
      </c>
      <c r="F107" s="22" t="s">
        <v>56</v>
      </c>
      <c r="G107" s="22" t="s">
        <v>53</v>
      </c>
      <c r="H107" s="22" t="s">
        <v>30</v>
      </c>
      <c r="I107" s="22" t="s">
        <v>172</v>
      </c>
      <c r="J107" s="22" t="s">
        <v>203</v>
      </c>
      <c r="K107" s="519" t="s">
        <v>969</v>
      </c>
      <c r="L107" s="521" t="s">
        <v>1022</v>
      </c>
      <c r="M107" s="521" t="s">
        <v>1023</v>
      </c>
      <c r="N107" s="521" t="s">
        <v>815</v>
      </c>
      <c r="O107" s="22" t="s">
        <v>174</v>
      </c>
      <c r="P107" s="426">
        <v>2019</v>
      </c>
      <c r="Q107" s="414">
        <f t="shared" ca="1" si="3"/>
        <v>945388.48241063219</v>
      </c>
      <c r="R107" s="335" t="str">
        <f t="shared" ca="1" si="4"/>
        <v>N/A</v>
      </c>
      <c r="S107" s="335" t="str">
        <f t="shared" ca="1" si="5"/>
        <v>N/A</v>
      </c>
      <c r="T107" s="429" t="s">
        <v>899</v>
      </c>
      <c r="U107" s="22"/>
      <c r="V107" s="24"/>
      <c r="W107" s="21"/>
      <c r="Y107" s="490"/>
    </row>
    <row r="108" spans="1:25" ht="60">
      <c r="A108" s="31">
        <v>105</v>
      </c>
      <c r="B108" s="22" t="s">
        <v>39</v>
      </c>
      <c r="C108" s="22" t="s">
        <v>40</v>
      </c>
      <c r="D108" s="22" t="s">
        <v>170</v>
      </c>
      <c r="E108" s="23" t="s">
        <v>200</v>
      </c>
      <c r="F108" s="22" t="s">
        <v>57</v>
      </c>
      <c r="G108" s="22" t="s">
        <v>53</v>
      </c>
      <c r="H108" s="22" t="s">
        <v>30</v>
      </c>
      <c r="I108" s="22" t="s">
        <v>172</v>
      </c>
      <c r="J108" s="22" t="s">
        <v>204</v>
      </c>
      <c r="K108" s="519" t="s">
        <v>969</v>
      </c>
      <c r="L108" s="521" t="s">
        <v>1024</v>
      </c>
      <c r="M108" s="521" t="s">
        <v>1025</v>
      </c>
      <c r="N108" s="521" t="s">
        <v>815</v>
      </c>
      <c r="O108" s="22" t="s">
        <v>174</v>
      </c>
      <c r="P108" s="426">
        <v>2019</v>
      </c>
      <c r="Q108" s="414">
        <f t="shared" ca="1" si="3"/>
        <v>683328.81799301051</v>
      </c>
      <c r="R108" s="335" t="str">
        <f t="shared" ca="1" si="4"/>
        <v>N/A</v>
      </c>
      <c r="S108" s="335" t="str">
        <f t="shared" ca="1" si="5"/>
        <v>N/A</v>
      </c>
      <c r="T108" s="429" t="s">
        <v>899</v>
      </c>
      <c r="U108" s="22"/>
      <c r="V108" s="24"/>
      <c r="W108" s="21"/>
      <c r="Y108" s="490"/>
    </row>
    <row r="109" spans="1:25" ht="60">
      <c r="A109" s="31">
        <v>106</v>
      </c>
      <c r="B109" s="22" t="s">
        <v>39</v>
      </c>
      <c r="C109" s="22" t="s">
        <v>40</v>
      </c>
      <c r="D109" s="22" t="s">
        <v>170</v>
      </c>
      <c r="E109" s="23" t="s">
        <v>200</v>
      </c>
      <c r="F109" s="22" t="s">
        <v>58</v>
      </c>
      <c r="G109" s="22" t="s">
        <v>53</v>
      </c>
      <c r="H109" s="22" t="s">
        <v>30</v>
      </c>
      <c r="I109" s="22" t="s">
        <v>172</v>
      </c>
      <c r="J109" s="22" t="s">
        <v>205</v>
      </c>
      <c r="K109" s="519" t="s">
        <v>969</v>
      </c>
      <c r="L109" s="521" t="s">
        <v>1026</v>
      </c>
      <c r="M109" s="521" t="s">
        <v>1027</v>
      </c>
      <c r="N109" s="521" t="s">
        <v>815</v>
      </c>
      <c r="O109" s="22" t="s">
        <v>174</v>
      </c>
      <c r="P109" s="426">
        <v>2019</v>
      </c>
      <c r="Q109" s="414">
        <f t="shared" ca="1" si="3"/>
        <v>15979.783781101989</v>
      </c>
      <c r="R109" s="335" t="str">
        <f t="shared" ca="1" si="4"/>
        <v>N/A</v>
      </c>
      <c r="S109" s="335" t="str">
        <f t="shared" ca="1" si="5"/>
        <v>N/A</v>
      </c>
      <c r="T109" s="429" t="s">
        <v>899</v>
      </c>
      <c r="U109" s="22" t="str">
        <f>Definitions!C$21</f>
        <v>AL 3826. Natural gas supplied through a single meter to common facilities only, will be billed under rates GM-C, GM-BC or GM-BCC, as appropriate.</v>
      </c>
      <c r="V109" s="24"/>
      <c r="W109" s="21"/>
      <c r="Y109" s="490"/>
    </row>
    <row r="110" spans="1:25" ht="60">
      <c r="A110" s="31">
        <v>107</v>
      </c>
      <c r="B110" s="22" t="s">
        <v>39</v>
      </c>
      <c r="C110" s="22" t="s">
        <v>40</v>
      </c>
      <c r="D110" s="22" t="s">
        <v>170</v>
      </c>
      <c r="E110" s="23" t="s">
        <v>200</v>
      </c>
      <c r="F110" s="22" t="s">
        <v>60</v>
      </c>
      <c r="G110" s="22" t="s">
        <v>53</v>
      </c>
      <c r="H110" s="22" t="s">
        <v>30</v>
      </c>
      <c r="I110" s="22" t="s">
        <v>172</v>
      </c>
      <c r="J110" s="22" t="s">
        <v>206</v>
      </c>
      <c r="K110" s="519" t="s">
        <v>969</v>
      </c>
      <c r="L110" s="521" t="s">
        <v>1028</v>
      </c>
      <c r="M110" s="521" t="s">
        <v>1029</v>
      </c>
      <c r="N110" s="521" t="s">
        <v>815</v>
      </c>
      <c r="O110" s="22" t="s">
        <v>174</v>
      </c>
      <c r="P110" s="426">
        <v>2019</v>
      </c>
      <c r="Q110" s="414">
        <f t="shared" ca="1" si="3"/>
        <v>10023.095131716365</v>
      </c>
      <c r="R110" s="335" t="str">
        <f t="shared" ca="1" si="4"/>
        <v>N/A</v>
      </c>
      <c r="S110" s="335" t="str">
        <f t="shared" ca="1" si="5"/>
        <v>N/A</v>
      </c>
      <c r="T110" s="429" t="s">
        <v>899</v>
      </c>
      <c r="U110" s="22" t="str">
        <f>Definitions!C$21</f>
        <v>AL 3826. Natural gas supplied through a single meter to common facilities only, will be billed under rates GM-C, GM-BC or GM-BCC, as appropriate.</v>
      </c>
      <c r="V110" s="24"/>
      <c r="W110" s="21"/>
      <c r="Y110" s="490"/>
    </row>
    <row r="111" spans="1:25" ht="60">
      <c r="A111" s="31">
        <v>108</v>
      </c>
      <c r="B111" s="22" t="s">
        <v>39</v>
      </c>
      <c r="C111" s="22" t="s">
        <v>40</v>
      </c>
      <c r="D111" s="22" t="s">
        <v>170</v>
      </c>
      <c r="E111" s="23" t="s">
        <v>200</v>
      </c>
      <c r="F111" s="22" t="s">
        <v>61</v>
      </c>
      <c r="G111" s="22" t="s">
        <v>53</v>
      </c>
      <c r="H111" s="22" t="s">
        <v>30</v>
      </c>
      <c r="I111" s="22" t="s">
        <v>172</v>
      </c>
      <c r="J111" s="22" t="s">
        <v>207</v>
      </c>
      <c r="K111" s="519" t="s">
        <v>969</v>
      </c>
      <c r="L111" s="521" t="s">
        <v>1030</v>
      </c>
      <c r="M111" s="521" t="s">
        <v>1031</v>
      </c>
      <c r="N111" s="521" t="s">
        <v>815</v>
      </c>
      <c r="O111" s="22" t="s">
        <v>174</v>
      </c>
      <c r="P111" s="426">
        <v>2019</v>
      </c>
      <c r="Q111" s="414">
        <f t="shared" ca="1" si="3"/>
        <v>927.19700802013165</v>
      </c>
      <c r="R111" s="335" t="str">
        <f t="shared" ca="1" si="4"/>
        <v>N/A</v>
      </c>
      <c r="S111" s="335" t="str">
        <f t="shared" ca="1" si="5"/>
        <v>N/A</v>
      </c>
      <c r="T111" s="429" t="s">
        <v>899</v>
      </c>
      <c r="U111" s="22"/>
      <c r="V111" s="24"/>
      <c r="W111" s="21"/>
      <c r="Y111" s="490"/>
    </row>
    <row r="112" spans="1:25" ht="60">
      <c r="A112" s="31">
        <v>109</v>
      </c>
      <c r="B112" s="22" t="s">
        <v>39</v>
      </c>
      <c r="C112" s="22" t="s">
        <v>40</v>
      </c>
      <c r="D112" s="22" t="s">
        <v>170</v>
      </c>
      <c r="E112" s="23" t="s">
        <v>200</v>
      </c>
      <c r="F112" s="22" t="s">
        <v>62</v>
      </c>
      <c r="G112" s="22" t="s">
        <v>53</v>
      </c>
      <c r="H112" s="22" t="s">
        <v>30</v>
      </c>
      <c r="I112" s="22" t="s">
        <v>172</v>
      </c>
      <c r="J112" s="22" t="s">
        <v>208</v>
      </c>
      <c r="K112" s="519" t="s">
        <v>969</v>
      </c>
      <c r="L112" s="521" t="s">
        <v>1032</v>
      </c>
      <c r="M112" s="521" t="s">
        <v>1033</v>
      </c>
      <c r="N112" s="521" t="s">
        <v>815</v>
      </c>
      <c r="O112" s="22" t="s">
        <v>174</v>
      </c>
      <c r="P112" s="426">
        <v>2019</v>
      </c>
      <c r="Q112" s="414">
        <f t="shared" ca="1" si="3"/>
        <v>744.71766701418085</v>
      </c>
      <c r="R112" s="335" t="str">
        <f t="shared" ca="1" si="4"/>
        <v>N/A</v>
      </c>
      <c r="S112" s="335" t="str">
        <f t="shared" ca="1" si="5"/>
        <v>N/A</v>
      </c>
      <c r="T112" s="429" t="s">
        <v>899</v>
      </c>
      <c r="U112" s="22"/>
      <c r="V112" s="24"/>
      <c r="W112" s="21"/>
      <c r="Y112" s="490"/>
    </row>
    <row r="113" spans="1:25" ht="60">
      <c r="A113" s="31">
        <v>110</v>
      </c>
      <c r="B113" s="22" t="s">
        <v>39</v>
      </c>
      <c r="C113" s="22" t="s">
        <v>40</v>
      </c>
      <c r="D113" s="22" t="s">
        <v>170</v>
      </c>
      <c r="E113" s="23" t="s">
        <v>200</v>
      </c>
      <c r="F113" s="22" t="s">
        <v>63</v>
      </c>
      <c r="G113" s="22" t="s">
        <v>53</v>
      </c>
      <c r="H113" s="22" t="s">
        <v>30</v>
      </c>
      <c r="I113" s="22" t="s">
        <v>172</v>
      </c>
      <c r="J113" s="22" t="s">
        <v>209</v>
      </c>
      <c r="K113" s="519" t="s">
        <v>969</v>
      </c>
      <c r="L113" s="521" t="s">
        <v>1034</v>
      </c>
      <c r="M113" s="521" t="s">
        <v>1035</v>
      </c>
      <c r="N113" s="521" t="s">
        <v>815</v>
      </c>
      <c r="O113" s="22" t="s">
        <v>174</v>
      </c>
      <c r="P113" s="426">
        <v>2019</v>
      </c>
      <c r="Q113" s="414">
        <f t="shared" ca="1" si="3"/>
        <v>5200166.6123276148</v>
      </c>
      <c r="R113" s="335" t="str">
        <f t="shared" ca="1" si="4"/>
        <v>N/A</v>
      </c>
      <c r="S113" s="335" t="str">
        <f t="shared" ca="1" si="5"/>
        <v>N/A</v>
      </c>
      <c r="T113" s="429" t="s">
        <v>899</v>
      </c>
      <c r="U113" s="22"/>
      <c r="V113" s="24"/>
      <c r="W113" s="21"/>
      <c r="Y113" s="490"/>
    </row>
    <row r="114" spans="1:25" ht="60">
      <c r="A114" s="31">
        <v>111</v>
      </c>
      <c r="B114" s="22" t="s">
        <v>39</v>
      </c>
      <c r="C114" s="22" t="s">
        <v>40</v>
      </c>
      <c r="D114" s="22" t="s">
        <v>170</v>
      </c>
      <c r="E114" s="23" t="s">
        <v>200</v>
      </c>
      <c r="F114" s="22" t="s">
        <v>64</v>
      </c>
      <c r="G114" s="22" t="s">
        <v>53</v>
      </c>
      <c r="H114" s="22" t="s">
        <v>30</v>
      </c>
      <c r="I114" s="22" t="s">
        <v>172</v>
      </c>
      <c r="J114" s="22" t="s">
        <v>210</v>
      </c>
      <c r="K114" s="519" t="s">
        <v>969</v>
      </c>
      <c r="L114" s="521" t="s">
        <v>1036</v>
      </c>
      <c r="M114" s="521" t="s">
        <v>1037</v>
      </c>
      <c r="N114" s="521" t="s">
        <v>815</v>
      </c>
      <c r="O114" s="22" t="s">
        <v>174</v>
      </c>
      <c r="P114" s="426">
        <v>2019</v>
      </c>
      <c r="Q114" s="414">
        <f t="shared" ca="1" si="3"/>
        <v>3609567.1005901182</v>
      </c>
      <c r="R114" s="335" t="str">
        <f t="shared" ca="1" si="4"/>
        <v>N/A</v>
      </c>
      <c r="S114" s="335" t="str">
        <f t="shared" ca="1" si="5"/>
        <v>N/A</v>
      </c>
      <c r="T114" s="429" t="s">
        <v>899</v>
      </c>
      <c r="U114" s="22"/>
      <c r="V114" s="24"/>
      <c r="W114" s="21"/>
      <c r="Y114" s="490"/>
    </row>
    <row r="115" spans="1:25" ht="60">
      <c r="A115" s="31">
        <v>112</v>
      </c>
      <c r="B115" s="22" t="s">
        <v>39</v>
      </c>
      <c r="C115" s="22" t="s">
        <v>40</v>
      </c>
      <c r="D115" s="22" t="s">
        <v>170</v>
      </c>
      <c r="E115" s="23" t="s">
        <v>200</v>
      </c>
      <c r="F115" s="22" t="s">
        <v>65</v>
      </c>
      <c r="G115" s="22" t="s">
        <v>53</v>
      </c>
      <c r="H115" s="22" t="s">
        <v>30</v>
      </c>
      <c r="I115" s="22" t="s">
        <v>172</v>
      </c>
      <c r="J115" s="22" t="s">
        <v>211</v>
      </c>
      <c r="K115" s="519" t="s">
        <v>969</v>
      </c>
      <c r="L115" s="521" t="s">
        <v>1038</v>
      </c>
      <c r="M115" s="521" t="s">
        <v>1039</v>
      </c>
      <c r="N115" s="521" t="s">
        <v>815</v>
      </c>
      <c r="O115" s="22" t="s">
        <v>174</v>
      </c>
      <c r="P115" s="426">
        <v>2019</v>
      </c>
      <c r="Q115" s="414">
        <f t="shared" ca="1" si="3"/>
        <v>124550.1004654429</v>
      </c>
      <c r="R115" s="335" t="str">
        <f t="shared" ca="1" si="4"/>
        <v>N/A</v>
      </c>
      <c r="S115" s="335" t="str">
        <f t="shared" ca="1" si="5"/>
        <v>N/A</v>
      </c>
      <c r="T115" s="429" t="s">
        <v>899</v>
      </c>
      <c r="U115" s="22" t="str">
        <f>Definitions!C$21</f>
        <v>AL 3826. Natural gas supplied through a single meter to common facilities only, will be billed under rates GM-C, GM-BC or GM-BCC, as appropriate.</v>
      </c>
      <c r="V115" s="24"/>
      <c r="W115" s="21"/>
      <c r="Y115" s="490"/>
    </row>
    <row r="116" spans="1:25" ht="60">
      <c r="A116" s="31">
        <v>113</v>
      </c>
      <c r="B116" s="22" t="s">
        <v>39</v>
      </c>
      <c r="C116" s="22" t="s">
        <v>40</v>
      </c>
      <c r="D116" s="22" t="s">
        <v>170</v>
      </c>
      <c r="E116" s="23" t="s">
        <v>200</v>
      </c>
      <c r="F116" s="22" t="s">
        <v>66</v>
      </c>
      <c r="G116" s="22" t="s">
        <v>53</v>
      </c>
      <c r="H116" s="22" t="s">
        <v>30</v>
      </c>
      <c r="I116" s="22" t="s">
        <v>172</v>
      </c>
      <c r="J116" s="22" t="s">
        <v>212</v>
      </c>
      <c r="K116" s="519" t="s">
        <v>969</v>
      </c>
      <c r="L116" s="521" t="s">
        <v>1040</v>
      </c>
      <c r="M116" s="521" t="s">
        <v>1041</v>
      </c>
      <c r="N116" s="521" t="s">
        <v>815</v>
      </c>
      <c r="O116" s="22" t="s">
        <v>174</v>
      </c>
      <c r="P116" s="426">
        <v>2019</v>
      </c>
      <c r="Q116" s="414">
        <f t="shared" ca="1" si="3"/>
        <v>74877.554785553308</v>
      </c>
      <c r="R116" s="335" t="str">
        <f t="shared" ca="1" si="4"/>
        <v>N/A</v>
      </c>
      <c r="S116" s="335" t="str">
        <f t="shared" ca="1" si="5"/>
        <v>N/A</v>
      </c>
      <c r="T116" s="429" t="s">
        <v>899</v>
      </c>
      <c r="U116" s="22" t="str">
        <f>Definitions!C$21</f>
        <v>AL 3826. Natural gas supplied through a single meter to common facilities only, will be billed under rates GM-C, GM-BC or GM-BCC, as appropriate.</v>
      </c>
      <c r="V116" s="24"/>
      <c r="W116" s="21"/>
      <c r="Y116" s="490"/>
    </row>
    <row r="117" spans="1:25" ht="30">
      <c r="A117" s="31">
        <v>114</v>
      </c>
      <c r="B117" s="22" t="s">
        <v>39</v>
      </c>
      <c r="C117" s="22" t="s">
        <v>40</v>
      </c>
      <c r="D117" s="22" t="s">
        <v>213</v>
      </c>
      <c r="E117" s="23" t="s">
        <v>42</v>
      </c>
      <c r="F117" s="22" t="s">
        <v>43</v>
      </c>
      <c r="G117" s="22" t="s">
        <v>44</v>
      </c>
      <c r="H117" s="22" t="s">
        <v>30</v>
      </c>
      <c r="I117" s="22" t="s">
        <v>214</v>
      </c>
      <c r="J117" s="19" t="s">
        <v>46</v>
      </c>
      <c r="K117" s="519" t="s">
        <v>969</v>
      </c>
      <c r="L117" s="521" t="s">
        <v>1042</v>
      </c>
      <c r="M117" s="521" t="s">
        <v>1043</v>
      </c>
      <c r="N117" s="521" t="s">
        <v>815</v>
      </c>
      <c r="O117" s="22" t="s">
        <v>174</v>
      </c>
      <c r="P117" s="426">
        <v>2019</v>
      </c>
      <c r="Q117" s="414">
        <f t="shared" ca="1" si="3"/>
        <v>2649.622900475184</v>
      </c>
      <c r="R117" s="335" t="str">
        <f t="shared" ca="1" si="4"/>
        <v>N/A</v>
      </c>
      <c r="S117" s="335" t="str">
        <f t="shared" ca="1" si="5"/>
        <v>N/A</v>
      </c>
      <c r="T117" s="429" t="s">
        <v>48</v>
      </c>
      <c r="U117" s="22" t="s">
        <v>215</v>
      </c>
      <c r="V117" s="24"/>
      <c r="W117" s="21"/>
      <c r="Y117" s="490"/>
    </row>
    <row r="118" spans="1:25" ht="45">
      <c r="A118" s="31">
        <v>115</v>
      </c>
      <c r="B118" s="22" t="s">
        <v>39</v>
      </c>
      <c r="C118" s="22" t="s">
        <v>216</v>
      </c>
      <c r="D118" s="22" t="s">
        <v>217</v>
      </c>
      <c r="E118" s="23" t="s">
        <v>218</v>
      </c>
      <c r="F118" s="22" t="s">
        <v>108</v>
      </c>
      <c r="G118" s="22" t="s">
        <v>219</v>
      </c>
      <c r="H118" s="22" t="s">
        <v>30</v>
      </c>
      <c r="I118" s="22" t="s">
        <v>220</v>
      </c>
      <c r="J118" s="22" t="s">
        <v>221</v>
      </c>
      <c r="K118" s="519" t="s">
        <v>969</v>
      </c>
      <c r="L118" s="521" t="s">
        <v>1044</v>
      </c>
      <c r="M118" s="521" t="s">
        <v>1045</v>
      </c>
      <c r="N118" s="521" t="s">
        <v>885</v>
      </c>
      <c r="O118" s="22" t="s">
        <v>174</v>
      </c>
      <c r="P118" s="426">
        <v>2019</v>
      </c>
      <c r="Q118" s="414">
        <f t="shared" ca="1" si="3"/>
        <v>0.26884430299462286</v>
      </c>
      <c r="R118" s="335">
        <f t="shared" ca="1" si="4"/>
        <v>0</v>
      </c>
      <c r="S118" s="335">
        <f t="shared" ca="1" si="5"/>
        <v>0</v>
      </c>
      <c r="T118" s="429"/>
      <c r="U118" s="22"/>
      <c r="V118" s="24"/>
      <c r="W118" s="21"/>
      <c r="Y118" s="490"/>
    </row>
    <row r="119" spans="1:25" ht="45">
      <c r="A119" s="31">
        <v>116</v>
      </c>
      <c r="B119" s="22" t="s">
        <v>39</v>
      </c>
      <c r="C119" s="22" t="s">
        <v>216</v>
      </c>
      <c r="D119" s="22" t="s">
        <v>217</v>
      </c>
      <c r="E119" s="23" t="s">
        <v>218</v>
      </c>
      <c r="F119" s="22" t="s">
        <v>112</v>
      </c>
      <c r="G119" s="22" t="s">
        <v>219</v>
      </c>
      <c r="H119" s="22" t="s">
        <v>30</v>
      </c>
      <c r="I119" s="22" t="s">
        <v>220</v>
      </c>
      <c r="J119" s="22" t="s">
        <v>222</v>
      </c>
      <c r="K119" s="519" t="s">
        <v>969</v>
      </c>
      <c r="L119" s="521" t="s">
        <v>1046</v>
      </c>
      <c r="M119" s="521" t="s">
        <v>1047</v>
      </c>
      <c r="N119" s="521" t="s">
        <v>885</v>
      </c>
      <c r="O119" s="22" t="s">
        <v>174</v>
      </c>
      <c r="P119" s="426">
        <v>2019</v>
      </c>
      <c r="Q119" s="414">
        <f t="shared" ca="1" si="3"/>
        <v>1365.2271913067175</v>
      </c>
      <c r="R119" s="335">
        <f t="shared" ca="1" si="4"/>
        <v>0</v>
      </c>
      <c r="S119" s="335">
        <f t="shared" ca="1" si="5"/>
        <v>0</v>
      </c>
      <c r="T119" s="429"/>
      <c r="U119" s="22"/>
      <c r="V119" s="24"/>
      <c r="W119" s="21"/>
      <c r="Y119" s="490"/>
    </row>
    <row r="120" spans="1:25" ht="90">
      <c r="A120" s="31">
        <v>117</v>
      </c>
      <c r="B120" s="22" t="s">
        <v>39</v>
      </c>
      <c r="C120" s="22" t="s">
        <v>216</v>
      </c>
      <c r="D120" s="22" t="s">
        <v>217</v>
      </c>
      <c r="E120" s="23" t="s">
        <v>218</v>
      </c>
      <c r="F120" s="22" t="s">
        <v>114</v>
      </c>
      <c r="G120" s="22" t="s">
        <v>219</v>
      </c>
      <c r="H120" s="22" t="s">
        <v>30</v>
      </c>
      <c r="I120" s="22" t="s">
        <v>220</v>
      </c>
      <c r="J120" s="22" t="s">
        <v>223</v>
      </c>
      <c r="K120" s="519" t="s">
        <v>969</v>
      </c>
      <c r="L120" s="521" t="s">
        <v>1048</v>
      </c>
      <c r="M120" s="521" t="s">
        <v>1049</v>
      </c>
      <c r="N120" s="521" t="s">
        <v>885</v>
      </c>
      <c r="O120" s="22" t="s">
        <v>174</v>
      </c>
      <c r="P120" s="426">
        <v>2019</v>
      </c>
      <c r="Q120" s="414">
        <f t="shared" ca="1" si="3"/>
        <v>38.795446822207033</v>
      </c>
      <c r="R120" s="335">
        <f t="shared" ca="1" si="4"/>
        <v>0</v>
      </c>
      <c r="S120" s="335">
        <f t="shared" ca="1" si="5"/>
        <v>0</v>
      </c>
      <c r="T120" s="429" t="s">
        <v>224</v>
      </c>
      <c r="U120" s="22" t="s">
        <v>225</v>
      </c>
      <c r="V120" s="24"/>
      <c r="W120" s="21"/>
      <c r="Y120" s="490"/>
    </row>
    <row r="121" spans="1:25" ht="45">
      <c r="A121" s="31">
        <v>118</v>
      </c>
      <c r="B121" s="22" t="s">
        <v>39</v>
      </c>
      <c r="C121" s="22" t="s">
        <v>216</v>
      </c>
      <c r="D121" s="22" t="s">
        <v>217</v>
      </c>
      <c r="E121" s="23" t="s">
        <v>226</v>
      </c>
      <c r="F121" s="22" t="s">
        <v>108</v>
      </c>
      <c r="G121" s="22" t="s">
        <v>227</v>
      </c>
      <c r="H121" s="22" t="s">
        <v>30</v>
      </c>
      <c r="I121" s="22" t="s">
        <v>228</v>
      </c>
      <c r="J121" s="101" t="s">
        <v>229</v>
      </c>
      <c r="K121" s="519" t="s">
        <v>969</v>
      </c>
      <c r="L121" s="521" t="s">
        <v>1050</v>
      </c>
      <c r="M121" s="521" t="s">
        <v>1051</v>
      </c>
      <c r="N121" s="521" t="s">
        <v>885</v>
      </c>
      <c r="O121" s="22" t="s">
        <v>174</v>
      </c>
      <c r="P121" s="426">
        <v>2019</v>
      </c>
      <c r="Q121" s="414">
        <f t="shared" ca="1" si="3"/>
        <v>2.438675637506734</v>
      </c>
      <c r="R121" s="335">
        <f t="shared" ca="1" si="4"/>
        <v>0</v>
      </c>
      <c r="S121" s="335">
        <f t="shared" ca="1" si="5"/>
        <v>0</v>
      </c>
      <c r="T121" s="429"/>
      <c r="U121" s="22"/>
      <c r="V121" s="24"/>
      <c r="W121" s="21"/>
      <c r="Y121" s="490"/>
    </row>
    <row r="122" spans="1:25" ht="45">
      <c r="A122" s="31">
        <v>119</v>
      </c>
      <c r="B122" s="22" t="s">
        <v>39</v>
      </c>
      <c r="C122" s="22" t="s">
        <v>216</v>
      </c>
      <c r="D122" s="22" t="s">
        <v>217</v>
      </c>
      <c r="E122" s="23" t="s">
        <v>226</v>
      </c>
      <c r="F122" s="22" t="s">
        <v>112</v>
      </c>
      <c r="G122" s="22" t="s">
        <v>227</v>
      </c>
      <c r="H122" s="22" t="s">
        <v>30</v>
      </c>
      <c r="I122" s="22" t="s">
        <v>228</v>
      </c>
      <c r="J122" s="101" t="s">
        <v>230</v>
      </c>
      <c r="K122" s="519" t="s">
        <v>969</v>
      </c>
      <c r="L122" s="521" t="s">
        <v>1052</v>
      </c>
      <c r="M122" s="521" t="s">
        <v>1053</v>
      </c>
      <c r="N122" s="521" t="s">
        <v>885</v>
      </c>
      <c r="O122" s="22" t="s">
        <v>174</v>
      </c>
      <c r="P122" s="426">
        <v>2019</v>
      </c>
      <c r="Q122" s="414">
        <f t="shared" ca="1" si="3"/>
        <v>11858.389836685174</v>
      </c>
      <c r="R122" s="335">
        <f t="shared" ca="1" si="4"/>
        <v>0</v>
      </c>
      <c r="S122" s="335">
        <f t="shared" ca="1" si="5"/>
        <v>0</v>
      </c>
      <c r="T122" s="429"/>
      <c r="U122" s="22"/>
      <c r="V122" s="24"/>
      <c r="W122" s="21"/>
      <c r="Y122" s="490"/>
    </row>
    <row r="123" spans="1:25" ht="45">
      <c r="A123" s="31">
        <v>120</v>
      </c>
      <c r="B123" s="22" t="s">
        <v>39</v>
      </c>
      <c r="C123" s="22" t="s">
        <v>216</v>
      </c>
      <c r="D123" s="22" t="s">
        <v>217</v>
      </c>
      <c r="E123" s="23" t="s">
        <v>226</v>
      </c>
      <c r="F123" s="22" t="s">
        <v>114</v>
      </c>
      <c r="G123" s="22" t="s">
        <v>227</v>
      </c>
      <c r="H123" s="22" t="s">
        <v>30</v>
      </c>
      <c r="I123" s="22" t="s">
        <v>228</v>
      </c>
      <c r="J123" s="101" t="s">
        <v>231</v>
      </c>
      <c r="K123" s="519" t="s">
        <v>969</v>
      </c>
      <c r="L123" s="521" t="s">
        <v>1054</v>
      </c>
      <c r="M123" s="521" t="s">
        <v>1055</v>
      </c>
      <c r="N123" s="521" t="s">
        <v>885</v>
      </c>
      <c r="O123" s="22" t="s">
        <v>174</v>
      </c>
      <c r="P123" s="426">
        <v>2019</v>
      </c>
      <c r="Q123" s="414">
        <f t="shared" ca="1" si="3"/>
        <v>310.47414957462883</v>
      </c>
      <c r="R123" s="335">
        <f t="shared" ca="1" si="4"/>
        <v>0</v>
      </c>
      <c r="S123" s="335">
        <f t="shared" ca="1" si="5"/>
        <v>0</v>
      </c>
      <c r="T123" s="429" t="s">
        <v>232</v>
      </c>
      <c r="U123" s="22" t="s">
        <v>233</v>
      </c>
      <c r="V123" s="24"/>
      <c r="W123" s="21"/>
      <c r="Y123" s="490"/>
    </row>
    <row r="124" spans="1:25" ht="45">
      <c r="A124" s="31">
        <v>121</v>
      </c>
      <c r="B124" s="22" t="s">
        <v>39</v>
      </c>
      <c r="C124" s="22" t="s">
        <v>216</v>
      </c>
      <c r="D124" s="22" t="s">
        <v>217</v>
      </c>
      <c r="E124" s="23" t="s">
        <v>234</v>
      </c>
      <c r="F124" s="22" t="s">
        <v>108</v>
      </c>
      <c r="G124" s="22" t="s">
        <v>235</v>
      </c>
      <c r="H124" s="22" t="s">
        <v>30</v>
      </c>
      <c r="I124" s="22" t="s">
        <v>236</v>
      </c>
      <c r="J124" s="101" t="s">
        <v>237</v>
      </c>
      <c r="K124" s="519" t="s">
        <v>969</v>
      </c>
      <c r="L124" s="521" t="s">
        <v>1056</v>
      </c>
      <c r="M124" s="521" t="s">
        <v>1057</v>
      </c>
      <c r="N124" s="521" t="s">
        <v>885</v>
      </c>
      <c r="O124" s="22" t="s">
        <v>174</v>
      </c>
      <c r="P124" s="426">
        <v>2019</v>
      </c>
      <c r="Q124" s="414">
        <f t="shared" ca="1" si="3"/>
        <v>2.948821810769932E-3</v>
      </c>
      <c r="R124" s="335">
        <f t="shared" ca="1" si="4"/>
        <v>0</v>
      </c>
      <c r="S124" s="335">
        <f t="shared" ca="1" si="5"/>
        <v>0</v>
      </c>
      <c r="T124" s="429"/>
      <c r="U124" s="22"/>
      <c r="V124" s="24"/>
      <c r="W124" s="21"/>
      <c r="Y124" s="490"/>
    </row>
    <row r="125" spans="1:25" ht="45">
      <c r="A125" s="31">
        <v>122</v>
      </c>
      <c r="B125" s="22" t="s">
        <v>39</v>
      </c>
      <c r="C125" s="22" t="s">
        <v>216</v>
      </c>
      <c r="D125" s="22" t="s">
        <v>217</v>
      </c>
      <c r="E125" s="23" t="s">
        <v>234</v>
      </c>
      <c r="F125" s="22" t="s">
        <v>112</v>
      </c>
      <c r="G125" s="22" t="s">
        <v>235</v>
      </c>
      <c r="H125" s="22" t="s">
        <v>30</v>
      </c>
      <c r="I125" s="22" t="s">
        <v>236</v>
      </c>
      <c r="J125" s="101" t="s">
        <v>238</v>
      </c>
      <c r="K125" s="519" t="s">
        <v>969</v>
      </c>
      <c r="L125" s="521" t="s">
        <v>1058</v>
      </c>
      <c r="M125" s="521" t="s">
        <v>1059</v>
      </c>
      <c r="N125" s="521" t="s">
        <v>885</v>
      </c>
      <c r="O125" s="22" t="s">
        <v>174</v>
      </c>
      <c r="P125" s="426">
        <v>2019</v>
      </c>
      <c r="Q125" s="414">
        <f t="shared" ca="1" si="3"/>
        <v>14.339044542545555</v>
      </c>
      <c r="R125" s="335">
        <f t="shared" ca="1" si="4"/>
        <v>0</v>
      </c>
      <c r="S125" s="335">
        <f t="shared" ca="1" si="5"/>
        <v>0</v>
      </c>
      <c r="T125" s="429"/>
      <c r="U125" s="22"/>
      <c r="V125" s="24"/>
      <c r="W125" s="21"/>
      <c r="Y125" s="490"/>
    </row>
    <row r="126" spans="1:25" ht="45">
      <c r="A126" s="31">
        <v>123</v>
      </c>
      <c r="B126" s="22" t="s">
        <v>39</v>
      </c>
      <c r="C126" s="22" t="s">
        <v>216</v>
      </c>
      <c r="D126" s="22" t="s">
        <v>217</v>
      </c>
      <c r="E126" s="23" t="s">
        <v>234</v>
      </c>
      <c r="F126" s="22" t="s">
        <v>114</v>
      </c>
      <c r="G126" s="22" t="s">
        <v>235</v>
      </c>
      <c r="H126" s="22" t="s">
        <v>30</v>
      </c>
      <c r="I126" s="22" t="s">
        <v>236</v>
      </c>
      <c r="J126" s="101" t="s">
        <v>239</v>
      </c>
      <c r="K126" s="519" t="s">
        <v>969</v>
      </c>
      <c r="L126" s="521" t="s">
        <v>1060</v>
      </c>
      <c r="M126" s="521" t="s">
        <v>1061</v>
      </c>
      <c r="N126" s="521" t="s">
        <v>885</v>
      </c>
      <c r="O126" s="22" t="s">
        <v>174</v>
      </c>
      <c r="P126" s="426">
        <v>2019</v>
      </c>
      <c r="Q126" s="414">
        <f t="shared" ca="1" si="3"/>
        <v>0.37542218811926098</v>
      </c>
      <c r="R126" s="335">
        <f t="shared" ca="1" si="4"/>
        <v>0</v>
      </c>
      <c r="S126" s="335">
        <f t="shared" ca="1" si="5"/>
        <v>0</v>
      </c>
      <c r="T126" s="429" t="s">
        <v>240</v>
      </c>
      <c r="U126" s="22" t="s">
        <v>117</v>
      </c>
      <c r="V126" s="24"/>
      <c r="W126" s="21"/>
      <c r="Y126" s="490"/>
    </row>
    <row r="127" spans="1:25" ht="75">
      <c r="A127" s="31">
        <v>124</v>
      </c>
      <c r="B127" s="22" t="s">
        <v>39</v>
      </c>
      <c r="C127" s="22" t="s">
        <v>216</v>
      </c>
      <c r="D127" s="22" t="s">
        <v>241</v>
      </c>
      <c r="E127" s="23" t="s">
        <v>242</v>
      </c>
      <c r="F127" s="22" t="s">
        <v>142</v>
      </c>
      <c r="G127" s="22" t="s">
        <v>143</v>
      </c>
      <c r="H127" s="22" t="s">
        <v>30</v>
      </c>
      <c r="I127" s="22" t="s">
        <v>243</v>
      </c>
      <c r="J127" s="22" t="s">
        <v>244</v>
      </c>
      <c r="K127" s="519" t="s">
        <v>969</v>
      </c>
      <c r="L127" s="521" t="s">
        <v>1062</v>
      </c>
      <c r="M127" s="521" t="s">
        <v>1063</v>
      </c>
      <c r="N127" s="521" t="s">
        <v>885</v>
      </c>
      <c r="O127" s="22" t="s">
        <v>174</v>
      </c>
      <c r="P127" s="426">
        <v>2019</v>
      </c>
      <c r="Q127" s="533">
        <f t="shared" ca="1" si="3"/>
        <v>5.1885327214244914E-3</v>
      </c>
      <c r="R127" s="335">
        <f t="shared" ca="1" si="4"/>
        <v>0</v>
      </c>
      <c r="S127" s="335">
        <f t="shared" ca="1" si="5"/>
        <v>0</v>
      </c>
      <c r="T127" s="429" t="s">
        <v>245</v>
      </c>
      <c r="U127" s="22" t="s">
        <v>246</v>
      </c>
      <c r="V127" s="24"/>
      <c r="W127" s="21"/>
      <c r="Y127" s="490"/>
    </row>
    <row r="128" spans="1:25" ht="75">
      <c r="A128" s="31">
        <v>125</v>
      </c>
      <c r="B128" s="22" t="s">
        <v>39</v>
      </c>
      <c r="C128" s="22" t="s">
        <v>216</v>
      </c>
      <c r="D128" s="22" t="s">
        <v>241</v>
      </c>
      <c r="E128" s="23" t="s">
        <v>247</v>
      </c>
      <c r="F128" s="22" t="s">
        <v>142</v>
      </c>
      <c r="G128" s="22" t="s">
        <v>143</v>
      </c>
      <c r="H128" s="22" t="s">
        <v>30</v>
      </c>
      <c r="I128" s="22" t="s">
        <v>248</v>
      </c>
      <c r="J128" s="22" t="s">
        <v>249</v>
      </c>
      <c r="K128" s="519" t="s">
        <v>969</v>
      </c>
      <c r="L128" s="521" t="s">
        <v>1064</v>
      </c>
      <c r="M128" s="521" t="s">
        <v>1065</v>
      </c>
      <c r="N128" s="521" t="s">
        <v>885</v>
      </c>
      <c r="O128" s="22" t="s">
        <v>174</v>
      </c>
      <c r="P128" s="426">
        <v>2019</v>
      </c>
      <c r="Q128" s="533">
        <f t="shared" ca="1" si="3"/>
        <v>4.6253895407677584E-3</v>
      </c>
      <c r="R128" s="335">
        <f t="shared" ca="1" si="4"/>
        <v>0</v>
      </c>
      <c r="S128" s="335">
        <f t="shared" ca="1" si="5"/>
        <v>0</v>
      </c>
      <c r="T128" s="429" t="s">
        <v>250</v>
      </c>
      <c r="U128" s="22" t="s">
        <v>251</v>
      </c>
      <c r="V128" s="24"/>
      <c r="W128" s="21"/>
      <c r="Y128" s="490"/>
    </row>
    <row r="129" spans="1:25" ht="75">
      <c r="A129" s="31">
        <v>126</v>
      </c>
      <c r="B129" s="22" t="s">
        <v>39</v>
      </c>
      <c r="C129" s="22" t="s">
        <v>216</v>
      </c>
      <c r="D129" s="22" t="s">
        <v>241</v>
      </c>
      <c r="E129" s="23" t="s">
        <v>252</v>
      </c>
      <c r="F129" s="22" t="s">
        <v>142</v>
      </c>
      <c r="G129" s="22" t="s">
        <v>253</v>
      </c>
      <c r="H129" s="22" t="s">
        <v>30</v>
      </c>
      <c r="I129" s="22" t="s">
        <v>254</v>
      </c>
      <c r="J129" s="22" t="s">
        <v>255</v>
      </c>
      <c r="K129" s="519" t="s">
        <v>969</v>
      </c>
      <c r="L129" s="521" t="s">
        <v>1066</v>
      </c>
      <c r="M129" s="521" t="s">
        <v>1067</v>
      </c>
      <c r="N129" s="521" t="s">
        <v>885</v>
      </c>
      <c r="O129" s="22" t="s">
        <v>174</v>
      </c>
      <c r="P129" s="426">
        <v>2019</v>
      </c>
      <c r="Q129" s="533">
        <f t="shared" ca="1" si="3"/>
        <v>4.6253895407677584E-3</v>
      </c>
      <c r="R129" s="335">
        <f t="shared" ca="1" si="4"/>
        <v>0</v>
      </c>
      <c r="S129" s="335">
        <f t="shared" ca="1" si="5"/>
        <v>0</v>
      </c>
      <c r="T129" s="429" t="s">
        <v>256</v>
      </c>
      <c r="U129" s="22"/>
      <c r="V129" s="24"/>
      <c r="W129" s="21"/>
      <c r="Y129" s="490"/>
    </row>
    <row r="130" spans="1:25" ht="60">
      <c r="A130" s="31">
        <v>127</v>
      </c>
      <c r="B130" s="22" t="s">
        <v>39</v>
      </c>
      <c r="C130" s="22" t="s">
        <v>216</v>
      </c>
      <c r="D130" s="22" t="s">
        <v>241</v>
      </c>
      <c r="E130" s="23" t="s">
        <v>257</v>
      </c>
      <c r="F130" s="22" t="s">
        <v>142</v>
      </c>
      <c r="G130" s="22" t="s">
        <v>149</v>
      </c>
      <c r="H130" s="22" t="s">
        <v>30</v>
      </c>
      <c r="I130" s="22" t="s">
        <v>258</v>
      </c>
      <c r="J130" s="22" t="s">
        <v>151</v>
      </c>
      <c r="K130" s="519" t="s">
        <v>969</v>
      </c>
      <c r="L130" s="521" t="s">
        <v>1068</v>
      </c>
      <c r="M130" s="521" t="s">
        <v>1069</v>
      </c>
      <c r="N130" s="521" t="s">
        <v>885</v>
      </c>
      <c r="O130" s="22" t="s">
        <v>174</v>
      </c>
      <c r="P130" s="426">
        <v>2019</v>
      </c>
      <c r="Q130" s="533">
        <f t="shared" ca="1" si="3"/>
        <v>2.9874009611637873E-3</v>
      </c>
      <c r="R130" s="335">
        <f t="shared" ca="1" si="4"/>
        <v>0</v>
      </c>
      <c r="S130" s="335">
        <f t="shared" ca="1" si="5"/>
        <v>0</v>
      </c>
      <c r="T130" s="429" t="s">
        <v>259</v>
      </c>
      <c r="U130" s="22" t="s">
        <v>260</v>
      </c>
      <c r="V130" s="24"/>
      <c r="W130" s="21"/>
      <c r="Y130" s="490"/>
    </row>
    <row r="131" spans="1:25" ht="90">
      <c r="A131" s="31">
        <v>128</v>
      </c>
      <c r="B131" s="22" t="s">
        <v>39</v>
      </c>
      <c r="C131" s="22" t="s">
        <v>216</v>
      </c>
      <c r="D131" s="22" t="s">
        <v>241</v>
      </c>
      <c r="E131" s="23" t="s">
        <v>261</v>
      </c>
      <c r="F131" s="22" t="s">
        <v>142</v>
      </c>
      <c r="G131" s="22" t="s">
        <v>154</v>
      </c>
      <c r="H131" s="22" t="s">
        <v>30</v>
      </c>
      <c r="I131" s="22" t="s">
        <v>262</v>
      </c>
      <c r="J131" s="22" t="s">
        <v>263</v>
      </c>
      <c r="K131" s="519" t="s">
        <v>969</v>
      </c>
      <c r="L131" s="521" t="s">
        <v>1070</v>
      </c>
      <c r="M131" s="521" t="s">
        <v>1071</v>
      </c>
      <c r="N131" s="521" t="s">
        <v>885</v>
      </c>
      <c r="O131" s="22" t="s">
        <v>174</v>
      </c>
      <c r="P131" s="426">
        <v>2019</v>
      </c>
      <c r="Q131" s="533">
        <f t="shared" ref="Q131:Q194" ca="1" si="6">SUMIF(INDIRECT("'"&amp;K131&amp;"'!c:c"),A131,INDIRECT("'"&amp;K131&amp;"'!g:g"))</f>
        <v>2.2228448678434671E-3</v>
      </c>
      <c r="R131" s="335">
        <f t="shared" ref="R131:R194" ca="1" si="7">IF($N131 = "N","N/A",SUMIF(INDIRECT("'"&amp;K131&amp;"'!i:i"),L131,INDIRECT("'"&amp;K131&amp;"'!n:n")))</f>
        <v>0</v>
      </c>
      <c r="S131" s="335">
        <f t="shared" ref="S131:S194" ca="1" si="8">IF($N131 = "N","N/A",SUMIF(INDIRECT("'"&amp;K131&amp;"'!i:i"),M131,INDIRECT("'"&amp;K131&amp;"'!n:n")))</f>
        <v>0</v>
      </c>
      <c r="T131" s="429" t="s">
        <v>157</v>
      </c>
      <c r="U131"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31" s="24"/>
      <c r="W131" s="21"/>
      <c r="Y131" s="490"/>
    </row>
    <row r="132" spans="1:25" ht="60">
      <c r="A132" s="31">
        <v>129</v>
      </c>
      <c r="B132" s="22" t="s">
        <v>39</v>
      </c>
      <c r="C132" s="22" t="s">
        <v>216</v>
      </c>
      <c r="D132" s="22" t="s">
        <v>264</v>
      </c>
      <c r="E132" s="23" t="s">
        <v>265</v>
      </c>
      <c r="F132" s="22" t="s">
        <v>142</v>
      </c>
      <c r="G132" s="22" t="s">
        <v>266</v>
      </c>
      <c r="H132" s="22" t="s">
        <v>30</v>
      </c>
      <c r="I132" s="22" t="s">
        <v>267</v>
      </c>
      <c r="J132" s="22" t="s">
        <v>268</v>
      </c>
      <c r="K132" s="519" t="s">
        <v>969</v>
      </c>
      <c r="L132" s="521" t="s">
        <v>1072</v>
      </c>
      <c r="M132" s="521" t="s">
        <v>1073</v>
      </c>
      <c r="N132" s="521" t="s">
        <v>885</v>
      </c>
      <c r="O132" s="22" t="s">
        <v>174</v>
      </c>
      <c r="P132" s="426">
        <v>2019</v>
      </c>
      <c r="Q132" s="533">
        <f t="shared" ca="1" si="6"/>
        <v>8.2588063515240007E-2</v>
      </c>
      <c r="R132" s="335">
        <f t="shared" ca="1" si="7"/>
        <v>0</v>
      </c>
      <c r="S132" s="335">
        <f t="shared" ca="1" si="8"/>
        <v>0</v>
      </c>
      <c r="T132" s="429" t="s">
        <v>269</v>
      </c>
      <c r="U132" s="22"/>
      <c r="V132" s="24"/>
      <c r="W132" s="21"/>
      <c r="Y132" s="490"/>
    </row>
    <row r="133" spans="1:25" ht="30">
      <c r="A133" s="31">
        <v>130</v>
      </c>
      <c r="B133" s="22" t="s">
        <v>39</v>
      </c>
      <c r="C133" s="22" t="s">
        <v>216</v>
      </c>
      <c r="D133" s="22" t="s">
        <v>264</v>
      </c>
      <c r="E133" s="23" t="s">
        <v>270</v>
      </c>
      <c r="F133" s="22" t="s">
        <v>142</v>
      </c>
      <c r="G133" s="22" t="s">
        <v>271</v>
      </c>
      <c r="H133" s="22" t="s">
        <v>30</v>
      </c>
      <c r="I133" s="22" t="s">
        <v>272</v>
      </c>
      <c r="J133" s="22" t="s">
        <v>273</v>
      </c>
      <c r="K133" s="519" t="s">
        <v>969</v>
      </c>
      <c r="L133" s="521" t="s">
        <v>1074</v>
      </c>
      <c r="M133" s="521" t="s">
        <v>1075</v>
      </c>
      <c r="N133" s="521" t="s">
        <v>885</v>
      </c>
      <c r="O133" s="22" t="s">
        <v>174</v>
      </c>
      <c r="P133" s="426">
        <v>2019</v>
      </c>
      <c r="Q133" s="533">
        <f t="shared" ca="1" si="6"/>
        <v>9.2415464143912537E-2</v>
      </c>
      <c r="R133" s="335">
        <f t="shared" ca="1" si="7"/>
        <v>0</v>
      </c>
      <c r="S133" s="335">
        <f t="shared" ca="1" si="8"/>
        <v>0</v>
      </c>
      <c r="T133" s="429" t="s">
        <v>274</v>
      </c>
      <c r="U133" s="22"/>
      <c r="V133" s="24"/>
      <c r="W133" s="21"/>
      <c r="Y133" s="490"/>
    </row>
    <row r="134" spans="1:25" ht="30">
      <c r="A134" s="31">
        <v>131</v>
      </c>
      <c r="B134" s="22" t="s">
        <v>39</v>
      </c>
      <c r="C134" s="22" t="s">
        <v>216</v>
      </c>
      <c r="D134" s="22" t="s">
        <v>275</v>
      </c>
      <c r="E134" s="23" t="s">
        <v>91</v>
      </c>
      <c r="F134" s="22" t="s">
        <v>92</v>
      </c>
      <c r="G134" s="22" t="s">
        <v>93</v>
      </c>
      <c r="H134" s="22" t="s">
        <v>30</v>
      </c>
      <c r="I134" s="22" t="s">
        <v>276</v>
      </c>
      <c r="J134" s="22" t="s">
        <v>92</v>
      </c>
      <c r="K134" s="519" t="s">
        <v>969</v>
      </c>
      <c r="L134" s="521" t="s">
        <v>1076</v>
      </c>
      <c r="M134" s="521" t="s">
        <v>1077</v>
      </c>
      <c r="N134" s="521" t="s">
        <v>885</v>
      </c>
      <c r="O134" s="22" t="s">
        <v>174</v>
      </c>
      <c r="P134" s="426">
        <v>2019</v>
      </c>
      <c r="Q134" s="414">
        <f t="shared" ca="1" si="6"/>
        <v>792.43577081304625</v>
      </c>
      <c r="R134" s="335">
        <f t="shared" ca="1" si="7"/>
        <v>0</v>
      </c>
      <c r="S134" s="335">
        <f t="shared" ca="1" si="8"/>
        <v>0</v>
      </c>
      <c r="T134" s="429"/>
      <c r="U134" s="22"/>
      <c r="V134" s="24"/>
      <c r="W134" s="21"/>
      <c r="Y134" s="490"/>
    </row>
    <row r="135" spans="1:25" ht="30">
      <c r="A135" s="31">
        <v>132</v>
      </c>
      <c r="B135" s="22" t="s">
        <v>39</v>
      </c>
      <c r="C135" s="22" t="s">
        <v>216</v>
      </c>
      <c r="D135" s="22" t="s">
        <v>275</v>
      </c>
      <c r="E135" s="23" t="s">
        <v>91</v>
      </c>
      <c r="F135" s="22" t="s">
        <v>95</v>
      </c>
      <c r="G135" s="22" t="s">
        <v>93</v>
      </c>
      <c r="H135" s="22" t="s">
        <v>30</v>
      </c>
      <c r="I135" s="22" t="s">
        <v>276</v>
      </c>
      <c r="J135" s="22" t="s">
        <v>95</v>
      </c>
      <c r="K135" s="519" t="s">
        <v>969</v>
      </c>
      <c r="L135" s="521" t="s">
        <v>1078</v>
      </c>
      <c r="M135" s="521" t="s">
        <v>1079</v>
      </c>
      <c r="N135" s="521" t="s">
        <v>885</v>
      </c>
      <c r="O135" s="22" t="s">
        <v>174</v>
      </c>
      <c r="P135" s="426">
        <v>2019</v>
      </c>
      <c r="Q135" s="414">
        <f t="shared" ca="1" si="6"/>
        <v>0.15604863705382885</v>
      </c>
      <c r="R135" s="335">
        <f t="shared" ca="1" si="7"/>
        <v>0</v>
      </c>
      <c r="S135" s="335">
        <f t="shared" ca="1" si="8"/>
        <v>0</v>
      </c>
      <c r="T135" s="429"/>
      <c r="U135" s="22"/>
      <c r="V135" s="24"/>
      <c r="W135" s="21"/>
      <c r="Y135" s="490"/>
    </row>
    <row r="136" spans="1:25" ht="30">
      <c r="A136" s="31">
        <v>133</v>
      </c>
      <c r="B136" s="22" t="s">
        <v>39</v>
      </c>
      <c r="C136" s="22" t="s">
        <v>216</v>
      </c>
      <c r="D136" s="22" t="s">
        <v>275</v>
      </c>
      <c r="E136" s="23" t="s">
        <v>91</v>
      </c>
      <c r="F136" s="22" t="s">
        <v>96</v>
      </c>
      <c r="G136" s="22" t="s">
        <v>93</v>
      </c>
      <c r="H136" s="22" t="s">
        <v>30</v>
      </c>
      <c r="I136" s="22" t="s">
        <v>276</v>
      </c>
      <c r="J136" s="22" t="s">
        <v>96</v>
      </c>
      <c r="K136" s="519" t="s">
        <v>969</v>
      </c>
      <c r="L136" s="521" t="s">
        <v>1080</v>
      </c>
      <c r="M136" s="521" t="s">
        <v>1081</v>
      </c>
      <c r="N136" s="521" t="s">
        <v>885</v>
      </c>
      <c r="O136" s="22" t="s">
        <v>174</v>
      </c>
      <c r="P136" s="426">
        <v>2019</v>
      </c>
      <c r="Q136" s="414">
        <f t="shared" ca="1" si="6"/>
        <v>1.5369808598382564</v>
      </c>
      <c r="R136" s="335">
        <f t="shared" ca="1" si="7"/>
        <v>0</v>
      </c>
      <c r="S136" s="335">
        <f t="shared" ca="1" si="8"/>
        <v>0</v>
      </c>
      <c r="T136" s="429" t="s">
        <v>48</v>
      </c>
      <c r="U136" s="22" t="s">
        <v>49</v>
      </c>
      <c r="V136" s="24"/>
      <c r="W136" s="21"/>
      <c r="Y136" s="490"/>
    </row>
    <row r="137" spans="1:25" ht="30">
      <c r="A137" s="31">
        <v>134</v>
      </c>
      <c r="B137" s="22" t="s">
        <v>39</v>
      </c>
      <c r="C137" s="22" t="s">
        <v>216</v>
      </c>
      <c r="D137" s="22" t="s">
        <v>275</v>
      </c>
      <c r="E137" s="23" t="s">
        <v>91</v>
      </c>
      <c r="F137" s="22" t="s">
        <v>97</v>
      </c>
      <c r="G137" s="22" t="s">
        <v>93</v>
      </c>
      <c r="H137" s="22" t="s">
        <v>30</v>
      </c>
      <c r="I137" s="22" t="s">
        <v>276</v>
      </c>
      <c r="J137" s="22" t="s">
        <v>97</v>
      </c>
      <c r="K137" s="519" t="s">
        <v>969</v>
      </c>
      <c r="L137" s="521" t="s">
        <v>1082</v>
      </c>
      <c r="M137" s="521" t="s">
        <v>1083</v>
      </c>
      <c r="N137" s="521" t="s">
        <v>885</v>
      </c>
      <c r="O137" s="22" t="s">
        <v>174</v>
      </c>
      <c r="P137" s="426">
        <v>2019</v>
      </c>
      <c r="Q137" s="414">
        <f t="shared" ca="1" si="6"/>
        <v>825.28937287500628</v>
      </c>
      <c r="R137" s="335">
        <f t="shared" ca="1" si="7"/>
        <v>0</v>
      </c>
      <c r="S137" s="335">
        <f t="shared" ca="1" si="8"/>
        <v>0</v>
      </c>
      <c r="T137" s="429"/>
      <c r="U137" s="22"/>
      <c r="V137" s="24"/>
      <c r="W137" s="21"/>
      <c r="Y137" s="490"/>
    </row>
    <row r="138" spans="1:25" ht="30">
      <c r="A138" s="31">
        <v>135</v>
      </c>
      <c r="B138" s="22" t="s">
        <v>39</v>
      </c>
      <c r="C138" s="22" t="s">
        <v>216</v>
      </c>
      <c r="D138" s="22" t="s">
        <v>275</v>
      </c>
      <c r="E138" s="23" t="s">
        <v>91</v>
      </c>
      <c r="F138" s="22" t="s">
        <v>98</v>
      </c>
      <c r="G138" s="22" t="s">
        <v>93</v>
      </c>
      <c r="H138" s="22" t="s">
        <v>30</v>
      </c>
      <c r="I138" s="22" t="s">
        <v>276</v>
      </c>
      <c r="J138" s="22" t="s">
        <v>98</v>
      </c>
      <c r="K138" s="519" t="s">
        <v>969</v>
      </c>
      <c r="L138" s="521" t="s">
        <v>1084</v>
      </c>
      <c r="M138" s="521" t="s">
        <v>1085</v>
      </c>
      <c r="N138" s="521" t="s">
        <v>885</v>
      </c>
      <c r="O138" s="22" t="s">
        <v>174</v>
      </c>
      <c r="P138" s="426">
        <v>2019</v>
      </c>
      <c r="Q138" s="414">
        <f t="shared" ca="1" si="6"/>
        <v>0.16251825896251382</v>
      </c>
      <c r="R138" s="335">
        <f t="shared" ca="1" si="7"/>
        <v>0</v>
      </c>
      <c r="S138" s="335">
        <f t="shared" ca="1" si="8"/>
        <v>0</v>
      </c>
      <c r="T138" s="429"/>
      <c r="U138" s="22"/>
      <c r="V138" s="24"/>
      <c r="W138" s="21"/>
      <c r="Y138" s="490"/>
    </row>
    <row r="139" spans="1:25" ht="30">
      <c r="A139" s="31">
        <v>136</v>
      </c>
      <c r="B139" s="22" t="s">
        <v>39</v>
      </c>
      <c r="C139" s="22" t="s">
        <v>216</v>
      </c>
      <c r="D139" s="22" t="s">
        <v>275</v>
      </c>
      <c r="E139" s="23" t="s">
        <v>91</v>
      </c>
      <c r="F139" s="22" t="s">
        <v>99</v>
      </c>
      <c r="G139" s="22" t="s">
        <v>93</v>
      </c>
      <c r="H139" s="22" t="s">
        <v>30</v>
      </c>
      <c r="I139" s="22" t="s">
        <v>276</v>
      </c>
      <c r="J139" s="22" t="s">
        <v>99</v>
      </c>
      <c r="K139" s="519" t="s">
        <v>969</v>
      </c>
      <c r="L139" s="521" t="s">
        <v>1086</v>
      </c>
      <c r="M139" s="521" t="s">
        <v>1087</v>
      </c>
      <c r="N139" s="521" t="s">
        <v>885</v>
      </c>
      <c r="O139" s="22" t="s">
        <v>174</v>
      </c>
      <c r="P139" s="426">
        <v>2019</v>
      </c>
      <c r="Q139" s="414">
        <f t="shared" ca="1" si="6"/>
        <v>1.6007025637363108</v>
      </c>
      <c r="R139" s="335">
        <f t="shared" ca="1" si="7"/>
        <v>0</v>
      </c>
      <c r="S139" s="335">
        <f t="shared" ca="1" si="8"/>
        <v>0</v>
      </c>
      <c r="T139" s="429" t="s">
        <v>48</v>
      </c>
      <c r="U139" s="22" t="s">
        <v>49</v>
      </c>
      <c r="V139" s="24"/>
      <c r="W139" s="21"/>
      <c r="Y139" s="490"/>
    </row>
    <row r="140" spans="1:25" ht="30">
      <c r="A140" s="31">
        <v>137</v>
      </c>
      <c r="B140" s="22" t="s">
        <v>39</v>
      </c>
      <c r="C140" s="22" t="s">
        <v>216</v>
      </c>
      <c r="D140" s="22" t="s">
        <v>277</v>
      </c>
      <c r="E140" s="23" t="s">
        <v>278</v>
      </c>
      <c r="F140" s="22" t="s">
        <v>279</v>
      </c>
      <c r="G140" s="22" t="s">
        <v>280</v>
      </c>
      <c r="H140" s="22" t="s">
        <v>164</v>
      </c>
      <c r="I140" s="22" t="s">
        <v>281</v>
      </c>
      <c r="J140" s="22" t="s">
        <v>282</v>
      </c>
      <c r="K140" s="519" t="s">
        <v>969</v>
      </c>
      <c r="L140" s="521" t="s">
        <v>1088</v>
      </c>
      <c r="M140" s="521" t="s">
        <v>1089</v>
      </c>
      <c r="N140" s="521" t="s">
        <v>885</v>
      </c>
      <c r="O140" s="22" t="s">
        <v>174</v>
      </c>
      <c r="P140" s="426">
        <v>2019</v>
      </c>
      <c r="Q140" s="414">
        <f t="shared" ca="1" si="6"/>
        <v>19111.341880527707</v>
      </c>
      <c r="R140" s="335">
        <f t="shared" ca="1" si="7"/>
        <v>0</v>
      </c>
      <c r="S140" s="335">
        <f t="shared" ca="1" si="8"/>
        <v>0</v>
      </c>
      <c r="T140" s="429" t="s">
        <v>283</v>
      </c>
      <c r="U140" s="22"/>
      <c r="V140" s="24"/>
      <c r="W140" s="21"/>
      <c r="Y140" s="490"/>
    </row>
    <row r="141" spans="1:25" ht="45">
      <c r="A141" s="31">
        <v>138</v>
      </c>
      <c r="B141" s="22" t="s">
        <v>39</v>
      </c>
      <c r="C141" s="22" t="s">
        <v>216</v>
      </c>
      <c r="D141" s="22" t="s">
        <v>277</v>
      </c>
      <c r="E141" s="23" t="s">
        <v>284</v>
      </c>
      <c r="F141" s="22" t="s">
        <v>285</v>
      </c>
      <c r="G141" s="22" t="s">
        <v>286</v>
      </c>
      <c r="H141" s="22" t="s">
        <v>164</v>
      </c>
      <c r="I141" s="22" t="s">
        <v>287</v>
      </c>
      <c r="J141" s="22" t="s">
        <v>288</v>
      </c>
      <c r="K141" s="519" t="s">
        <v>969</v>
      </c>
      <c r="L141" s="521" t="s">
        <v>1090</v>
      </c>
      <c r="M141" s="521" t="s">
        <v>1091</v>
      </c>
      <c r="N141" s="521" t="s">
        <v>885</v>
      </c>
      <c r="O141" s="22" t="s">
        <v>174</v>
      </c>
      <c r="P141" s="426">
        <v>2019</v>
      </c>
      <c r="Q141" s="414">
        <f t="shared" ca="1" si="6"/>
        <v>23.109240484314036</v>
      </c>
      <c r="R141" s="335">
        <f t="shared" ca="1" si="7"/>
        <v>0</v>
      </c>
      <c r="S141" s="335">
        <f t="shared" ca="1" si="8"/>
        <v>0</v>
      </c>
      <c r="T141" s="429" t="s">
        <v>289</v>
      </c>
      <c r="U141" s="22"/>
      <c r="V141" s="24"/>
      <c r="W141" s="21"/>
      <c r="Y141" s="490"/>
    </row>
    <row r="142" spans="1:25" ht="45">
      <c r="A142" s="31">
        <v>139</v>
      </c>
      <c r="B142" s="22" t="s">
        <v>39</v>
      </c>
      <c r="C142" s="22" t="s">
        <v>290</v>
      </c>
      <c r="D142" s="22" t="s">
        <v>291</v>
      </c>
      <c r="E142" s="23" t="s">
        <v>51</v>
      </c>
      <c r="F142" s="22" t="s">
        <v>52</v>
      </c>
      <c r="G142" s="22" t="s">
        <v>53</v>
      </c>
      <c r="H142" s="22" t="s">
        <v>30</v>
      </c>
      <c r="I142" s="22" t="s">
        <v>292</v>
      </c>
      <c r="J142" s="22" t="s">
        <v>52</v>
      </c>
      <c r="K142" s="519" t="s">
        <v>1092</v>
      </c>
      <c r="L142" s="521" t="s">
        <v>1093</v>
      </c>
      <c r="M142" s="521" t="s">
        <v>1094</v>
      </c>
      <c r="N142" s="521" t="s">
        <v>815</v>
      </c>
      <c r="O142" s="22" t="s">
        <v>293</v>
      </c>
      <c r="P142" s="426">
        <v>2019</v>
      </c>
      <c r="Q142" s="414">
        <f t="shared" ca="1" si="6"/>
        <v>6510.3059570831938</v>
      </c>
      <c r="R142" s="335" t="str">
        <f t="shared" ca="1" si="7"/>
        <v>N/A</v>
      </c>
      <c r="S142" s="335" t="str">
        <f t="shared" ca="1" si="8"/>
        <v>N/A</v>
      </c>
      <c r="T142" s="429" t="s">
        <v>899</v>
      </c>
      <c r="U142" s="22"/>
      <c r="V142" s="24"/>
      <c r="W142" s="21"/>
      <c r="Y142" s="490"/>
    </row>
    <row r="143" spans="1:25" ht="45">
      <c r="A143" s="31">
        <v>140</v>
      </c>
      <c r="B143" s="22" t="s">
        <v>39</v>
      </c>
      <c r="C143" s="22" t="s">
        <v>290</v>
      </c>
      <c r="D143" s="22" t="s">
        <v>291</v>
      </c>
      <c r="E143" s="23" t="s">
        <v>51</v>
      </c>
      <c r="F143" s="22" t="s">
        <v>55</v>
      </c>
      <c r="G143" s="22" t="s">
        <v>53</v>
      </c>
      <c r="H143" s="22" t="s">
        <v>30</v>
      </c>
      <c r="I143" s="22" t="s">
        <v>292</v>
      </c>
      <c r="J143" s="22" t="s">
        <v>55</v>
      </c>
      <c r="K143" s="519" t="s">
        <v>1092</v>
      </c>
      <c r="L143" s="521" t="s">
        <v>1095</v>
      </c>
      <c r="M143" s="521" t="s">
        <v>1096</v>
      </c>
      <c r="N143" s="521" t="s">
        <v>815</v>
      </c>
      <c r="O143" s="22" t="s">
        <v>293</v>
      </c>
      <c r="P143" s="426">
        <v>2019</v>
      </c>
      <c r="Q143" s="414">
        <f t="shared" ca="1" si="6"/>
        <v>4797.0181701636484</v>
      </c>
      <c r="R143" s="335" t="str">
        <f t="shared" ca="1" si="7"/>
        <v>N/A</v>
      </c>
      <c r="S143" s="335" t="str">
        <f t="shared" ca="1" si="8"/>
        <v>N/A</v>
      </c>
      <c r="T143" s="429" t="s">
        <v>899</v>
      </c>
      <c r="U143" s="22"/>
      <c r="V143" s="24"/>
      <c r="W143" s="21"/>
      <c r="Y143" s="490"/>
    </row>
    <row r="144" spans="1:25" ht="45">
      <c r="A144" s="31">
        <v>141</v>
      </c>
      <c r="B144" s="22" t="s">
        <v>39</v>
      </c>
      <c r="C144" s="22" t="s">
        <v>290</v>
      </c>
      <c r="D144" s="22" t="s">
        <v>291</v>
      </c>
      <c r="E144" s="23" t="s">
        <v>51</v>
      </c>
      <c r="F144" s="22" t="s">
        <v>56</v>
      </c>
      <c r="G144" s="22" t="s">
        <v>53</v>
      </c>
      <c r="H144" s="22" t="s">
        <v>30</v>
      </c>
      <c r="I144" s="22" t="s">
        <v>292</v>
      </c>
      <c r="J144" s="22" t="s">
        <v>56</v>
      </c>
      <c r="K144" s="519" t="s">
        <v>1092</v>
      </c>
      <c r="L144" s="521" t="s">
        <v>1097</v>
      </c>
      <c r="M144" s="521" t="s">
        <v>1098</v>
      </c>
      <c r="N144" s="521" t="s">
        <v>815</v>
      </c>
      <c r="O144" s="22" t="s">
        <v>293</v>
      </c>
      <c r="P144" s="426">
        <v>2019</v>
      </c>
      <c r="Q144" s="414">
        <f t="shared" ca="1" si="6"/>
        <v>28749606.09597994</v>
      </c>
      <c r="R144" s="335" t="str">
        <f t="shared" ca="1" si="7"/>
        <v>N/A</v>
      </c>
      <c r="S144" s="335" t="str">
        <f t="shared" ca="1" si="8"/>
        <v>N/A</v>
      </c>
      <c r="T144" s="429" t="s">
        <v>899</v>
      </c>
      <c r="U144" s="22"/>
      <c r="V144" s="24"/>
      <c r="W144" s="21"/>
      <c r="Y144" s="490"/>
    </row>
    <row r="145" spans="1:25" ht="45">
      <c r="A145" s="31">
        <v>142</v>
      </c>
      <c r="B145" s="22" t="s">
        <v>39</v>
      </c>
      <c r="C145" s="22" t="s">
        <v>290</v>
      </c>
      <c r="D145" s="22" t="s">
        <v>291</v>
      </c>
      <c r="E145" s="23" t="s">
        <v>51</v>
      </c>
      <c r="F145" s="22" t="s">
        <v>57</v>
      </c>
      <c r="G145" s="22" t="s">
        <v>53</v>
      </c>
      <c r="H145" s="22" t="s">
        <v>30</v>
      </c>
      <c r="I145" s="22" t="s">
        <v>292</v>
      </c>
      <c r="J145" s="22" t="s">
        <v>57</v>
      </c>
      <c r="K145" s="519" t="s">
        <v>1092</v>
      </c>
      <c r="L145" s="521" t="s">
        <v>1099</v>
      </c>
      <c r="M145" s="521" t="s">
        <v>1100</v>
      </c>
      <c r="N145" s="521" t="s">
        <v>815</v>
      </c>
      <c r="O145" s="22" t="s">
        <v>293</v>
      </c>
      <c r="P145" s="426">
        <v>2019</v>
      </c>
      <c r="Q145" s="414">
        <f t="shared" ca="1" si="6"/>
        <v>22083697.691690225</v>
      </c>
      <c r="R145" s="335" t="str">
        <f t="shared" ca="1" si="7"/>
        <v>N/A</v>
      </c>
      <c r="S145" s="335" t="str">
        <f t="shared" ca="1" si="8"/>
        <v>N/A</v>
      </c>
      <c r="T145" s="429" t="s">
        <v>899</v>
      </c>
      <c r="U145" s="22"/>
      <c r="V145" s="24"/>
      <c r="W145" s="21"/>
      <c r="Y145" s="490"/>
    </row>
    <row r="146" spans="1:25" ht="45">
      <c r="A146" s="31">
        <v>143</v>
      </c>
      <c r="B146" s="22" t="s">
        <v>39</v>
      </c>
      <c r="C146" s="22" t="s">
        <v>290</v>
      </c>
      <c r="D146" s="22" t="s">
        <v>291</v>
      </c>
      <c r="E146" s="23" t="s">
        <v>51</v>
      </c>
      <c r="F146" s="22" t="s">
        <v>58</v>
      </c>
      <c r="G146" s="22" t="s">
        <v>53</v>
      </c>
      <c r="H146" s="22" t="s">
        <v>30</v>
      </c>
      <c r="I146" s="22" t="s">
        <v>292</v>
      </c>
      <c r="J146" s="22" t="s">
        <v>58</v>
      </c>
      <c r="K146" s="519" t="s">
        <v>1092</v>
      </c>
      <c r="L146" s="521" t="s">
        <v>1101</v>
      </c>
      <c r="M146" s="521" t="s">
        <v>1102</v>
      </c>
      <c r="N146" s="521" t="s">
        <v>815</v>
      </c>
      <c r="O146" s="22" t="s">
        <v>293</v>
      </c>
      <c r="P146" s="426">
        <v>2019</v>
      </c>
      <c r="Q146" s="414">
        <f t="shared" ca="1" si="6"/>
        <v>616067.34714183549</v>
      </c>
      <c r="R146" s="335" t="str">
        <f t="shared" ca="1" si="7"/>
        <v>N/A</v>
      </c>
      <c r="S146" s="335" t="str">
        <f t="shared" ca="1" si="8"/>
        <v>N/A</v>
      </c>
      <c r="T146" s="429" t="s">
        <v>899</v>
      </c>
      <c r="U146" s="22" t="s">
        <v>295</v>
      </c>
      <c r="V146" s="24"/>
      <c r="W146" s="21"/>
      <c r="Y146" s="490"/>
    </row>
    <row r="147" spans="1:25" ht="45">
      <c r="A147" s="31">
        <v>144</v>
      </c>
      <c r="B147" s="22" t="s">
        <v>39</v>
      </c>
      <c r="C147" s="22" t="s">
        <v>290</v>
      </c>
      <c r="D147" s="22" t="s">
        <v>291</v>
      </c>
      <c r="E147" s="23" t="s">
        <v>51</v>
      </c>
      <c r="F147" s="22" t="s">
        <v>60</v>
      </c>
      <c r="G147" s="22" t="s">
        <v>53</v>
      </c>
      <c r="H147" s="22" t="s">
        <v>30</v>
      </c>
      <c r="I147" s="22" t="s">
        <v>292</v>
      </c>
      <c r="J147" s="22" t="s">
        <v>60</v>
      </c>
      <c r="K147" s="519" t="s">
        <v>1092</v>
      </c>
      <c r="L147" s="521" t="s">
        <v>1103</v>
      </c>
      <c r="M147" s="521" t="s">
        <v>1104</v>
      </c>
      <c r="N147" s="521" t="s">
        <v>815</v>
      </c>
      <c r="O147" s="22" t="s">
        <v>293</v>
      </c>
      <c r="P147" s="426">
        <v>2019</v>
      </c>
      <c r="Q147" s="414">
        <f t="shared" ca="1" si="6"/>
        <v>474473.34083773254</v>
      </c>
      <c r="R147" s="335" t="str">
        <f t="shared" ca="1" si="7"/>
        <v>N/A</v>
      </c>
      <c r="S147" s="335" t="str">
        <f t="shared" ca="1" si="8"/>
        <v>N/A</v>
      </c>
      <c r="T147" s="429" t="s">
        <v>899</v>
      </c>
      <c r="U147" s="22" t="s">
        <v>49</v>
      </c>
      <c r="V147" s="24"/>
      <c r="W147" s="21"/>
      <c r="Y147" s="490"/>
    </row>
    <row r="148" spans="1:25" ht="45">
      <c r="A148" s="31">
        <v>145</v>
      </c>
      <c r="B148" s="22" t="s">
        <v>39</v>
      </c>
      <c r="C148" s="22" t="s">
        <v>290</v>
      </c>
      <c r="D148" s="22" t="s">
        <v>291</v>
      </c>
      <c r="E148" s="23" t="s">
        <v>51</v>
      </c>
      <c r="F148" s="22" t="s">
        <v>61</v>
      </c>
      <c r="G148" s="22" t="s">
        <v>53</v>
      </c>
      <c r="H148" s="22" t="s">
        <v>30</v>
      </c>
      <c r="I148" s="22" t="s">
        <v>292</v>
      </c>
      <c r="J148" s="22" t="s">
        <v>61</v>
      </c>
      <c r="K148" s="519" t="s">
        <v>1092</v>
      </c>
      <c r="L148" s="521" t="s">
        <v>1105</v>
      </c>
      <c r="M148" s="521" t="s">
        <v>1106</v>
      </c>
      <c r="N148" s="521" t="s">
        <v>815</v>
      </c>
      <c r="O148" s="22" t="s">
        <v>293</v>
      </c>
      <c r="P148" s="426">
        <v>2019</v>
      </c>
      <c r="Q148" s="414">
        <f t="shared" ca="1" si="6"/>
        <v>40559.444891439853</v>
      </c>
      <c r="R148" s="335" t="str">
        <f t="shared" ca="1" si="7"/>
        <v>N/A</v>
      </c>
      <c r="S148" s="335" t="str">
        <f t="shared" ca="1" si="8"/>
        <v>N/A</v>
      </c>
      <c r="T148" s="429" t="s">
        <v>899</v>
      </c>
      <c r="U148" s="22"/>
      <c r="V148" s="24"/>
      <c r="W148" s="21"/>
      <c r="Y148" s="490"/>
    </row>
    <row r="149" spans="1:25" ht="45">
      <c r="A149" s="31">
        <v>146</v>
      </c>
      <c r="B149" s="22" t="s">
        <v>39</v>
      </c>
      <c r="C149" s="22" t="s">
        <v>290</v>
      </c>
      <c r="D149" s="22" t="s">
        <v>291</v>
      </c>
      <c r="E149" s="23" t="s">
        <v>51</v>
      </c>
      <c r="F149" s="22" t="s">
        <v>62</v>
      </c>
      <c r="G149" s="22" t="s">
        <v>53</v>
      </c>
      <c r="H149" s="22" t="s">
        <v>30</v>
      </c>
      <c r="I149" s="22" t="s">
        <v>292</v>
      </c>
      <c r="J149" s="22" t="s">
        <v>62</v>
      </c>
      <c r="K149" s="519" t="s">
        <v>1092</v>
      </c>
      <c r="L149" s="521" t="s">
        <v>1107</v>
      </c>
      <c r="M149" s="521" t="s">
        <v>1108</v>
      </c>
      <c r="N149" s="521" t="s">
        <v>815</v>
      </c>
      <c r="O149" s="22" t="s">
        <v>293</v>
      </c>
      <c r="P149" s="426">
        <v>2019</v>
      </c>
      <c r="Q149" s="414">
        <f t="shared" ca="1" si="6"/>
        <v>29725.930234849329</v>
      </c>
      <c r="R149" s="335" t="str">
        <f t="shared" ca="1" si="7"/>
        <v>N/A</v>
      </c>
      <c r="S149" s="335" t="str">
        <f t="shared" ca="1" si="8"/>
        <v>N/A</v>
      </c>
      <c r="T149" s="429" t="s">
        <v>899</v>
      </c>
      <c r="U149" s="22"/>
      <c r="V149" s="24"/>
      <c r="W149" s="21"/>
      <c r="Y149" s="490"/>
    </row>
    <row r="150" spans="1:25" ht="45">
      <c r="A150" s="31">
        <v>147</v>
      </c>
      <c r="B150" s="22" t="s">
        <v>39</v>
      </c>
      <c r="C150" s="22" t="s">
        <v>290</v>
      </c>
      <c r="D150" s="22" t="s">
        <v>291</v>
      </c>
      <c r="E150" s="23" t="s">
        <v>51</v>
      </c>
      <c r="F150" s="22" t="s">
        <v>63</v>
      </c>
      <c r="G150" s="22" t="s">
        <v>53</v>
      </c>
      <c r="H150" s="22" t="s">
        <v>30</v>
      </c>
      <c r="I150" s="22" t="s">
        <v>292</v>
      </c>
      <c r="J150" s="22" t="s">
        <v>63</v>
      </c>
      <c r="K150" s="519" t="s">
        <v>1092</v>
      </c>
      <c r="L150" s="521" t="s">
        <v>1109</v>
      </c>
      <c r="M150" s="521" t="s">
        <v>1110</v>
      </c>
      <c r="N150" s="521" t="s">
        <v>815</v>
      </c>
      <c r="O150" s="22" t="s">
        <v>293</v>
      </c>
      <c r="P150" s="426">
        <v>2019</v>
      </c>
      <c r="Q150" s="414">
        <f t="shared" ca="1" si="6"/>
        <v>183084252.36191565</v>
      </c>
      <c r="R150" s="335" t="str">
        <f t="shared" ca="1" si="7"/>
        <v>N/A</v>
      </c>
      <c r="S150" s="335" t="str">
        <f t="shared" ca="1" si="8"/>
        <v>N/A</v>
      </c>
      <c r="T150" s="429" t="s">
        <v>899</v>
      </c>
      <c r="U150" s="22"/>
      <c r="V150" s="24"/>
      <c r="W150" s="21"/>
      <c r="Y150" s="490"/>
    </row>
    <row r="151" spans="1:25" ht="45">
      <c r="A151" s="31">
        <v>148</v>
      </c>
      <c r="B151" s="22" t="s">
        <v>39</v>
      </c>
      <c r="C151" s="22" t="s">
        <v>290</v>
      </c>
      <c r="D151" s="22" t="s">
        <v>291</v>
      </c>
      <c r="E151" s="23" t="s">
        <v>51</v>
      </c>
      <c r="F151" s="22" t="s">
        <v>64</v>
      </c>
      <c r="G151" s="22" t="s">
        <v>53</v>
      </c>
      <c r="H151" s="22" t="s">
        <v>30</v>
      </c>
      <c r="I151" s="22" t="s">
        <v>292</v>
      </c>
      <c r="J151" s="22" t="s">
        <v>64</v>
      </c>
      <c r="K151" s="519" t="s">
        <v>1092</v>
      </c>
      <c r="L151" s="521" t="s">
        <v>1111</v>
      </c>
      <c r="M151" s="521" t="s">
        <v>1112</v>
      </c>
      <c r="N151" s="521" t="s">
        <v>815</v>
      </c>
      <c r="O151" s="22" t="s">
        <v>293</v>
      </c>
      <c r="P151" s="426">
        <v>2019</v>
      </c>
      <c r="Q151" s="414">
        <f t="shared" ca="1" si="6"/>
        <v>135568225.40911594</v>
      </c>
      <c r="R151" s="335" t="str">
        <f t="shared" ca="1" si="7"/>
        <v>N/A</v>
      </c>
      <c r="S151" s="335" t="str">
        <f t="shared" ca="1" si="8"/>
        <v>N/A</v>
      </c>
      <c r="T151" s="429" t="s">
        <v>899</v>
      </c>
      <c r="U151" s="22"/>
      <c r="V151" s="24"/>
      <c r="W151" s="21"/>
      <c r="Y151" s="490"/>
    </row>
    <row r="152" spans="1:25" ht="45">
      <c r="A152" s="31">
        <v>149</v>
      </c>
      <c r="B152" s="22" t="s">
        <v>39</v>
      </c>
      <c r="C152" s="22" t="s">
        <v>290</v>
      </c>
      <c r="D152" s="22" t="s">
        <v>291</v>
      </c>
      <c r="E152" s="23" t="s">
        <v>51</v>
      </c>
      <c r="F152" s="22" t="s">
        <v>65</v>
      </c>
      <c r="G152" s="22" t="s">
        <v>53</v>
      </c>
      <c r="H152" s="22" t="s">
        <v>30</v>
      </c>
      <c r="I152" s="22" t="s">
        <v>292</v>
      </c>
      <c r="J152" s="22" t="s">
        <v>65</v>
      </c>
      <c r="K152" s="519" t="s">
        <v>1092</v>
      </c>
      <c r="L152" s="521" t="s">
        <v>1113</v>
      </c>
      <c r="M152" s="521" t="s">
        <v>1114</v>
      </c>
      <c r="N152" s="521" t="s">
        <v>815</v>
      </c>
      <c r="O152" s="22" t="s">
        <v>293</v>
      </c>
      <c r="P152" s="426">
        <v>2019</v>
      </c>
      <c r="Q152" s="414">
        <f t="shared" ca="1" si="6"/>
        <v>5614471.9602228571</v>
      </c>
      <c r="R152" s="335" t="str">
        <f t="shared" ca="1" si="7"/>
        <v>N/A</v>
      </c>
      <c r="S152" s="335" t="str">
        <f t="shared" ca="1" si="8"/>
        <v>N/A</v>
      </c>
      <c r="T152" s="429" t="s">
        <v>899</v>
      </c>
      <c r="U152" s="22" t="s">
        <v>49</v>
      </c>
      <c r="V152" s="24"/>
      <c r="W152" s="21"/>
      <c r="Y152" s="490"/>
    </row>
    <row r="153" spans="1:25" ht="45">
      <c r="A153" s="31">
        <v>150</v>
      </c>
      <c r="B153" s="22" t="s">
        <v>39</v>
      </c>
      <c r="C153" s="22" t="s">
        <v>290</v>
      </c>
      <c r="D153" s="22" t="s">
        <v>291</v>
      </c>
      <c r="E153" s="23" t="s">
        <v>51</v>
      </c>
      <c r="F153" s="22" t="s">
        <v>66</v>
      </c>
      <c r="G153" s="22" t="s">
        <v>53</v>
      </c>
      <c r="H153" s="22" t="s">
        <v>30</v>
      </c>
      <c r="I153" s="22" t="s">
        <v>292</v>
      </c>
      <c r="J153" s="22" t="s">
        <v>66</v>
      </c>
      <c r="K153" s="519" t="s">
        <v>1092</v>
      </c>
      <c r="L153" s="521" t="s">
        <v>1115</v>
      </c>
      <c r="M153" s="521" t="s">
        <v>1116</v>
      </c>
      <c r="N153" s="521" t="s">
        <v>815</v>
      </c>
      <c r="O153" s="22" t="s">
        <v>293</v>
      </c>
      <c r="P153" s="426">
        <v>2019</v>
      </c>
      <c r="Q153" s="414">
        <f t="shared" ca="1" si="6"/>
        <v>3790809.3088417328</v>
      </c>
      <c r="R153" s="335" t="str">
        <f t="shared" ca="1" si="7"/>
        <v>N/A</v>
      </c>
      <c r="S153" s="335" t="str">
        <f t="shared" ca="1" si="8"/>
        <v>N/A</v>
      </c>
      <c r="T153" s="429" t="s">
        <v>899</v>
      </c>
      <c r="U153" s="22" t="s">
        <v>49</v>
      </c>
      <c r="V153" s="24"/>
      <c r="W153" s="21"/>
      <c r="Y153" s="490"/>
    </row>
    <row r="154" spans="1:25" ht="45">
      <c r="A154" s="31">
        <v>151</v>
      </c>
      <c r="B154" s="22" t="s">
        <v>39</v>
      </c>
      <c r="C154" s="22" t="s">
        <v>290</v>
      </c>
      <c r="D154" s="22" t="s">
        <v>291</v>
      </c>
      <c r="E154" s="23" t="s">
        <v>296</v>
      </c>
      <c r="F154" s="22" t="s">
        <v>297</v>
      </c>
      <c r="G154" s="22" t="s">
        <v>298</v>
      </c>
      <c r="H154" s="22" t="s">
        <v>30</v>
      </c>
      <c r="I154" s="22" t="s">
        <v>299</v>
      </c>
      <c r="J154" s="22" t="s">
        <v>297</v>
      </c>
      <c r="K154" s="519" t="s">
        <v>1092</v>
      </c>
      <c r="L154" s="521" t="s">
        <v>1117</v>
      </c>
      <c r="M154" s="521" t="s">
        <v>1118</v>
      </c>
      <c r="N154" s="521" t="s">
        <v>885</v>
      </c>
      <c r="O154" s="22" t="s">
        <v>293</v>
      </c>
      <c r="P154" s="426">
        <v>2019</v>
      </c>
      <c r="Q154" s="533">
        <f t="shared" ca="1" si="6"/>
        <v>4.4015053740937993E-3</v>
      </c>
      <c r="R154" s="335">
        <f t="shared" ca="1" si="7"/>
        <v>0</v>
      </c>
      <c r="S154" s="335">
        <f t="shared" ca="1" si="8"/>
        <v>0</v>
      </c>
      <c r="T154" s="429"/>
      <c r="U154" s="22"/>
      <c r="V154" s="24"/>
      <c r="W154" s="21"/>
      <c r="Y154" s="490"/>
    </row>
    <row r="155" spans="1:25" ht="45">
      <c r="A155" s="31">
        <v>152</v>
      </c>
      <c r="B155" s="22" t="s">
        <v>39</v>
      </c>
      <c r="C155" s="22" t="s">
        <v>290</v>
      </c>
      <c r="D155" s="22" t="s">
        <v>291</v>
      </c>
      <c r="E155" s="23" t="s">
        <v>296</v>
      </c>
      <c r="F155" s="22" t="s">
        <v>300</v>
      </c>
      <c r="G155" s="22" t="s">
        <v>298</v>
      </c>
      <c r="H155" s="22" t="s">
        <v>30</v>
      </c>
      <c r="I155" s="22" t="s">
        <v>299</v>
      </c>
      <c r="J155" s="22" t="s">
        <v>300</v>
      </c>
      <c r="K155" s="519" t="s">
        <v>1092</v>
      </c>
      <c r="L155" s="521" t="s">
        <v>1119</v>
      </c>
      <c r="M155" s="521" t="s">
        <v>1120</v>
      </c>
      <c r="N155" s="521" t="s">
        <v>885</v>
      </c>
      <c r="O155" s="22" t="s">
        <v>293</v>
      </c>
      <c r="P155" s="426">
        <v>2019</v>
      </c>
      <c r="Q155" s="533">
        <f t="shared" ca="1" si="6"/>
        <v>3.2431811031290812E-3</v>
      </c>
      <c r="R155" s="335">
        <f t="shared" ca="1" si="7"/>
        <v>0</v>
      </c>
      <c r="S155" s="335">
        <f t="shared" ca="1" si="8"/>
        <v>0</v>
      </c>
      <c r="T155" s="429"/>
      <c r="U155" s="22"/>
      <c r="V155" s="24"/>
      <c r="W155" s="21"/>
      <c r="Y155" s="490"/>
    </row>
    <row r="156" spans="1:25" ht="45">
      <c r="A156" s="31">
        <v>153</v>
      </c>
      <c r="B156" s="22" t="s">
        <v>39</v>
      </c>
      <c r="C156" s="22" t="s">
        <v>290</v>
      </c>
      <c r="D156" s="22" t="s">
        <v>291</v>
      </c>
      <c r="E156" s="23" t="s">
        <v>296</v>
      </c>
      <c r="F156" s="22" t="s">
        <v>301</v>
      </c>
      <c r="G156" s="22" t="s">
        <v>298</v>
      </c>
      <c r="H156" s="22" t="s">
        <v>30</v>
      </c>
      <c r="I156" s="22" t="s">
        <v>299</v>
      </c>
      <c r="J156" s="22" t="s">
        <v>301</v>
      </c>
      <c r="K156" s="519" t="s">
        <v>1092</v>
      </c>
      <c r="L156" s="521" t="s">
        <v>1121</v>
      </c>
      <c r="M156" s="521" t="s">
        <v>1122</v>
      </c>
      <c r="N156" s="521" t="s">
        <v>885</v>
      </c>
      <c r="O156" s="22" t="s">
        <v>293</v>
      </c>
      <c r="P156" s="426">
        <v>2019</v>
      </c>
      <c r="Q156" s="533">
        <f t="shared" ca="1" si="6"/>
        <v>4.4642806229253928E-3</v>
      </c>
      <c r="R156" s="335">
        <f t="shared" ca="1" si="7"/>
        <v>0</v>
      </c>
      <c r="S156" s="335">
        <f t="shared" ca="1" si="8"/>
        <v>0</v>
      </c>
      <c r="T156" s="429"/>
      <c r="U156" s="22"/>
      <c r="V156" s="24"/>
      <c r="W156" s="21"/>
      <c r="Y156" s="490"/>
    </row>
    <row r="157" spans="1:25" ht="45">
      <c r="A157" s="31">
        <v>154</v>
      </c>
      <c r="B157" s="22" t="s">
        <v>39</v>
      </c>
      <c r="C157" s="22" t="s">
        <v>290</v>
      </c>
      <c r="D157" s="22" t="s">
        <v>291</v>
      </c>
      <c r="E157" s="23" t="s">
        <v>296</v>
      </c>
      <c r="F157" s="22" t="s">
        <v>302</v>
      </c>
      <c r="G157" s="22" t="s">
        <v>298</v>
      </c>
      <c r="H157" s="22" t="s">
        <v>30</v>
      </c>
      <c r="I157" s="22" t="s">
        <v>299</v>
      </c>
      <c r="J157" s="22" t="s">
        <v>302</v>
      </c>
      <c r="K157" s="519" t="s">
        <v>1092</v>
      </c>
      <c r="L157" s="521" t="s">
        <v>1123</v>
      </c>
      <c r="M157" s="521" t="s">
        <v>1124</v>
      </c>
      <c r="N157" s="521" t="s">
        <v>885</v>
      </c>
      <c r="O157" s="22" t="s">
        <v>293</v>
      </c>
      <c r="P157" s="426">
        <v>2019</v>
      </c>
      <c r="Q157" s="533">
        <f t="shared" ca="1" si="6"/>
        <v>3.4291886768264431E-3</v>
      </c>
      <c r="R157" s="335">
        <f t="shared" ca="1" si="7"/>
        <v>0</v>
      </c>
      <c r="S157" s="335">
        <f t="shared" ca="1" si="8"/>
        <v>0</v>
      </c>
      <c r="T157" s="429"/>
      <c r="U157" s="22"/>
      <c r="V157" s="24"/>
      <c r="W157" s="21"/>
      <c r="Y157" s="490"/>
    </row>
    <row r="158" spans="1:25" ht="45">
      <c r="A158" s="31">
        <v>155</v>
      </c>
      <c r="B158" s="22" t="s">
        <v>39</v>
      </c>
      <c r="C158" s="22" t="s">
        <v>290</v>
      </c>
      <c r="D158" s="22" t="s">
        <v>291</v>
      </c>
      <c r="E158" s="23" t="s">
        <v>296</v>
      </c>
      <c r="F158" s="22" t="s">
        <v>303</v>
      </c>
      <c r="G158" s="22" t="s">
        <v>298</v>
      </c>
      <c r="H158" s="22" t="s">
        <v>30</v>
      </c>
      <c r="I158" s="22" t="s">
        <v>299</v>
      </c>
      <c r="J158" s="22" t="s">
        <v>303</v>
      </c>
      <c r="K158" s="519" t="s">
        <v>1092</v>
      </c>
      <c r="L158" s="521" t="s">
        <v>1125</v>
      </c>
      <c r="M158" s="521" t="s">
        <v>1126</v>
      </c>
      <c r="N158" s="521" t="s">
        <v>885</v>
      </c>
      <c r="O158" s="22" t="s">
        <v>293</v>
      </c>
      <c r="P158" s="426">
        <v>2019</v>
      </c>
      <c r="Q158" s="533">
        <f t="shared" ca="1" si="6"/>
        <v>3.4058499977849773E-3</v>
      </c>
      <c r="R158" s="335">
        <f t="shared" ca="1" si="7"/>
        <v>0</v>
      </c>
      <c r="S158" s="335">
        <f t="shared" ca="1" si="8"/>
        <v>0</v>
      </c>
      <c r="T158" s="429" t="s">
        <v>304</v>
      </c>
      <c r="U158" s="22" t="s">
        <v>49</v>
      </c>
      <c r="V158" s="24"/>
      <c r="W158" s="21"/>
      <c r="Y158" s="490"/>
    </row>
    <row r="159" spans="1:25" ht="45">
      <c r="A159" s="31">
        <v>156</v>
      </c>
      <c r="B159" s="22" t="s">
        <v>39</v>
      </c>
      <c r="C159" s="22" t="s">
        <v>290</v>
      </c>
      <c r="D159" s="22" t="s">
        <v>291</v>
      </c>
      <c r="E159" s="23" t="s">
        <v>296</v>
      </c>
      <c r="F159" s="22" t="s">
        <v>305</v>
      </c>
      <c r="G159" s="22" t="s">
        <v>298</v>
      </c>
      <c r="H159" s="22" t="s">
        <v>30</v>
      </c>
      <c r="I159" s="22" t="s">
        <v>299</v>
      </c>
      <c r="J159" s="22" t="s">
        <v>305</v>
      </c>
      <c r="K159" s="519" t="s">
        <v>1092</v>
      </c>
      <c r="L159" s="521" t="s">
        <v>1127</v>
      </c>
      <c r="M159" s="521" t="s">
        <v>1128</v>
      </c>
      <c r="N159" s="521" t="s">
        <v>885</v>
      </c>
      <c r="O159" s="22" t="s">
        <v>293</v>
      </c>
      <c r="P159" s="426">
        <v>2019</v>
      </c>
      <c r="Q159" s="533">
        <f t="shared" ca="1" si="6"/>
        <v>2.6230655371338456E-3</v>
      </c>
      <c r="R159" s="335">
        <f t="shared" ca="1" si="7"/>
        <v>0</v>
      </c>
      <c r="S159" s="335">
        <f t="shared" ca="1" si="8"/>
        <v>0</v>
      </c>
      <c r="T159" s="429" t="s">
        <v>304</v>
      </c>
      <c r="U159" s="22" t="s">
        <v>49</v>
      </c>
      <c r="V159" s="24"/>
      <c r="W159" s="21"/>
      <c r="Y159" s="490"/>
    </row>
    <row r="160" spans="1:25" ht="45">
      <c r="A160" s="31">
        <v>157</v>
      </c>
      <c r="B160" s="22" t="s">
        <v>39</v>
      </c>
      <c r="C160" s="22" t="s">
        <v>290</v>
      </c>
      <c r="D160" s="22" t="s">
        <v>291</v>
      </c>
      <c r="E160" s="23" t="s">
        <v>296</v>
      </c>
      <c r="F160" s="22" t="s">
        <v>306</v>
      </c>
      <c r="G160" s="22" t="s">
        <v>298</v>
      </c>
      <c r="H160" s="22" t="s">
        <v>30</v>
      </c>
      <c r="I160" s="22" t="s">
        <v>299</v>
      </c>
      <c r="J160" s="22" t="s">
        <v>306</v>
      </c>
      <c r="K160" s="519" t="s">
        <v>1092</v>
      </c>
      <c r="L160" s="521" t="s">
        <v>1129</v>
      </c>
      <c r="M160" s="521" t="s">
        <v>1130</v>
      </c>
      <c r="N160" s="521" t="s">
        <v>885</v>
      </c>
      <c r="O160" s="22" t="s">
        <v>293</v>
      </c>
      <c r="P160" s="426">
        <v>2019</v>
      </c>
      <c r="Q160" s="533">
        <f t="shared" ca="1" si="6"/>
        <v>2.7421539914833301E-2</v>
      </c>
      <c r="R160" s="335">
        <f t="shared" ca="1" si="7"/>
        <v>0</v>
      </c>
      <c r="S160" s="335">
        <f t="shared" ca="1" si="8"/>
        <v>0</v>
      </c>
      <c r="T160" s="429"/>
      <c r="U160" s="22"/>
      <c r="V160" s="24"/>
      <c r="W160" s="21"/>
      <c r="Y160" s="490"/>
    </row>
    <row r="161" spans="1:25" ht="45">
      <c r="A161" s="31">
        <v>158</v>
      </c>
      <c r="B161" s="22" t="s">
        <v>39</v>
      </c>
      <c r="C161" s="22" t="s">
        <v>290</v>
      </c>
      <c r="D161" s="22" t="s">
        <v>291</v>
      </c>
      <c r="E161" s="23" t="s">
        <v>296</v>
      </c>
      <c r="F161" s="22" t="s">
        <v>307</v>
      </c>
      <c r="G161" s="22" t="s">
        <v>298</v>
      </c>
      <c r="H161" s="22" t="s">
        <v>30</v>
      </c>
      <c r="I161" s="22" t="s">
        <v>299</v>
      </c>
      <c r="J161" s="22" t="s">
        <v>307</v>
      </c>
      <c r="K161" s="519" t="s">
        <v>1092</v>
      </c>
      <c r="L161" s="521" t="s">
        <v>1131</v>
      </c>
      <c r="M161" s="521" t="s">
        <v>1132</v>
      </c>
      <c r="N161" s="521" t="s">
        <v>885</v>
      </c>
      <c r="O161" s="22" t="s">
        <v>293</v>
      </c>
      <c r="P161" s="426">
        <v>2019</v>
      </c>
      <c r="Q161" s="533">
        <f t="shared" ca="1" si="6"/>
        <v>2.0097187834355833E-2</v>
      </c>
      <c r="R161" s="335">
        <f t="shared" ca="1" si="7"/>
        <v>0</v>
      </c>
      <c r="S161" s="335">
        <f t="shared" ca="1" si="8"/>
        <v>0</v>
      </c>
      <c r="T161" s="429"/>
      <c r="U161" s="22"/>
      <c r="V161" s="24"/>
      <c r="W161" s="21"/>
      <c r="Y161" s="490"/>
    </row>
    <row r="162" spans="1:25" ht="45">
      <c r="A162" s="31">
        <v>159</v>
      </c>
      <c r="B162" s="22" t="s">
        <v>39</v>
      </c>
      <c r="C162" s="22" t="s">
        <v>290</v>
      </c>
      <c r="D162" s="22" t="s">
        <v>291</v>
      </c>
      <c r="E162" s="23" t="s">
        <v>296</v>
      </c>
      <c r="F162" s="22" t="s">
        <v>308</v>
      </c>
      <c r="G162" s="22" t="s">
        <v>298</v>
      </c>
      <c r="H162" s="22" t="s">
        <v>30</v>
      </c>
      <c r="I162" s="22" t="s">
        <v>299</v>
      </c>
      <c r="J162" s="22" t="s">
        <v>308</v>
      </c>
      <c r="K162" s="519" t="s">
        <v>1092</v>
      </c>
      <c r="L162" s="521" t="s">
        <v>1133</v>
      </c>
      <c r="M162" s="521" t="s">
        <v>1134</v>
      </c>
      <c r="N162" s="521" t="s">
        <v>885</v>
      </c>
      <c r="O162" s="22" t="s">
        <v>293</v>
      </c>
      <c r="P162" s="426">
        <v>2019</v>
      </c>
      <c r="Q162" s="533">
        <f t="shared" ca="1" si="6"/>
        <v>2.8429588824744671E-2</v>
      </c>
      <c r="R162" s="335">
        <f t="shared" ca="1" si="7"/>
        <v>0</v>
      </c>
      <c r="S162" s="335">
        <f t="shared" ca="1" si="8"/>
        <v>0</v>
      </c>
      <c r="T162" s="429"/>
      <c r="U162" s="22"/>
      <c r="V162" s="24"/>
      <c r="W162" s="21"/>
      <c r="Y162" s="490"/>
    </row>
    <row r="163" spans="1:25" ht="45">
      <c r="A163" s="31">
        <v>160</v>
      </c>
      <c r="B163" s="22" t="s">
        <v>39</v>
      </c>
      <c r="C163" s="22" t="s">
        <v>290</v>
      </c>
      <c r="D163" s="22" t="s">
        <v>291</v>
      </c>
      <c r="E163" s="23" t="s">
        <v>296</v>
      </c>
      <c r="F163" s="22" t="s">
        <v>309</v>
      </c>
      <c r="G163" s="22" t="s">
        <v>298</v>
      </c>
      <c r="H163" s="22" t="s">
        <v>30</v>
      </c>
      <c r="I163" s="22" t="s">
        <v>299</v>
      </c>
      <c r="J163" s="22" t="s">
        <v>309</v>
      </c>
      <c r="K163" s="519" t="s">
        <v>1092</v>
      </c>
      <c r="L163" s="521" t="s">
        <v>1135</v>
      </c>
      <c r="M163" s="521" t="s">
        <v>1136</v>
      </c>
      <c r="N163" s="521" t="s">
        <v>885</v>
      </c>
      <c r="O163" s="22" t="s">
        <v>293</v>
      </c>
      <c r="P163" s="426">
        <v>2019</v>
      </c>
      <c r="Q163" s="533">
        <f t="shared" ca="1" si="6"/>
        <v>2.1051231093664458E-2</v>
      </c>
      <c r="R163" s="335">
        <f t="shared" ca="1" si="7"/>
        <v>0</v>
      </c>
      <c r="S163" s="335">
        <f t="shared" ca="1" si="8"/>
        <v>0</v>
      </c>
      <c r="T163" s="429"/>
      <c r="U163" s="22"/>
      <c r="V163" s="24"/>
      <c r="W163" s="21"/>
      <c r="Y163" s="490"/>
    </row>
    <row r="164" spans="1:25" ht="45">
      <c r="A164" s="31">
        <v>161</v>
      </c>
      <c r="B164" s="22" t="s">
        <v>39</v>
      </c>
      <c r="C164" s="22" t="s">
        <v>290</v>
      </c>
      <c r="D164" s="22" t="s">
        <v>291</v>
      </c>
      <c r="E164" s="23" t="s">
        <v>296</v>
      </c>
      <c r="F164" s="22" t="s">
        <v>310</v>
      </c>
      <c r="G164" s="22" t="s">
        <v>298</v>
      </c>
      <c r="H164" s="22" t="s">
        <v>30</v>
      </c>
      <c r="I164" s="22" t="s">
        <v>299</v>
      </c>
      <c r="J164" s="22" t="s">
        <v>310</v>
      </c>
      <c r="K164" s="519" t="s">
        <v>1092</v>
      </c>
      <c r="L164" s="521" t="s">
        <v>1137</v>
      </c>
      <c r="M164" s="521" t="s">
        <v>1138</v>
      </c>
      <c r="N164" s="521" t="s">
        <v>885</v>
      </c>
      <c r="O164" s="22" t="s">
        <v>293</v>
      </c>
      <c r="P164" s="426">
        <v>2019</v>
      </c>
      <c r="Q164" s="533">
        <f t="shared" ca="1" si="6"/>
        <v>3.1038894370888345E-2</v>
      </c>
      <c r="R164" s="335">
        <f t="shared" ca="1" si="7"/>
        <v>0</v>
      </c>
      <c r="S164" s="335">
        <f t="shared" ca="1" si="8"/>
        <v>0</v>
      </c>
      <c r="T164" s="429" t="s">
        <v>304</v>
      </c>
      <c r="U164" s="22" t="s">
        <v>49</v>
      </c>
      <c r="V164" s="24"/>
      <c r="W164" s="21"/>
      <c r="Y164" s="490"/>
    </row>
    <row r="165" spans="1:25" ht="45">
      <c r="A165" s="31">
        <v>162</v>
      </c>
      <c r="B165" s="22" t="s">
        <v>39</v>
      </c>
      <c r="C165" s="22" t="s">
        <v>290</v>
      </c>
      <c r="D165" s="22" t="s">
        <v>291</v>
      </c>
      <c r="E165" s="23" t="s">
        <v>296</v>
      </c>
      <c r="F165" s="22" t="s">
        <v>311</v>
      </c>
      <c r="G165" s="22" t="s">
        <v>298</v>
      </c>
      <c r="H165" s="22" t="s">
        <v>30</v>
      </c>
      <c r="I165" s="22" t="s">
        <v>299</v>
      </c>
      <c r="J165" s="22" t="s">
        <v>311</v>
      </c>
      <c r="K165" s="519" t="s">
        <v>1092</v>
      </c>
      <c r="L165" s="521" t="s">
        <v>1139</v>
      </c>
      <c r="M165" s="521" t="s">
        <v>1140</v>
      </c>
      <c r="N165" s="521" t="s">
        <v>885</v>
      </c>
      <c r="O165" s="22" t="s">
        <v>293</v>
      </c>
      <c r="P165" s="426">
        <v>2019</v>
      </c>
      <c r="Q165" s="533">
        <f t="shared" ca="1" si="6"/>
        <v>2.0957007275292972E-2</v>
      </c>
      <c r="R165" s="335">
        <f t="shared" ca="1" si="7"/>
        <v>0</v>
      </c>
      <c r="S165" s="335">
        <f t="shared" ca="1" si="8"/>
        <v>0</v>
      </c>
      <c r="T165" s="429" t="s">
        <v>304</v>
      </c>
      <c r="U165" s="22" t="s">
        <v>49</v>
      </c>
      <c r="V165" s="24"/>
      <c r="W165" s="21"/>
      <c r="Y165" s="490"/>
    </row>
    <row r="166" spans="1:25" ht="30">
      <c r="A166" s="31">
        <v>163</v>
      </c>
      <c r="B166" s="22" t="s">
        <v>39</v>
      </c>
      <c r="C166" s="22" t="s">
        <v>290</v>
      </c>
      <c r="D166" s="22" t="s">
        <v>312</v>
      </c>
      <c r="E166" s="23" t="s">
        <v>42</v>
      </c>
      <c r="F166" s="22" t="s">
        <v>43</v>
      </c>
      <c r="G166" s="22" t="s">
        <v>44</v>
      </c>
      <c r="H166" s="22" t="s">
        <v>30</v>
      </c>
      <c r="I166" s="22" t="s">
        <v>313</v>
      </c>
      <c r="J166" s="22" t="s">
        <v>314</v>
      </c>
      <c r="K166" s="519" t="s">
        <v>1092</v>
      </c>
      <c r="L166" s="521" t="s">
        <v>1141</v>
      </c>
      <c r="M166" s="521" t="s">
        <v>1142</v>
      </c>
      <c r="N166" s="521" t="s">
        <v>815</v>
      </c>
      <c r="O166" s="22" t="s">
        <v>293</v>
      </c>
      <c r="P166" s="426">
        <v>2019</v>
      </c>
      <c r="Q166" s="414">
        <f t="shared" ca="1" si="6"/>
        <v>18127.88297446497</v>
      </c>
      <c r="R166" s="335" t="str">
        <f t="shared" ca="1" si="7"/>
        <v>N/A</v>
      </c>
      <c r="S166" s="335" t="str">
        <f t="shared" ca="1" si="8"/>
        <v>N/A</v>
      </c>
      <c r="T166" s="429" t="s">
        <v>48</v>
      </c>
      <c r="U166" s="22"/>
      <c r="V166" s="24"/>
      <c r="W166" s="21"/>
      <c r="Y166" s="490"/>
    </row>
    <row r="167" spans="1:25" ht="45">
      <c r="A167" s="31">
        <v>164</v>
      </c>
      <c r="B167" s="22" t="s">
        <v>39</v>
      </c>
      <c r="C167" s="22" t="s">
        <v>290</v>
      </c>
      <c r="D167" s="22" t="s">
        <v>315</v>
      </c>
      <c r="E167" s="23" t="s">
        <v>316</v>
      </c>
      <c r="F167" s="22" t="s">
        <v>317</v>
      </c>
      <c r="G167" s="22" t="s">
        <v>318</v>
      </c>
      <c r="H167" s="22" t="s">
        <v>30</v>
      </c>
      <c r="I167" s="22" t="s">
        <v>319</v>
      </c>
      <c r="J167" s="22" t="s">
        <v>317</v>
      </c>
      <c r="K167" s="519" t="s">
        <v>1092</v>
      </c>
      <c r="L167" s="521" t="s">
        <v>1143</v>
      </c>
      <c r="M167" s="521" t="s">
        <v>1144</v>
      </c>
      <c r="N167" s="521" t="s">
        <v>885</v>
      </c>
      <c r="O167" s="22" t="s">
        <v>293</v>
      </c>
      <c r="P167" s="426">
        <v>2019</v>
      </c>
      <c r="Q167" s="533">
        <f t="shared" ca="1" si="6"/>
        <v>0</v>
      </c>
      <c r="R167" s="335">
        <f t="shared" ca="1" si="7"/>
        <v>0</v>
      </c>
      <c r="S167" s="335">
        <f t="shared" ca="1" si="8"/>
        <v>0</v>
      </c>
      <c r="T167" s="429"/>
      <c r="U167" s="22"/>
      <c r="V167" s="24"/>
      <c r="W167" s="21"/>
      <c r="Y167" s="490"/>
    </row>
    <row r="168" spans="1:25" ht="45">
      <c r="A168" s="31">
        <v>165</v>
      </c>
      <c r="B168" s="22" t="s">
        <v>39</v>
      </c>
      <c r="C168" s="22" t="s">
        <v>290</v>
      </c>
      <c r="D168" s="22" t="s">
        <v>315</v>
      </c>
      <c r="E168" s="23" t="s">
        <v>316</v>
      </c>
      <c r="F168" s="22" t="s">
        <v>320</v>
      </c>
      <c r="G168" s="22" t="s">
        <v>318</v>
      </c>
      <c r="H168" s="22" t="s">
        <v>30</v>
      </c>
      <c r="I168" s="22" t="s">
        <v>319</v>
      </c>
      <c r="J168" s="22" t="s">
        <v>320</v>
      </c>
      <c r="K168" s="519" t="s">
        <v>1092</v>
      </c>
      <c r="L168" s="521" t="s">
        <v>1145</v>
      </c>
      <c r="M168" s="521" t="s">
        <v>1146</v>
      </c>
      <c r="N168" s="521" t="s">
        <v>885</v>
      </c>
      <c r="O168" s="22" t="s">
        <v>293</v>
      </c>
      <c r="P168" s="426">
        <v>2019</v>
      </c>
      <c r="Q168" s="533">
        <f t="shared" ca="1" si="6"/>
        <v>0.25720975993723594</v>
      </c>
      <c r="R168" s="335">
        <f t="shared" ca="1" si="7"/>
        <v>0</v>
      </c>
      <c r="S168" s="335">
        <f t="shared" ca="1" si="8"/>
        <v>0</v>
      </c>
      <c r="T168" s="429"/>
      <c r="U168" s="22"/>
      <c r="V168" s="24"/>
      <c r="W168" s="21"/>
      <c r="Y168" s="490"/>
    </row>
    <row r="169" spans="1:25" ht="105">
      <c r="A169" s="31">
        <v>166</v>
      </c>
      <c r="B169" s="22" t="s">
        <v>39</v>
      </c>
      <c r="C169" s="22" t="s">
        <v>290</v>
      </c>
      <c r="D169" s="22" t="s">
        <v>315</v>
      </c>
      <c r="E169" s="23" t="s">
        <v>316</v>
      </c>
      <c r="F169" s="22" t="s">
        <v>321</v>
      </c>
      <c r="G169" s="22" t="s">
        <v>318</v>
      </c>
      <c r="H169" s="22" t="s">
        <v>30</v>
      </c>
      <c r="I169" s="22" t="s">
        <v>319</v>
      </c>
      <c r="J169" s="22" t="s">
        <v>321</v>
      </c>
      <c r="K169" s="519" t="s">
        <v>1092</v>
      </c>
      <c r="L169" s="521" t="s">
        <v>1147</v>
      </c>
      <c r="M169" s="521" t="s">
        <v>1148</v>
      </c>
      <c r="N169" s="521" t="s">
        <v>885</v>
      </c>
      <c r="O169" s="22" t="s">
        <v>293</v>
      </c>
      <c r="P169" s="426">
        <v>2019</v>
      </c>
      <c r="Q169" s="533">
        <f t="shared" ca="1" si="6"/>
        <v>0.13571696482403345</v>
      </c>
      <c r="R169" s="335">
        <f t="shared" ca="1" si="7"/>
        <v>0</v>
      </c>
      <c r="S169" s="335">
        <f t="shared" ca="1" si="8"/>
        <v>0</v>
      </c>
      <c r="T169" s="429" t="s">
        <v>322</v>
      </c>
      <c r="U169" s="22"/>
      <c r="V169" s="24" t="s">
        <v>323</v>
      </c>
      <c r="W169" s="21"/>
      <c r="Y169" s="490"/>
    </row>
    <row r="170" spans="1:25" ht="75">
      <c r="A170" s="31">
        <v>167</v>
      </c>
      <c r="B170" s="22" t="s">
        <v>39</v>
      </c>
      <c r="C170" s="22" t="s">
        <v>290</v>
      </c>
      <c r="D170" s="22" t="s">
        <v>324</v>
      </c>
      <c r="E170" s="23" t="s">
        <v>325</v>
      </c>
      <c r="F170" s="22" t="s">
        <v>142</v>
      </c>
      <c r="G170" s="22" t="s">
        <v>143</v>
      </c>
      <c r="H170" s="22" t="s">
        <v>30</v>
      </c>
      <c r="I170" s="22" t="s">
        <v>326</v>
      </c>
      <c r="J170" s="22" t="s">
        <v>327</v>
      </c>
      <c r="K170" s="519" t="s">
        <v>1092</v>
      </c>
      <c r="L170" s="521" t="s">
        <v>1149</v>
      </c>
      <c r="M170" s="521" t="s">
        <v>1150</v>
      </c>
      <c r="N170" s="521" t="s">
        <v>885</v>
      </c>
      <c r="O170" s="22" t="s">
        <v>293</v>
      </c>
      <c r="P170" s="426">
        <v>2019</v>
      </c>
      <c r="Q170" s="533">
        <f t="shared" ca="1" si="6"/>
        <v>8.9426617569700162E-2</v>
      </c>
      <c r="R170" s="335">
        <f t="shared" ca="1" si="7"/>
        <v>0</v>
      </c>
      <c r="S170" s="335">
        <f t="shared" ca="1" si="8"/>
        <v>0</v>
      </c>
      <c r="T170" s="429" t="s">
        <v>328</v>
      </c>
      <c r="U170" s="22" t="s">
        <v>246</v>
      </c>
      <c r="V170" s="24"/>
      <c r="W170" s="21"/>
      <c r="Y170" s="490"/>
    </row>
    <row r="171" spans="1:25" ht="75">
      <c r="A171" s="31">
        <v>168</v>
      </c>
      <c r="B171" s="22" t="s">
        <v>39</v>
      </c>
      <c r="C171" s="22" t="s">
        <v>290</v>
      </c>
      <c r="D171" s="22" t="s">
        <v>324</v>
      </c>
      <c r="E171" s="23" t="s">
        <v>329</v>
      </c>
      <c r="F171" s="22" t="s">
        <v>142</v>
      </c>
      <c r="G171" s="22" t="s">
        <v>143</v>
      </c>
      <c r="H171" s="22" t="s">
        <v>30</v>
      </c>
      <c r="I171" s="22" t="s">
        <v>326</v>
      </c>
      <c r="J171" s="22" t="s">
        <v>330</v>
      </c>
      <c r="K171" s="519" t="s">
        <v>1092</v>
      </c>
      <c r="L171" s="521" t="s">
        <v>1151</v>
      </c>
      <c r="M171" s="521" t="s">
        <v>1152</v>
      </c>
      <c r="N171" s="521" t="s">
        <v>885</v>
      </c>
      <c r="O171" s="22" t="s">
        <v>293</v>
      </c>
      <c r="P171" s="426">
        <v>2019</v>
      </c>
      <c r="Q171" s="533">
        <f t="shared" ca="1" si="6"/>
        <v>4.17345681465877E-2</v>
      </c>
      <c r="R171" s="335">
        <f t="shared" ca="1" si="7"/>
        <v>0</v>
      </c>
      <c r="S171" s="335">
        <f t="shared" ca="1" si="8"/>
        <v>0</v>
      </c>
      <c r="T171" s="429" t="s">
        <v>328</v>
      </c>
      <c r="U171" s="22" t="s">
        <v>246</v>
      </c>
      <c r="V171" s="24"/>
      <c r="W171" s="21"/>
      <c r="Y171" s="490"/>
    </row>
    <row r="172" spans="1:25" ht="75">
      <c r="A172" s="31">
        <v>169</v>
      </c>
      <c r="B172" s="22" t="s">
        <v>39</v>
      </c>
      <c r="C172" s="22" t="s">
        <v>290</v>
      </c>
      <c r="D172" s="22" t="s">
        <v>324</v>
      </c>
      <c r="E172" s="23" t="s">
        <v>331</v>
      </c>
      <c r="F172" s="22" t="s">
        <v>142</v>
      </c>
      <c r="G172" s="22" t="s">
        <v>143</v>
      </c>
      <c r="H172" s="22" t="s">
        <v>30</v>
      </c>
      <c r="I172" s="22" t="s">
        <v>332</v>
      </c>
      <c r="J172" s="22" t="s">
        <v>333</v>
      </c>
      <c r="K172" s="519" t="s">
        <v>1092</v>
      </c>
      <c r="L172" s="521" t="s">
        <v>1153</v>
      </c>
      <c r="M172" s="521" t="s">
        <v>1154</v>
      </c>
      <c r="N172" s="521" t="s">
        <v>885</v>
      </c>
      <c r="O172" s="22" t="s">
        <v>293</v>
      </c>
      <c r="P172" s="426">
        <v>2019</v>
      </c>
      <c r="Q172" s="533">
        <f t="shared" ca="1" si="6"/>
        <v>2.3849188195385531E-2</v>
      </c>
      <c r="R172" s="335">
        <f t="shared" ca="1" si="7"/>
        <v>0</v>
      </c>
      <c r="S172" s="335">
        <f t="shared" ca="1" si="8"/>
        <v>0</v>
      </c>
      <c r="T172" s="429" t="s">
        <v>328</v>
      </c>
      <c r="U172" s="22" t="s">
        <v>246</v>
      </c>
      <c r="V172" s="24"/>
      <c r="W172" s="21"/>
      <c r="Y172" s="490"/>
    </row>
    <row r="173" spans="1:25" ht="120">
      <c r="A173" s="31">
        <v>170</v>
      </c>
      <c r="B173" s="22" t="s">
        <v>39</v>
      </c>
      <c r="C173" s="22" t="s">
        <v>290</v>
      </c>
      <c r="D173" s="22" t="s">
        <v>324</v>
      </c>
      <c r="E173" s="23" t="s">
        <v>252</v>
      </c>
      <c r="F173" s="22" t="s">
        <v>142</v>
      </c>
      <c r="G173" s="22" t="s">
        <v>253</v>
      </c>
      <c r="H173" s="22" t="s">
        <v>30</v>
      </c>
      <c r="I173" s="22" t="s">
        <v>334</v>
      </c>
      <c r="J173" s="22" t="s">
        <v>335</v>
      </c>
      <c r="K173" s="519" t="s">
        <v>1092</v>
      </c>
      <c r="L173" s="521" t="s">
        <v>1155</v>
      </c>
      <c r="M173" s="521" t="s">
        <v>1156</v>
      </c>
      <c r="N173" s="521" t="s">
        <v>885</v>
      </c>
      <c r="O173" s="22" t="s">
        <v>293</v>
      </c>
      <c r="P173" s="426">
        <v>2019</v>
      </c>
      <c r="Q173" s="533">
        <f t="shared" ca="1" si="6"/>
        <v>2.3029780331768984E-2</v>
      </c>
      <c r="R173" s="335">
        <f t="shared" ca="1" si="7"/>
        <v>0</v>
      </c>
      <c r="S173" s="335">
        <f t="shared" ca="1" si="8"/>
        <v>0</v>
      </c>
      <c r="T173" s="429" t="s">
        <v>336</v>
      </c>
      <c r="U173" s="96" t="s">
        <v>337</v>
      </c>
      <c r="V173" s="24" t="s">
        <v>338</v>
      </c>
      <c r="W173" s="21"/>
      <c r="Y173" s="490"/>
    </row>
    <row r="174" spans="1:25" ht="90">
      <c r="A174" s="31">
        <v>171</v>
      </c>
      <c r="B174" s="22" t="s">
        <v>39</v>
      </c>
      <c r="C174" s="22" t="s">
        <v>290</v>
      </c>
      <c r="D174" s="22" t="s">
        <v>324</v>
      </c>
      <c r="E174" s="23" t="s">
        <v>153</v>
      </c>
      <c r="F174" s="22" t="s">
        <v>142</v>
      </c>
      <c r="G174" s="22" t="s">
        <v>154</v>
      </c>
      <c r="H174" s="22" t="s">
        <v>30</v>
      </c>
      <c r="I174" s="22" t="s">
        <v>339</v>
      </c>
      <c r="J174" s="22" t="s">
        <v>156</v>
      </c>
      <c r="K174" s="519" t="s">
        <v>1092</v>
      </c>
      <c r="L174" s="521" t="s">
        <v>1157</v>
      </c>
      <c r="M174" s="521" t="s">
        <v>1158</v>
      </c>
      <c r="N174" s="521" t="s">
        <v>885</v>
      </c>
      <c r="O174" s="22" t="s">
        <v>293</v>
      </c>
      <c r="P174" s="426">
        <v>2019</v>
      </c>
      <c r="Q174" s="533">
        <f t="shared" ca="1" si="6"/>
        <v>3.2797681770284512E-2</v>
      </c>
      <c r="R174" s="335">
        <f t="shared" ca="1" si="7"/>
        <v>0</v>
      </c>
      <c r="S174" s="335">
        <f t="shared" ca="1" si="8"/>
        <v>0</v>
      </c>
      <c r="T174" s="429" t="s">
        <v>340</v>
      </c>
      <c r="U174" s="22" t="str">
        <f>Definitions!C8</f>
        <v>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v>
      </c>
      <c r="V174" s="24"/>
      <c r="W174" s="21"/>
      <c r="Y174" s="490"/>
    </row>
    <row r="175" spans="1:25" ht="120">
      <c r="A175" s="31">
        <v>172</v>
      </c>
      <c r="B175" s="22" t="s">
        <v>39</v>
      </c>
      <c r="C175" s="22" t="s">
        <v>290</v>
      </c>
      <c r="D175" s="22" t="s">
        <v>341</v>
      </c>
      <c r="E175" s="23" t="s">
        <v>342</v>
      </c>
      <c r="F175" s="22" t="s">
        <v>142</v>
      </c>
      <c r="G175" s="22" t="s">
        <v>343</v>
      </c>
      <c r="H175" s="22" t="s">
        <v>30</v>
      </c>
      <c r="I175" s="22" t="s">
        <v>344</v>
      </c>
      <c r="J175" s="22" t="s">
        <v>345</v>
      </c>
      <c r="K175" s="519" t="s">
        <v>1092</v>
      </c>
      <c r="L175" s="521" t="s">
        <v>1159</v>
      </c>
      <c r="M175" s="521" t="s">
        <v>1160</v>
      </c>
      <c r="N175" s="521" t="s">
        <v>885</v>
      </c>
      <c r="O175" s="22" t="s">
        <v>293</v>
      </c>
      <c r="P175" s="426">
        <v>2019</v>
      </c>
      <c r="Q175" s="533">
        <f t="shared" ca="1" si="6"/>
        <v>4.8806258396775638E-2</v>
      </c>
      <c r="R175" s="335">
        <f t="shared" ca="1" si="7"/>
        <v>0</v>
      </c>
      <c r="S175" s="335">
        <f t="shared" ca="1" si="8"/>
        <v>0</v>
      </c>
      <c r="T175" s="429" t="s">
        <v>336</v>
      </c>
      <c r="U175" s="96" t="s">
        <v>337</v>
      </c>
      <c r="V175" s="24" t="s">
        <v>338</v>
      </c>
      <c r="W175" s="21"/>
      <c r="Y175" s="490"/>
    </row>
    <row r="176" spans="1:25" ht="60">
      <c r="A176" s="31">
        <v>173</v>
      </c>
      <c r="B176" s="22" t="s">
        <v>39</v>
      </c>
      <c r="C176" s="22" t="s">
        <v>290</v>
      </c>
      <c r="D176" s="22" t="s">
        <v>341</v>
      </c>
      <c r="E176" s="23" t="s">
        <v>346</v>
      </c>
      <c r="F176" s="22" t="s">
        <v>142</v>
      </c>
      <c r="G176" s="22" t="s">
        <v>347</v>
      </c>
      <c r="H176" s="22" t="s">
        <v>30</v>
      </c>
      <c r="I176" s="22" t="s">
        <v>348</v>
      </c>
      <c r="J176" s="22" t="s">
        <v>349</v>
      </c>
      <c r="K176" s="519" t="s">
        <v>1092</v>
      </c>
      <c r="L176" s="521" t="s">
        <v>1161</v>
      </c>
      <c r="M176" s="521" t="s">
        <v>1162</v>
      </c>
      <c r="N176" s="521" t="s">
        <v>885</v>
      </c>
      <c r="O176" s="22" t="s">
        <v>293</v>
      </c>
      <c r="P176" s="426">
        <v>2019</v>
      </c>
      <c r="Q176" s="533">
        <f t="shared" ca="1" si="6"/>
        <v>0.16052631578947368</v>
      </c>
      <c r="R176" s="335">
        <f t="shared" ca="1" si="7"/>
        <v>0</v>
      </c>
      <c r="S176" s="335">
        <f t="shared" ca="1" si="8"/>
        <v>0</v>
      </c>
      <c r="T176" s="429" t="s">
        <v>350</v>
      </c>
      <c r="U176" s="96" t="s">
        <v>351</v>
      </c>
      <c r="V176" s="24"/>
      <c r="W176" s="21"/>
      <c r="Y176" s="490"/>
    </row>
    <row r="177" spans="1:25" ht="60">
      <c r="A177" s="31">
        <v>174</v>
      </c>
      <c r="B177" s="22" t="s">
        <v>39</v>
      </c>
      <c r="C177" s="22" t="s">
        <v>290</v>
      </c>
      <c r="D177" s="22" t="s">
        <v>341</v>
      </c>
      <c r="E177" s="23" t="s">
        <v>352</v>
      </c>
      <c r="F177" s="22" t="s">
        <v>142</v>
      </c>
      <c r="G177" s="22" t="s">
        <v>347</v>
      </c>
      <c r="H177" s="22" t="s">
        <v>30</v>
      </c>
      <c r="I177" s="22" t="s">
        <v>353</v>
      </c>
      <c r="J177" s="22" t="s">
        <v>354</v>
      </c>
      <c r="K177" s="519" t="s">
        <v>1092</v>
      </c>
      <c r="L177" s="521" t="s">
        <v>1163</v>
      </c>
      <c r="M177" s="521" t="s">
        <v>1164</v>
      </c>
      <c r="N177" s="521" t="s">
        <v>885</v>
      </c>
      <c r="O177" s="22" t="s">
        <v>293</v>
      </c>
      <c r="P177" s="426">
        <v>2019</v>
      </c>
      <c r="Q177" s="533">
        <f t="shared" ca="1" si="6"/>
        <v>8.645017687507453E-2</v>
      </c>
      <c r="R177" s="335">
        <f t="shared" ca="1" si="7"/>
        <v>0</v>
      </c>
      <c r="S177" s="335">
        <f t="shared" ca="1" si="8"/>
        <v>0</v>
      </c>
      <c r="T177" s="429" t="s">
        <v>355</v>
      </c>
      <c r="U177" s="96" t="s">
        <v>351</v>
      </c>
      <c r="V177" s="24"/>
      <c r="W177" s="21"/>
      <c r="Y177" s="490"/>
    </row>
    <row r="178" spans="1:25" ht="60">
      <c r="A178" s="31">
        <v>175</v>
      </c>
      <c r="B178" s="22" t="s">
        <v>39</v>
      </c>
      <c r="C178" s="22" t="s">
        <v>290</v>
      </c>
      <c r="D178" s="22" t="s">
        <v>341</v>
      </c>
      <c r="E178" s="23" t="s">
        <v>356</v>
      </c>
      <c r="F178" s="22" t="s">
        <v>142</v>
      </c>
      <c r="G178" s="22" t="s">
        <v>347</v>
      </c>
      <c r="H178" s="22" t="s">
        <v>30</v>
      </c>
      <c r="I178" s="22" t="s">
        <v>357</v>
      </c>
      <c r="J178" s="22" t="s">
        <v>358</v>
      </c>
      <c r="K178" s="519" t="s">
        <v>1092</v>
      </c>
      <c r="L178" s="521" t="s">
        <v>1165</v>
      </c>
      <c r="M178" s="521" t="s">
        <v>1166</v>
      </c>
      <c r="N178" s="521" t="s">
        <v>885</v>
      </c>
      <c r="O178" s="22" t="s">
        <v>293</v>
      </c>
      <c r="P178" s="426">
        <v>2019</v>
      </c>
      <c r="Q178" s="533">
        <f t="shared" ca="1" si="6"/>
        <v>3.8799167911059702E-2</v>
      </c>
      <c r="R178" s="335">
        <f t="shared" ca="1" si="7"/>
        <v>0</v>
      </c>
      <c r="S178" s="335">
        <f t="shared" ca="1" si="8"/>
        <v>0</v>
      </c>
      <c r="T178" s="429" t="s">
        <v>359</v>
      </c>
      <c r="U178" s="96" t="s">
        <v>351</v>
      </c>
      <c r="V178" s="24"/>
      <c r="W178" s="21"/>
      <c r="Y178" s="490"/>
    </row>
    <row r="179" spans="1:25" ht="75">
      <c r="A179" s="31">
        <v>176</v>
      </c>
      <c r="B179" s="22" t="s">
        <v>39</v>
      </c>
      <c r="C179" s="22" t="s">
        <v>290</v>
      </c>
      <c r="D179" s="22" t="s">
        <v>341</v>
      </c>
      <c r="E179" s="23" t="s">
        <v>270</v>
      </c>
      <c r="F179" s="22" t="s">
        <v>142</v>
      </c>
      <c r="G179" s="22" t="s">
        <v>360</v>
      </c>
      <c r="H179" s="22" t="s">
        <v>30</v>
      </c>
      <c r="I179" s="22" t="s">
        <v>361</v>
      </c>
      <c r="J179" s="22" t="s">
        <v>362</v>
      </c>
      <c r="K179" s="519" t="s">
        <v>1092</v>
      </c>
      <c r="L179" s="521" t="s">
        <v>1167</v>
      </c>
      <c r="M179" s="521" t="s">
        <v>1168</v>
      </c>
      <c r="N179" s="521" t="s">
        <v>885</v>
      </c>
      <c r="O179" s="22" t="s">
        <v>293</v>
      </c>
      <c r="P179" s="426">
        <v>2019</v>
      </c>
      <c r="Q179" s="533">
        <f t="shared" ca="1" si="6"/>
        <v>3.6222339304531087E-2</v>
      </c>
      <c r="R179" s="335">
        <f t="shared" ca="1" si="7"/>
        <v>0</v>
      </c>
      <c r="S179" s="335">
        <f t="shared" ca="1" si="8"/>
        <v>0</v>
      </c>
      <c r="T179" s="429" t="s">
        <v>363</v>
      </c>
      <c r="U179" s="22"/>
      <c r="V179" s="24"/>
      <c r="W179" s="21"/>
      <c r="Y179" s="490"/>
    </row>
    <row r="180" spans="1:25" ht="30">
      <c r="A180" s="31">
        <v>177</v>
      </c>
      <c r="B180" s="22" t="s">
        <v>39</v>
      </c>
      <c r="C180" s="22" t="s">
        <v>290</v>
      </c>
      <c r="D180" s="22" t="s">
        <v>364</v>
      </c>
      <c r="E180" s="23" t="s">
        <v>91</v>
      </c>
      <c r="F180" s="22" t="s">
        <v>92</v>
      </c>
      <c r="G180" s="22" t="s">
        <v>93</v>
      </c>
      <c r="H180" s="22" t="s">
        <v>30</v>
      </c>
      <c r="I180" s="22" t="s">
        <v>365</v>
      </c>
      <c r="J180" s="22" t="s">
        <v>92</v>
      </c>
      <c r="K180" s="519" t="s">
        <v>1092</v>
      </c>
      <c r="L180" s="521" t="s">
        <v>1169</v>
      </c>
      <c r="M180" s="521" t="s">
        <v>1170</v>
      </c>
      <c r="N180" s="521" t="s">
        <v>885</v>
      </c>
      <c r="O180" s="22" t="s">
        <v>293</v>
      </c>
      <c r="P180" s="426">
        <v>2019</v>
      </c>
      <c r="Q180" s="414">
        <f t="shared" ca="1" si="6"/>
        <v>336.89032019194184</v>
      </c>
      <c r="R180" s="335">
        <f t="shared" ca="1" si="7"/>
        <v>0</v>
      </c>
      <c r="S180" s="335">
        <f t="shared" ca="1" si="8"/>
        <v>0</v>
      </c>
      <c r="T180" s="429"/>
      <c r="U180" s="22"/>
      <c r="V180" s="24"/>
      <c r="W180" s="21"/>
      <c r="Y180" s="490"/>
    </row>
    <row r="181" spans="1:25" ht="30">
      <c r="A181" s="31">
        <v>178</v>
      </c>
      <c r="B181" s="22" t="s">
        <v>39</v>
      </c>
      <c r="C181" s="22" t="s">
        <v>290</v>
      </c>
      <c r="D181" s="22" t="s">
        <v>364</v>
      </c>
      <c r="E181" s="23" t="s">
        <v>91</v>
      </c>
      <c r="F181" s="22" t="s">
        <v>95</v>
      </c>
      <c r="G181" s="22" t="s">
        <v>93</v>
      </c>
      <c r="H181" s="22" t="s">
        <v>30</v>
      </c>
      <c r="I181" s="22" t="s">
        <v>365</v>
      </c>
      <c r="J181" s="22" t="s">
        <v>95</v>
      </c>
      <c r="K181" s="519" t="s">
        <v>1092</v>
      </c>
      <c r="L181" s="521" t="s">
        <v>1171</v>
      </c>
      <c r="M181" s="521" t="s">
        <v>1172</v>
      </c>
      <c r="N181" s="521" t="s">
        <v>885</v>
      </c>
      <c r="O181" s="22" t="s">
        <v>293</v>
      </c>
      <c r="P181" s="426">
        <v>2019</v>
      </c>
      <c r="Q181" s="414">
        <f t="shared" ca="1" si="6"/>
        <v>7.386965584745582E-2</v>
      </c>
      <c r="R181" s="335">
        <f t="shared" ca="1" si="7"/>
        <v>0</v>
      </c>
      <c r="S181" s="335">
        <f t="shared" ca="1" si="8"/>
        <v>0</v>
      </c>
      <c r="T181" s="429"/>
      <c r="U181" s="22"/>
      <c r="V181" s="24"/>
      <c r="W181" s="21"/>
      <c r="Y181" s="490"/>
    </row>
    <row r="182" spans="1:25" ht="30">
      <c r="A182" s="31">
        <v>179</v>
      </c>
      <c r="B182" s="22" t="s">
        <v>39</v>
      </c>
      <c r="C182" s="22" t="s">
        <v>290</v>
      </c>
      <c r="D182" s="22" t="s">
        <v>364</v>
      </c>
      <c r="E182" s="23" t="s">
        <v>91</v>
      </c>
      <c r="F182" s="22" t="s">
        <v>96</v>
      </c>
      <c r="G182" s="22" t="s">
        <v>93</v>
      </c>
      <c r="H182" s="22" t="s">
        <v>30</v>
      </c>
      <c r="I182" s="22" t="s">
        <v>365</v>
      </c>
      <c r="J182" s="22" t="s">
        <v>96</v>
      </c>
      <c r="K182" s="519" t="s">
        <v>1092</v>
      </c>
      <c r="L182" s="521" t="s">
        <v>1173</v>
      </c>
      <c r="M182" s="521" t="s">
        <v>1174</v>
      </c>
      <c r="N182" s="521" t="s">
        <v>885</v>
      </c>
      <c r="O182" s="22" t="s">
        <v>293</v>
      </c>
      <c r="P182" s="426">
        <v>2019</v>
      </c>
      <c r="Q182" s="414">
        <f t="shared" ca="1" si="6"/>
        <v>0.79477612732202296</v>
      </c>
      <c r="R182" s="335">
        <f t="shared" ca="1" si="7"/>
        <v>0</v>
      </c>
      <c r="S182" s="335">
        <f t="shared" ca="1" si="8"/>
        <v>0</v>
      </c>
      <c r="T182" s="429" t="s">
        <v>48</v>
      </c>
      <c r="U182" s="22" t="s">
        <v>49</v>
      </c>
      <c r="V182" s="24"/>
      <c r="W182" s="21"/>
      <c r="Y182" s="490"/>
    </row>
    <row r="183" spans="1:25" ht="30">
      <c r="A183" s="31">
        <v>180</v>
      </c>
      <c r="B183" s="22" t="s">
        <v>39</v>
      </c>
      <c r="C183" s="22" t="s">
        <v>290</v>
      </c>
      <c r="D183" s="22" t="s">
        <v>364</v>
      </c>
      <c r="E183" s="23" t="s">
        <v>91</v>
      </c>
      <c r="F183" s="22" t="s">
        <v>97</v>
      </c>
      <c r="G183" s="22" t="s">
        <v>93</v>
      </c>
      <c r="H183" s="22" t="s">
        <v>30</v>
      </c>
      <c r="I183" s="22" t="s">
        <v>365</v>
      </c>
      <c r="J183" s="22" t="s">
        <v>97</v>
      </c>
      <c r="K183" s="519" t="s">
        <v>1092</v>
      </c>
      <c r="L183" s="521" t="s">
        <v>1175</v>
      </c>
      <c r="M183" s="521" t="s">
        <v>1176</v>
      </c>
      <c r="N183" s="521" t="s">
        <v>885</v>
      </c>
      <c r="O183" s="22" t="s">
        <v>293</v>
      </c>
      <c r="P183" s="426">
        <v>2019</v>
      </c>
      <c r="Q183" s="414">
        <f t="shared" ca="1" si="6"/>
        <v>423.55486988365419</v>
      </c>
      <c r="R183" s="335">
        <f t="shared" ca="1" si="7"/>
        <v>0</v>
      </c>
      <c r="S183" s="335">
        <f t="shared" ca="1" si="8"/>
        <v>0</v>
      </c>
      <c r="T183" s="429"/>
      <c r="U183" s="22"/>
      <c r="V183" s="24"/>
      <c r="W183" s="21"/>
      <c r="Y183" s="490"/>
    </row>
    <row r="184" spans="1:25" ht="30">
      <c r="A184" s="31">
        <v>181</v>
      </c>
      <c r="B184" s="22" t="s">
        <v>39</v>
      </c>
      <c r="C184" s="22" t="s">
        <v>290</v>
      </c>
      <c r="D184" s="22" t="s">
        <v>364</v>
      </c>
      <c r="E184" s="23" t="s">
        <v>91</v>
      </c>
      <c r="F184" s="22" t="s">
        <v>98</v>
      </c>
      <c r="G184" s="22" t="s">
        <v>93</v>
      </c>
      <c r="H184" s="22" t="s">
        <v>30</v>
      </c>
      <c r="I184" s="22" t="s">
        <v>365</v>
      </c>
      <c r="J184" s="22" t="s">
        <v>98</v>
      </c>
      <c r="K184" s="519" t="s">
        <v>1092</v>
      </c>
      <c r="L184" s="521" t="s">
        <v>1177</v>
      </c>
      <c r="M184" s="521" t="s">
        <v>1178</v>
      </c>
      <c r="N184" s="521" t="s">
        <v>885</v>
      </c>
      <c r="O184" s="22" t="s">
        <v>293</v>
      </c>
      <c r="P184" s="426">
        <v>2019</v>
      </c>
      <c r="Q184" s="414">
        <f t="shared" ca="1" si="6"/>
        <v>9.2872518429717235E-2</v>
      </c>
      <c r="R184" s="335">
        <f t="shared" ca="1" si="7"/>
        <v>0</v>
      </c>
      <c r="S184" s="335">
        <f t="shared" ca="1" si="8"/>
        <v>0</v>
      </c>
      <c r="T184" s="429"/>
      <c r="U184" s="22"/>
      <c r="V184" s="24"/>
      <c r="W184" s="21"/>
      <c r="Y184" s="490"/>
    </row>
    <row r="185" spans="1:25" ht="30">
      <c r="A185" s="31">
        <v>182</v>
      </c>
      <c r="B185" s="22" t="s">
        <v>39</v>
      </c>
      <c r="C185" s="22" t="s">
        <v>290</v>
      </c>
      <c r="D185" s="22" t="s">
        <v>364</v>
      </c>
      <c r="E185" s="23" t="s">
        <v>91</v>
      </c>
      <c r="F185" s="22" t="s">
        <v>99</v>
      </c>
      <c r="G185" s="22" t="s">
        <v>93</v>
      </c>
      <c r="H185" s="22" t="s">
        <v>30</v>
      </c>
      <c r="I185" s="22" t="s">
        <v>365</v>
      </c>
      <c r="J185" s="22" t="s">
        <v>99</v>
      </c>
      <c r="K185" s="519" t="s">
        <v>1092</v>
      </c>
      <c r="L185" s="521" t="s">
        <v>1179</v>
      </c>
      <c r="M185" s="521" t="s">
        <v>1180</v>
      </c>
      <c r="N185" s="521" t="s">
        <v>885</v>
      </c>
      <c r="O185" s="22" t="s">
        <v>293</v>
      </c>
      <c r="P185" s="426">
        <v>2019</v>
      </c>
      <c r="Q185" s="414">
        <f t="shared" ca="1" si="6"/>
        <v>0.99923114146681258</v>
      </c>
      <c r="R185" s="335">
        <f t="shared" ca="1" si="7"/>
        <v>0</v>
      </c>
      <c r="S185" s="335">
        <f t="shared" ca="1" si="8"/>
        <v>0</v>
      </c>
      <c r="T185" s="429" t="s">
        <v>48</v>
      </c>
      <c r="U185" s="22" t="s">
        <v>49</v>
      </c>
      <c r="V185" s="24"/>
      <c r="W185" s="21"/>
      <c r="Y185" s="490"/>
    </row>
    <row r="186" spans="1:25" ht="60">
      <c r="A186" s="31">
        <v>183</v>
      </c>
      <c r="B186" s="22" t="s">
        <v>39</v>
      </c>
      <c r="C186" s="22" t="s">
        <v>366</v>
      </c>
      <c r="D186" s="22" t="s">
        <v>367</v>
      </c>
      <c r="E186" s="23" t="s">
        <v>368</v>
      </c>
      <c r="F186" s="22" t="s">
        <v>142</v>
      </c>
      <c r="G186" s="22" t="s">
        <v>369</v>
      </c>
      <c r="H186" s="22" t="s">
        <v>164</v>
      </c>
      <c r="I186" s="22" t="s">
        <v>370</v>
      </c>
      <c r="J186" s="22" t="s">
        <v>371</v>
      </c>
      <c r="K186" s="519" t="s">
        <v>1092</v>
      </c>
      <c r="L186" s="521" t="s">
        <v>1181</v>
      </c>
      <c r="M186" s="521" t="s">
        <v>1182</v>
      </c>
      <c r="N186" s="521" t="s">
        <v>885</v>
      </c>
      <c r="O186" s="22" t="s">
        <v>293</v>
      </c>
      <c r="P186" s="426">
        <v>2019</v>
      </c>
      <c r="Q186" s="533">
        <f t="shared" ca="1" si="6"/>
        <v>0</v>
      </c>
      <c r="R186" s="335">
        <f t="shared" ca="1" si="7"/>
        <v>0</v>
      </c>
      <c r="S186" s="335">
        <f t="shared" ca="1" si="8"/>
        <v>0</v>
      </c>
      <c r="T186" s="429" t="s">
        <v>372</v>
      </c>
      <c r="U186" s="22"/>
      <c r="V186" s="24"/>
      <c r="W186" s="21"/>
      <c r="Y186" s="490"/>
    </row>
    <row r="187" spans="1:25" ht="30">
      <c r="A187" s="31">
        <v>184</v>
      </c>
      <c r="B187" s="22" t="s">
        <v>39</v>
      </c>
      <c r="C187" s="22" t="s">
        <v>366</v>
      </c>
      <c r="D187" s="22" t="s">
        <v>367</v>
      </c>
      <c r="E187" s="23" t="s">
        <v>373</v>
      </c>
      <c r="F187" s="22" t="s">
        <v>142</v>
      </c>
      <c r="G187" s="22" t="s">
        <v>369</v>
      </c>
      <c r="H187" s="22" t="s">
        <v>164</v>
      </c>
      <c r="I187" s="22" t="s">
        <v>374</v>
      </c>
      <c r="J187" s="22" t="s">
        <v>375</v>
      </c>
      <c r="K187" s="519" t="s">
        <v>1092</v>
      </c>
      <c r="L187" s="521" t="s">
        <v>1183</v>
      </c>
      <c r="M187" s="521" t="s">
        <v>1184</v>
      </c>
      <c r="N187" s="521" t="s">
        <v>885</v>
      </c>
      <c r="O187" s="22" t="s">
        <v>293</v>
      </c>
      <c r="P187" s="426">
        <v>2019</v>
      </c>
      <c r="Q187" s="533">
        <f t="shared" ca="1" si="6"/>
        <v>0</v>
      </c>
      <c r="R187" s="335">
        <f t="shared" ca="1" si="7"/>
        <v>0</v>
      </c>
      <c r="S187" s="335">
        <f t="shared" ca="1" si="8"/>
        <v>0</v>
      </c>
      <c r="T187" s="429" t="s">
        <v>376</v>
      </c>
      <c r="U187" s="22"/>
      <c r="V187" s="24"/>
      <c r="W187" s="21"/>
      <c r="Y187" s="490"/>
    </row>
    <row r="188" spans="1:25" ht="30">
      <c r="A188" s="31">
        <v>185</v>
      </c>
      <c r="B188" s="22" t="s">
        <v>39</v>
      </c>
      <c r="C188" s="22" t="s">
        <v>366</v>
      </c>
      <c r="D188" s="22" t="s">
        <v>377</v>
      </c>
      <c r="E188" s="23" t="s">
        <v>378</v>
      </c>
      <c r="F188" s="22" t="s">
        <v>142</v>
      </c>
      <c r="G188" s="22" t="s">
        <v>379</v>
      </c>
      <c r="H188" s="22" t="s">
        <v>164</v>
      </c>
      <c r="I188" s="22" t="s">
        <v>380</v>
      </c>
      <c r="J188" s="22" t="s">
        <v>381</v>
      </c>
      <c r="K188" s="519" t="s">
        <v>1092</v>
      </c>
      <c r="L188" s="521" t="s">
        <v>1185</v>
      </c>
      <c r="M188" s="521" t="s">
        <v>1186</v>
      </c>
      <c r="N188" s="521" t="s">
        <v>885</v>
      </c>
      <c r="O188" s="22" t="s">
        <v>293</v>
      </c>
      <c r="P188" s="426">
        <v>2019</v>
      </c>
      <c r="Q188" s="533">
        <f t="shared" ca="1" si="6"/>
        <v>0</v>
      </c>
      <c r="R188" s="335">
        <f t="shared" ca="1" si="7"/>
        <v>0</v>
      </c>
      <c r="S188" s="335">
        <f t="shared" ca="1" si="8"/>
        <v>0</v>
      </c>
      <c r="T188" s="429" t="s">
        <v>383</v>
      </c>
      <c r="U188" s="22"/>
      <c r="V188" s="24"/>
      <c r="W188" s="21"/>
      <c r="Y188" s="490"/>
    </row>
    <row r="189" spans="1:25" ht="30">
      <c r="A189" s="31">
        <v>186</v>
      </c>
      <c r="B189" s="22" t="s">
        <v>39</v>
      </c>
      <c r="C189" s="22" t="s">
        <v>366</v>
      </c>
      <c r="D189" s="22" t="s">
        <v>377</v>
      </c>
      <c r="E189" s="23" t="s">
        <v>384</v>
      </c>
      <c r="F189" s="22" t="s">
        <v>142</v>
      </c>
      <c r="G189" s="22" t="s">
        <v>379</v>
      </c>
      <c r="H189" s="22" t="s">
        <v>164</v>
      </c>
      <c r="I189" s="22" t="s">
        <v>385</v>
      </c>
      <c r="J189" s="22" t="s">
        <v>386</v>
      </c>
      <c r="K189" s="519" t="s">
        <v>1092</v>
      </c>
      <c r="L189" s="521" t="s">
        <v>1187</v>
      </c>
      <c r="M189" s="521" t="s">
        <v>1188</v>
      </c>
      <c r="N189" s="521" t="s">
        <v>885</v>
      </c>
      <c r="O189" s="22" t="s">
        <v>293</v>
      </c>
      <c r="P189" s="426">
        <v>2019</v>
      </c>
      <c r="Q189" s="533">
        <f t="shared" ca="1" si="6"/>
        <v>0</v>
      </c>
      <c r="R189" s="335">
        <f t="shared" ca="1" si="7"/>
        <v>0</v>
      </c>
      <c r="S189" s="335">
        <f t="shared" ca="1" si="8"/>
        <v>0</v>
      </c>
      <c r="T189" s="429" t="s">
        <v>383</v>
      </c>
      <c r="U189" s="22"/>
      <c r="V189" s="24"/>
      <c r="W189" s="21"/>
      <c r="Y189" s="490"/>
    </row>
    <row r="190" spans="1:25" ht="30">
      <c r="A190" s="31">
        <v>187</v>
      </c>
      <c r="B190" s="22" t="s">
        <v>39</v>
      </c>
      <c r="C190" s="22" t="s">
        <v>366</v>
      </c>
      <c r="D190" s="22" t="s">
        <v>387</v>
      </c>
      <c r="E190" s="23" t="s">
        <v>388</v>
      </c>
      <c r="F190" s="22" t="s">
        <v>142</v>
      </c>
      <c r="G190" s="22" t="s">
        <v>389</v>
      </c>
      <c r="H190" s="22" t="s">
        <v>164</v>
      </c>
      <c r="I190" s="22" t="s">
        <v>390</v>
      </c>
      <c r="J190" s="22" t="s">
        <v>391</v>
      </c>
      <c r="K190" s="519" t="s">
        <v>1092</v>
      </c>
      <c r="L190" s="521" t="s">
        <v>1189</v>
      </c>
      <c r="M190" s="521" t="s">
        <v>1190</v>
      </c>
      <c r="N190" s="521" t="s">
        <v>885</v>
      </c>
      <c r="O190" s="22" t="s">
        <v>293</v>
      </c>
      <c r="P190" s="426">
        <v>2019</v>
      </c>
      <c r="Q190" s="533">
        <f t="shared" ca="1" si="6"/>
        <v>0</v>
      </c>
      <c r="R190" s="335">
        <f t="shared" ca="1" si="7"/>
        <v>0</v>
      </c>
      <c r="S190" s="335">
        <f t="shared" ca="1" si="8"/>
        <v>0</v>
      </c>
      <c r="T190" s="429" t="s">
        <v>392</v>
      </c>
      <c r="U190" s="22"/>
      <c r="V190" s="24"/>
      <c r="W190" s="21"/>
      <c r="Y190" s="490"/>
    </row>
    <row r="191" spans="1:25" ht="45">
      <c r="A191" s="31">
        <v>188</v>
      </c>
      <c r="B191" s="22" t="s">
        <v>39</v>
      </c>
      <c r="C191" s="22" t="s">
        <v>366</v>
      </c>
      <c r="D191" s="22" t="s">
        <v>141</v>
      </c>
      <c r="E191" s="23" t="s">
        <v>51</v>
      </c>
      <c r="F191" s="22" t="s">
        <v>52</v>
      </c>
      <c r="G191" s="22" t="s">
        <v>53</v>
      </c>
      <c r="H191" s="22" t="s">
        <v>30</v>
      </c>
      <c r="I191" s="22" t="s">
        <v>393</v>
      </c>
      <c r="J191" s="22" t="s">
        <v>52</v>
      </c>
      <c r="K191" s="519" t="s">
        <v>1191</v>
      </c>
      <c r="L191" s="521" t="s">
        <v>1192</v>
      </c>
      <c r="M191" s="521" t="s">
        <v>1193</v>
      </c>
      <c r="N191" s="521" t="s">
        <v>815</v>
      </c>
      <c r="O191" s="22" t="s">
        <v>394</v>
      </c>
      <c r="P191" s="426">
        <v>2019</v>
      </c>
      <c r="Q191" s="414">
        <f t="shared" ca="1" si="6"/>
        <v>2898.0948820547387</v>
      </c>
      <c r="R191" s="335" t="str">
        <f t="shared" ca="1" si="7"/>
        <v>N/A</v>
      </c>
      <c r="S191" s="335" t="str">
        <f t="shared" ca="1" si="8"/>
        <v>N/A</v>
      </c>
      <c r="T191" s="429" t="s">
        <v>899</v>
      </c>
      <c r="U191" s="22"/>
      <c r="V191" s="24"/>
      <c r="W191" s="21"/>
      <c r="Y191" s="490"/>
    </row>
    <row r="192" spans="1:25" ht="45">
      <c r="A192" s="31">
        <v>189</v>
      </c>
      <c r="B192" s="22" t="s">
        <v>39</v>
      </c>
      <c r="C192" s="22" t="s">
        <v>366</v>
      </c>
      <c r="D192" s="22" t="s">
        <v>141</v>
      </c>
      <c r="E192" s="23" t="s">
        <v>51</v>
      </c>
      <c r="F192" s="22" t="s">
        <v>55</v>
      </c>
      <c r="G192" s="22" t="s">
        <v>53</v>
      </c>
      <c r="H192" s="22" t="s">
        <v>30</v>
      </c>
      <c r="I192" s="22" t="s">
        <v>393</v>
      </c>
      <c r="J192" s="22" t="s">
        <v>55</v>
      </c>
      <c r="K192" s="519" t="s">
        <v>1191</v>
      </c>
      <c r="L192" s="521" t="s">
        <v>1194</v>
      </c>
      <c r="M192" s="521" t="s">
        <v>1195</v>
      </c>
      <c r="N192" s="521" t="s">
        <v>815</v>
      </c>
      <c r="O192" s="22" t="s">
        <v>394</v>
      </c>
      <c r="P192" s="426">
        <v>2019</v>
      </c>
      <c r="Q192" s="414">
        <f t="shared" ca="1" si="6"/>
        <v>2497.9844953547299</v>
      </c>
      <c r="R192" s="335" t="str">
        <f t="shared" ca="1" si="7"/>
        <v>N/A</v>
      </c>
      <c r="S192" s="335" t="str">
        <f t="shared" ca="1" si="8"/>
        <v>N/A</v>
      </c>
      <c r="T192" s="429" t="s">
        <v>899</v>
      </c>
      <c r="U192" s="22"/>
      <c r="V192" s="24"/>
      <c r="W192" s="21"/>
      <c r="Y192" s="490"/>
    </row>
    <row r="193" spans="1:25" ht="45">
      <c r="A193" s="31">
        <v>190</v>
      </c>
      <c r="B193" s="22" t="s">
        <v>39</v>
      </c>
      <c r="C193" s="22" t="s">
        <v>366</v>
      </c>
      <c r="D193" s="22" t="s">
        <v>141</v>
      </c>
      <c r="E193" s="23" t="s">
        <v>51</v>
      </c>
      <c r="F193" s="22" t="s">
        <v>56</v>
      </c>
      <c r="G193" s="22" t="s">
        <v>53</v>
      </c>
      <c r="H193" s="22" t="s">
        <v>30</v>
      </c>
      <c r="I193" s="22" t="s">
        <v>393</v>
      </c>
      <c r="J193" s="22" t="s">
        <v>56</v>
      </c>
      <c r="K193" s="519" t="s">
        <v>1191</v>
      </c>
      <c r="L193" s="521" t="s">
        <v>1196</v>
      </c>
      <c r="M193" s="521" t="s">
        <v>1197</v>
      </c>
      <c r="N193" s="521" t="s">
        <v>815</v>
      </c>
      <c r="O193" s="22" t="s">
        <v>394</v>
      </c>
      <c r="P193" s="426">
        <v>2019</v>
      </c>
      <c r="Q193" s="414">
        <f t="shared" ca="1" si="6"/>
        <v>12199569.293464012</v>
      </c>
      <c r="R193" s="335" t="str">
        <f t="shared" ca="1" si="7"/>
        <v>N/A</v>
      </c>
      <c r="S193" s="335" t="str">
        <f t="shared" ca="1" si="8"/>
        <v>N/A</v>
      </c>
      <c r="T193" s="429" t="s">
        <v>899</v>
      </c>
      <c r="U193" s="22"/>
      <c r="V193" s="24"/>
      <c r="W193" s="21"/>
      <c r="Y193" s="490"/>
    </row>
    <row r="194" spans="1:25" ht="45">
      <c r="A194" s="31">
        <v>191</v>
      </c>
      <c r="B194" s="22" t="s">
        <v>39</v>
      </c>
      <c r="C194" s="22" t="s">
        <v>366</v>
      </c>
      <c r="D194" s="22" t="s">
        <v>141</v>
      </c>
      <c r="E194" s="23" t="s">
        <v>51</v>
      </c>
      <c r="F194" s="22" t="s">
        <v>57</v>
      </c>
      <c r="G194" s="22" t="s">
        <v>53</v>
      </c>
      <c r="H194" s="22" t="s">
        <v>30</v>
      </c>
      <c r="I194" s="22" t="s">
        <v>393</v>
      </c>
      <c r="J194" s="22" t="s">
        <v>57</v>
      </c>
      <c r="K194" s="519" t="s">
        <v>1191</v>
      </c>
      <c r="L194" s="521" t="s">
        <v>1198</v>
      </c>
      <c r="M194" s="521" t="s">
        <v>1199</v>
      </c>
      <c r="N194" s="521" t="s">
        <v>815</v>
      </c>
      <c r="O194" s="22" t="s">
        <v>394</v>
      </c>
      <c r="P194" s="426">
        <v>2019</v>
      </c>
      <c r="Q194" s="414">
        <f t="shared" ca="1" si="6"/>
        <v>10464686.287194207</v>
      </c>
      <c r="R194" s="335" t="str">
        <f t="shared" ca="1" si="7"/>
        <v>N/A</v>
      </c>
      <c r="S194" s="335" t="str">
        <f t="shared" ca="1" si="8"/>
        <v>N/A</v>
      </c>
      <c r="T194" s="429" t="s">
        <v>899</v>
      </c>
      <c r="U194" s="22"/>
      <c r="V194" s="24"/>
      <c r="W194" s="21"/>
      <c r="Y194" s="490"/>
    </row>
    <row r="195" spans="1:25" ht="45">
      <c r="A195" s="31">
        <v>192</v>
      </c>
      <c r="B195" s="22" t="s">
        <v>39</v>
      </c>
      <c r="C195" s="22" t="s">
        <v>366</v>
      </c>
      <c r="D195" s="22" t="s">
        <v>141</v>
      </c>
      <c r="E195" s="23" t="s">
        <v>51</v>
      </c>
      <c r="F195" s="22" t="s">
        <v>58</v>
      </c>
      <c r="G195" s="22" t="s">
        <v>53</v>
      </c>
      <c r="H195" s="22" t="s">
        <v>30</v>
      </c>
      <c r="I195" s="22" t="s">
        <v>393</v>
      </c>
      <c r="J195" s="22" t="s">
        <v>58</v>
      </c>
      <c r="K195" s="519" t="s">
        <v>1191</v>
      </c>
      <c r="L195" s="521" t="s">
        <v>1200</v>
      </c>
      <c r="M195" s="521" t="s">
        <v>1201</v>
      </c>
      <c r="N195" s="521" t="s">
        <v>815</v>
      </c>
      <c r="O195" s="22" t="s">
        <v>394</v>
      </c>
      <c r="P195" s="426">
        <v>2019</v>
      </c>
      <c r="Q195" s="414">
        <f t="shared" ref="Q195:Q258" ca="1" si="9">SUMIF(INDIRECT("'"&amp;K195&amp;"'!c:c"),A195,INDIRECT("'"&amp;K195&amp;"'!g:g"))</f>
        <v>29882.156361386344</v>
      </c>
      <c r="R195" s="335" t="str">
        <f t="shared" ref="R195:R258" ca="1" si="10">IF($N195 = "N","N/A",SUMIF(INDIRECT("'"&amp;K195&amp;"'!i:i"),L195,INDIRECT("'"&amp;K195&amp;"'!n:n")))</f>
        <v>N/A</v>
      </c>
      <c r="S195" s="335" t="str">
        <f t="shared" ref="S195:S258" ca="1" si="11">IF($N195 = "N","N/A",SUMIF(INDIRECT("'"&amp;K195&amp;"'!i:i"),M195,INDIRECT("'"&amp;K195&amp;"'!n:n")))</f>
        <v>N/A</v>
      </c>
      <c r="T195" s="429" t="s">
        <v>899</v>
      </c>
      <c r="U195" s="305" t="s">
        <v>395</v>
      </c>
      <c r="V195" s="24"/>
      <c r="W195" s="21"/>
      <c r="Y195" s="490"/>
    </row>
    <row r="196" spans="1:25" ht="45">
      <c r="A196" s="31">
        <v>193</v>
      </c>
      <c r="B196" s="22" t="s">
        <v>39</v>
      </c>
      <c r="C196" s="22" t="s">
        <v>366</v>
      </c>
      <c r="D196" s="22" t="s">
        <v>141</v>
      </c>
      <c r="E196" s="23" t="s">
        <v>51</v>
      </c>
      <c r="F196" s="22" t="s">
        <v>60</v>
      </c>
      <c r="G196" s="22" t="s">
        <v>53</v>
      </c>
      <c r="H196" s="22" t="s">
        <v>30</v>
      </c>
      <c r="I196" s="22" t="s">
        <v>393</v>
      </c>
      <c r="J196" s="22" t="s">
        <v>60</v>
      </c>
      <c r="K196" s="519" t="s">
        <v>1191</v>
      </c>
      <c r="L196" s="521" t="s">
        <v>1202</v>
      </c>
      <c r="M196" s="521" t="s">
        <v>1203</v>
      </c>
      <c r="N196" s="521" t="s">
        <v>815</v>
      </c>
      <c r="O196" s="22" t="s">
        <v>394</v>
      </c>
      <c r="P196" s="426">
        <v>2019</v>
      </c>
      <c r="Q196" s="414">
        <f t="shared" ca="1" si="9"/>
        <v>17095.51933578297</v>
      </c>
      <c r="R196" s="335" t="str">
        <f t="shared" ca="1" si="10"/>
        <v>N/A</v>
      </c>
      <c r="S196" s="335" t="str">
        <f t="shared" ca="1" si="11"/>
        <v>N/A</v>
      </c>
      <c r="T196" s="429" t="s">
        <v>899</v>
      </c>
      <c r="U196" s="305" t="s">
        <v>395</v>
      </c>
      <c r="V196" s="24"/>
      <c r="W196" s="21"/>
      <c r="Y196" s="490"/>
    </row>
    <row r="197" spans="1:25" ht="45">
      <c r="A197" s="31">
        <v>194</v>
      </c>
      <c r="B197" s="22" t="s">
        <v>39</v>
      </c>
      <c r="C197" s="22" t="s">
        <v>366</v>
      </c>
      <c r="D197" s="22" t="s">
        <v>141</v>
      </c>
      <c r="E197" s="23" t="s">
        <v>51</v>
      </c>
      <c r="F197" s="22" t="s">
        <v>61</v>
      </c>
      <c r="G197" s="22" t="s">
        <v>53</v>
      </c>
      <c r="H197" s="22" t="s">
        <v>30</v>
      </c>
      <c r="I197" s="22" t="s">
        <v>393</v>
      </c>
      <c r="J197" s="22" t="s">
        <v>61</v>
      </c>
      <c r="K197" s="519" t="s">
        <v>1191</v>
      </c>
      <c r="L197" s="521" t="s">
        <v>1204</v>
      </c>
      <c r="M197" s="521" t="s">
        <v>1205</v>
      </c>
      <c r="N197" s="521" t="s">
        <v>815</v>
      </c>
      <c r="O197" s="22" t="s">
        <v>394</v>
      </c>
      <c r="P197" s="426">
        <v>2019</v>
      </c>
      <c r="Q197" s="414">
        <f t="shared" ca="1" si="9"/>
        <v>23630.438480622244</v>
      </c>
      <c r="R197" s="335" t="str">
        <f t="shared" ca="1" si="10"/>
        <v>N/A</v>
      </c>
      <c r="S197" s="335" t="str">
        <f t="shared" ca="1" si="11"/>
        <v>N/A</v>
      </c>
      <c r="T197" s="429" t="s">
        <v>899</v>
      </c>
      <c r="U197" s="22"/>
      <c r="V197" s="24"/>
      <c r="W197" s="21"/>
      <c r="Y197" s="490"/>
    </row>
    <row r="198" spans="1:25" ht="45">
      <c r="A198" s="31">
        <v>195</v>
      </c>
      <c r="B198" s="22" t="s">
        <v>39</v>
      </c>
      <c r="C198" s="22" t="s">
        <v>366</v>
      </c>
      <c r="D198" s="22" t="s">
        <v>141</v>
      </c>
      <c r="E198" s="23" t="s">
        <v>51</v>
      </c>
      <c r="F198" s="22" t="s">
        <v>62</v>
      </c>
      <c r="G198" s="22" t="s">
        <v>53</v>
      </c>
      <c r="H198" s="22" t="s">
        <v>30</v>
      </c>
      <c r="I198" s="22" t="s">
        <v>393</v>
      </c>
      <c r="J198" s="22" t="s">
        <v>62</v>
      </c>
      <c r="K198" s="519" t="s">
        <v>1191</v>
      </c>
      <c r="L198" s="521" t="s">
        <v>1206</v>
      </c>
      <c r="M198" s="521" t="s">
        <v>1207</v>
      </c>
      <c r="N198" s="521" t="s">
        <v>815</v>
      </c>
      <c r="O198" s="22" t="s">
        <v>394</v>
      </c>
      <c r="P198" s="426">
        <v>2019</v>
      </c>
      <c r="Q198" s="414">
        <f t="shared" ca="1" si="9"/>
        <v>20075.722901657369</v>
      </c>
      <c r="R198" s="335" t="str">
        <f t="shared" ca="1" si="10"/>
        <v>N/A</v>
      </c>
      <c r="S198" s="335" t="str">
        <f t="shared" ca="1" si="11"/>
        <v>N/A</v>
      </c>
      <c r="T198" s="429" t="s">
        <v>899</v>
      </c>
      <c r="U198" s="22"/>
      <c r="V198" s="24"/>
      <c r="W198" s="21"/>
      <c r="Y198" s="490"/>
    </row>
    <row r="199" spans="1:25" ht="45">
      <c r="A199" s="31">
        <v>196</v>
      </c>
      <c r="B199" s="22" t="s">
        <v>39</v>
      </c>
      <c r="C199" s="22" t="s">
        <v>366</v>
      </c>
      <c r="D199" s="22" t="s">
        <v>141</v>
      </c>
      <c r="E199" s="23" t="s">
        <v>51</v>
      </c>
      <c r="F199" s="22" t="s">
        <v>63</v>
      </c>
      <c r="G199" s="22" t="s">
        <v>53</v>
      </c>
      <c r="H199" s="22" t="s">
        <v>30</v>
      </c>
      <c r="I199" s="22" t="s">
        <v>393</v>
      </c>
      <c r="J199" s="22" t="s">
        <v>63</v>
      </c>
      <c r="K199" s="519" t="s">
        <v>1191</v>
      </c>
      <c r="L199" s="521" t="s">
        <v>1208</v>
      </c>
      <c r="M199" s="521" t="s">
        <v>1209</v>
      </c>
      <c r="N199" s="521" t="s">
        <v>815</v>
      </c>
      <c r="O199" s="22" t="s">
        <v>394</v>
      </c>
      <c r="P199" s="426">
        <v>2019</v>
      </c>
      <c r="Q199" s="414">
        <f t="shared" ca="1" si="9"/>
        <v>102671892.85767052</v>
      </c>
      <c r="R199" s="335" t="str">
        <f t="shared" ca="1" si="10"/>
        <v>N/A</v>
      </c>
      <c r="S199" s="335" t="str">
        <f t="shared" ca="1" si="11"/>
        <v>N/A</v>
      </c>
      <c r="T199" s="429" t="s">
        <v>899</v>
      </c>
      <c r="U199" s="22"/>
      <c r="V199" s="24"/>
      <c r="W199" s="21"/>
      <c r="Y199" s="490"/>
    </row>
    <row r="200" spans="1:25" ht="45">
      <c r="A200" s="31">
        <v>197</v>
      </c>
      <c r="B200" s="22" t="s">
        <v>39</v>
      </c>
      <c r="C200" s="22" t="s">
        <v>366</v>
      </c>
      <c r="D200" s="22" t="s">
        <v>141</v>
      </c>
      <c r="E200" s="23" t="s">
        <v>51</v>
      </c>
      <c r="F200" s="22" t="s">
        <v>64</v>
      </c>
      <c r="G200" s="22" t="s">
        <v>53</v>
      </c>
      <c r="H200" s="22" t="s">
        <v>30</v>
      </c>
      <c r="I200" s="22" t="s">
        <v>393</v>
      </c>
      <c r="J200" s="22" t="s">
        <v>64</v>
      </c>
      <c r="K200" s="519" t="s">
        <v>1191</v>
      </c>
      <c r="L200" s="521" t="s">
        <v>1210</v>
      </c>
      <c r="M200" s="521" t="s">
        <v>1211</v>
      </c>
      <c r="N200" s="521" t="s">
        <v>815</v>
      </c>
      <c r="O200" s="22" t="s">
        <v>394</v>
      </c>
      <c r="P200" s="426">
        <v>2019</v>
      </c>
      <c r="Q200" s="414">
        <f t="shared" ca="1" si="9"/>
        <v>85450449.032280743</v>
      </c>
      <c r="R200" s="335" t="str">
        <f t="shared" ca="1" si="10"/>
        <v>N/A</v>
      </c>
      <c r="S200" s="335" t="str">
        <f t="shared" ca="1" si="11"/>
        <v>N/A</v>
      </c>
      <c r="T200" s="429" t="s">
        <v>899</v>
      </c>
      <c r="U200" s="22"/>
      <c r="V200" s="24"/>
      <c r="W200" s="21"/>
      <c r="Y200" s="490"/>
    </row>
    <row r="201" spans="1:25" ht="45">
      <c r="A201" s="31">
        <v>198</v>
      </c>
      <c r="B201" s="22" t="s">
        <v>39</v>
      </c>
      <c r="C201" s="22" t="s">
        <v>366</v>
      </c>
      <c r="D201" s="22" t="s">
        <v>141</v>
      </c>
      <c r="E201" s="23" t="s">
        <v>51</v>
      </c>
      <c r="F201" s="22" t="s">
        <v>65</v>
      </c>
      <c r="G201" s="22" t="s">
        <v>53</v>
      </c>
      <c r="H201" s="22" t="s">
        <v>30</v>
      </c>
      <c r="I201" s="22" t="s">
        <v>393</v>
      </c>
      <c r="J201" s="22" t="s">
        <v>65</v>
      </c>
      <c r="K201" s="519" t="s">
        <v>1191</v>
      </c>
      <c r="L201" s="521" t="s">
        <v>1212</v>
      </c>
      <c r="M201" s="521" t="s">
        <v>1213</v>
      </c>
      <c r="N201" s="521" t="s">
        <v>815</v>
      </c>
      <c r="O201" s="22" t="s">
        <v>394</v>
      </c>
      <c r="P201" s="426">
        <v>2019</v>
      </c>
      <c r="Q201" s="414">
        <f t="shared" ca="1" si="9"/>
        <v>480219.7888017107</v>
      </c>
      <c r="R201" s="335" t="str">
        <f t="shared" ca="1" si="10"/>
        <v>N/A</v>
      </c>
      <c r="S201" s="335" t="str">
        <f t="shared" ca="1" si="11"/>
        <v>N/A</v>
      </c>
      <c r="T201" s="429" t="s">
        <v>899</v>
      </c>
      <c r="U201" s="305"/>
      <c r="V201" s="24"/>
      <c r="W201" s="21"/>
      <c r="Y201" s="490"/>
    </row>
    <row r="202" spans="1:25" ht="45">
      <c r="A202" s="31">
        <v>199</v>
      </c>
      <c r="B202" s="22" t="s">
        <v>39</v>
      </c>
      <c r="C202" s="22" t="s">
        <v>366</v>
      </c>
      <c r="D202" s="22" t="s">
        <v>141</v>
      </c>
      <c r="E202" s="23" t="s">
        <v>51</v>
      </c>
      <c r="F202" s="22" t="s">
        <v>66</v>
      </c>
      <c r="G202" s="22" t="s">
        <v>53</v>
      </c>
      <c r="H202" s="22" t="s">
        <v>30</v>
      </c>
      <c r="I202" s="22" t="s">
        <v>393</v>
      </c>
      <c r="J202" s="22" t="s">
        <v>66</v>
      </c>
      <c r="K202" s="519" t="s">
        <v>1191</v>
      </c>
      <c r="L202" s="521" t="s">
        <v>1214</v>
      </c>
      <c r="M202" s="521" t="s">
        <v>1215</v>
      </c>
      <c r="N202" s="521" t="s">
        <v>815</v>
      </c>
      <c r="O202" s="22" t="s">
        <v>394</v>
      </c>
      <c r="P202" s="426">
        <v>2019</v>
      </c>
      <c r="Q202" s="414">
        <f t="shared" ca="1" si="9"/>
        <v>210730.83388234445</v>
      </c>
      <c r="R202" s="335" t="str">
        <f t="shared" ca="1" si="10"/>
        <v>N/A</v>
      </c>
      <c r="S202" s="335" t="str">
        <f t="shared" ca="1" si="11"/>
        <v>N/A</v>
      </c>
      <c r="T202" s="429" t="s">
        <v>899</v>
      </c>
      <c r="U202" s="305"/>
      <c r="V202" s="24"/>
      <c r="W202" s="21"/>
      <c r="Y202" s="490"/>
    </row>
    <row r="203" spans="1:25" ht="45">
      <c r="A203" s="31">
        <v>200</v>
      </c>
      <c r="B203" s="22" t="s">
        <v>39</v>
      </c>
      <c r="C203" s="22" t="s">
        <v>366</v>
      </c>
      <c r="D203" s="22" t="s">
        <v>252</v>
      </c>
      <c r="E203" s="23" t="s">
        <v>42</v>
      </c>
      <c r="F203" s="22" t="s">
        <v>43</v>
      </c>
      <c r="G203" s="22" t="s">
        <v>44</v>
      </c>
      <c r="H203" s="22" t="s">
        <v>30</v>
      </c>
      <c r="I203" s="22" t="s">
        <v>396</v>
      </c>
      <c r="J203" s="22" t="s">
        <v>314</v>
      </c>
      <c r="K203" s="519" t="s">
        <v>1191</v>
      </c>
      <c r="L203" s="521" t="s">
        <v>1216</v>
      </c>
      <c r="M203" s="521" t="s">
        <v>1217</v>
      </c>
      <c r="N203" s="521" t="s">
        <v>815</v>
      </c>
      <c r="O203" s="22" t="s">
        <v>394</v>
      </c>
      <c r="P203" s="426">
        <v>2019</v>
      </c>
      <c r="Q203" s="414">
        <f t="shared" ca="1" si="9"/>
        <v>7489.1394575259537</v>
      </c>
      <c r="R203" s="335" t="str">
        <f t="shared" ca="1" si="10"/>
        <v>N/A</v>
      </c>
      <c r="S203" s="335" t="str">
        <f t="shared" ca="1" si="11"/>
        <v>N/A</v>
      </c>
      <c r="T203" s="429" t="s">
        <v>48</v>
      </c>
      <c r="U203" s="22"/>
      <c r="V203" s="24"/>
      <c r="W203" s="21"/>
      <c r="Y203" s="490"/>
    </row>
    <row r="204" spans="1:25" ht="45">
      <c r="A204" s="31">
        <v>201</v>
      </c>
      <c r="B204" s="22" t="s">
        <v>39</v>
      </c>
      <c r="C204" s="22" t="s">
        <v>366</v>
      </c>
      <c r="D204" s="22" t="s">
        <v>397</v>
      </c>
      <c r="E204" s="23" t="s">
        <v>398</v>
      </c>
      <c r="F204" s="22" t="s">
        <v>399</v>
      </c>
      <c r="G204" s="22" t="s">
        <v>219</v>
      </c>
      <c r="H204" s="22" t="s">
        <v>164</v>
      </c>
      <c r="I204" s="22" t="s">
        <v>400</v>
      </c>
      <c r="J204" s="22" t="s">
        <v>401</v>
      </c>
      <c r="K204" s="519" t="s">
        <v>1191</v>
      </c>
      <c r="L204" s="521" t="s">
        <v>1218</v>
      </c>
      <c r="M204" s="521" t="s">
        <v>1219</v>
      </c>
      <c r="N204" s="521" t="s">
        <v>885</v>
      </c>
      <c r="O204" s="22" t="s">
        <v>394</v>
      </c>
      <c r="P204" s="426">
        <v>2019</v>
      </c>
      <c r="Q204" s="533">
        <f t="shared" ca="1" si="9"/>
        <v>0</v>
      </c>
      <c r="R204" s="335">
        <f t="shared" ca="1" si="10"/>
        <v>0</v>
      </c>
      <c r="S204" s="335">
        <f t="shared" ca="1" si="11"/>
        <v>0</v>
      </c>
      <c r="T204" s="429"/>
      <c r="U204" s="22"/>
      <c r="V204" s="24"/>
      <c r="W204" s="21"/>
      <c r="Y204" s="490"/>
    </row>
    <row r="205" spans="1:25" ht="45">
      <c r="A205" s="31">
        <v>202</v>
      </c>
      <c r="B205" s="22" t="s">
        <v>39</v>
      </c>
      <c r="C205" s="22" t="s">
        <v>366</v>
      </c>
      <c r="D205" s="22" t="s">
        <v>397</v>
      </c>
      <c r="E205" s="23" t="s">
        <v>398</v>
      </c>
      <c r="F205" s="22" t="s">
        <v>402</v>
      </c>
      <c r="G205" s="22" t="s">
        <v>219</v>
      </c>
      <c r="H205" s="22" t="s">
        <v>164</v>
      </c>
      <c r="I205" s="22" t="s">
        <v>400</v>
      </c>
      <c r="J205" s="22" t="s">
        <v>403</v>
      </c>
      <c r="K205" s="519" t="s">
        <v>1191</v>
      </c>
      <c r="L205" s="521" t="s">
        <v>1220</v>
      </c>
      <c r="M205" s="521" t="s">
        <v>1221</v>
      </c>
      <c r="N205" s="521" t="s">
        <v>885</v>
      </c>
      <c r="O205" s="22" t="s">
        <v>394</v>
      </c>
      <c r="P205" s="426">
        <v>2019</v>
      </c>
      <c r="Q205" s="533">
        <f t="shared" ca="1" si="9"/>
        <v>0</v>
      </c>
      <c r="R205" s="335">
        <f t="shared" ca="1" si="10"/>
        <v>0</v>
      </c>
      <c r="S205" s="335">
        <f t="shared" ca="1" si="11"/>
        <v>0</v>
      </c>
      <c r="T205" s="429"/>
      <c r="U205" s="22"/>
      <c r="V205" s="24"/>
      <c r="W205" s="21"/>
      <c r="Y205" s="490"/>
    </row>
    <row r="206" spans="1:25" ht="75">
      <c r="A206" s="31">
        <v>203</v>
      </c>
      <c r="B206" s="22" t="s">
        <v>39</v>
      </c>
      <c r="C206" s="22" t="s">
        <v>366</v>
      </c>
      <c r="D206" s="22" t="s">
        <v>397</v>
      </c>
      <c r="E206" s="23" t="s">
        <v>398</v>
      </c>
      <c r="F206" s="22" t="s">
        <v>404</v>
      </c>
      <c r="G206" s="22" t="s">
        <v>219</v>
      </c>
      <c r="H206" s="22" t="s">
        <v>164</v>
      </c>
      <c r="I206" s="22" t="s">
        <v>400</v>
      </c>
      <c r="J206" s="22" t="s">
        <v>405</v>
      </c>
      <c r="K206" s="519" t="s">
        <v>1191</v>
      </c>
      <c r="L206" s="521" t="s">
        <v>1222</v>
      </c>
      <c r="M206" s="521" t="s">
        <v>1223</v>
      </c>
      <c r="N206" s="521" t="s">
        <v>885</v>
      </c>
      <c r="O206" s="22" t="s">
        <v>394</v>
      </c>
      <c r="P206" s="426">
        <v>2019</v>
      </c>
      <c r="Q206" s="533">
        <f t="shared" ca="1" si="9"/>
        <v>0</v>
      </c>
      <c r="R206" s="335">
        <f t="shared" ca="1" si="10"/>
        <v>0</v>
      </c>
      <c r="S206" s="335">
        <f t="shared" ca="1" si="11"/>
        <v>0</v>
      </c>
      <c r="T206" s="429" t="s">
        <v>406</v>
      </c>
      <c r="U206" s="22" t="s">
        <v>407</v>
      </c>
      <c r="V206" s="24"/>
      <c r="W206" s="21"/>
      <c r="Y206" s="490"/>
    </row>
    <row r="207" spans="1:25" ht="45">
      <c r="A207" s="31">
        <v>204</v>
      </c>
      <c r="B207" s="22" t="s">
        <v>39</v>
      </c>
      <c r="C207" s="22" t="s">
        <v>366</v>
      </c>
      <c r="D207" s="22" t="s">
        <v>397</v>
      </c>
      <c r="E207" s="23" t="s">
        <v>234</v>
      </c>
      <c r="F207" s="22" t="s">
        <v>408</v>
      </c>
      <c r="G207" s="22" t="s">
        <v>235</v>
      </c>
      <c r="H207" s="22" t="s">
        <v>164</v>
      </c>
      <c r="I207" s="22" t="s">
        <v>409</v>
      </c>
      <c r="J207" s="22" t="s">
        <v>410</v>
      </c>
      <c r="K207" s="519" t="s">
        <v>1191</v>
      </c>
      <c r="L207" s="521" t="s">
        <v>1224</v>
      </c>
      <c r="M207" s="521" t="s">
        <v>1225</v>
      </c>
      <c r="N207" s="521" t="s">
        <v>815</v>
      </c>
      <c r="O207" s="22" t="s">
        <v>394</v>
      </c>
      <c r="P207" s="426">
        <v>2019</v>
      </c>
      <c r="Q207" s="414">
        <f t="shared" ca="1" si="9"/>
        <v>0</v>
      </c>
      <c r="R207" s="335" t="str">
        <f t="shared" ca="1" si="10"/>
        <v>N/A</v>
      </c>
      <c r="S207" s="335" t="str">
        <f t="shared" ca="1" si="11"/>
        <v>N/A</v>
      </c>
      <c r="T207" s="429"/>
      <c r="U207" s="22"/>
      <c r="V207" s="24"/>
      <c r="W207" s="21"/>
      <c r="Y207" s="490"/>
    </row>
    <row r="208" spans="1:25" ht="45">
      <c r="A208" s="31">
        <v>205</v>
      </c>
      <c r="B208" s="22" t="s">
        <v>39</v>
      </c>
      <c r="C208" s="22" t="s">
        <v>366</v>
      </c>
      <c r="D208" s="22" t="s">
        <v>397</v>
      </c>
      <c r="E208" s="23" t="s">
        <v>234</v>
      </c>
      <c r="F208" s="22" t="s">
        <v>411</v>
      </c>
      <c r="G208" s="22" t="s">
        <v>235</v>
      </c>
      <c r="H208" s="22" t="s">
        <v>164</v>
      </c>
      <c r="I208" s="22" t="s">
        <v>409</v>
      </c>
      <c r="J208" s="22" t="s">
        <v>410</v>
      </c>
      <c r="K208" s="519" t="s">
        <v>1191</v>
      </c>
      <c r="L208" s="521" t="s">
        <v>1226</v>
      </c>
      <c r="M208" s="521" t="s">
        <v>1227</v>
      </c>
      <c r="N208" s="521" t="s">
        <v>815</v>
      </c>
      <c r="O208" s="22" t="s">
        <v>394</v>
      </c>
      <c r="P208" s="426">
        <v>2019</v>
      </c>
      <c r="Q208" s="414">
        <f t="shared" ca="1" si="9"/>
        <v>0</v>
      </c>
      <c r="R208" s="335" t="str">
        <f t="shared" ca="1" si="10"/>
        <v>N/A</v>
      </c>
      <c r="S208" s="335" t="str">
        <f t="shared" ca="1" si="11"/>
        <v>N/A</v>
      </c>
      <c r="T208" s="429"/>
      <c r="U208" s="22"/>
      <c r="V208" s="24"/>
      <c r="W208" s="21"/>
      <c r="Y208" s="490"/>
    </row>
    <row r="209" spans="1:25" ht="60">
      <c r="A209" s="31">
        <v>206</v>
      </c>
      <c r="B209" s="22" t="s">
        <v>39</v>
      </c>
      <c r="C209" s="22" t="s">
        <v>366</v>
      </c>
      <c r="D209" s="22" t="s">
        <v>397</v>
      </c>
      <c r="E209" s="23" t="s">
        <v>234</v>
      </c>
      <c r="F209" s="22" t="s">
        <v>412</v>
      </c>
      <c r="G209" s="22" t="s">
        <v>235</v>
      </c>
      <c r="H209" s="22" t="s">
        <v>164</v>
      </c>
      <c r="I209" s="22" t="s">
        <v>409</v>
      </c>
      <c r="J209" s="22" t="s">
        <v>413</v>
      </c>
      <c r="K209" s="519" t="s">
        <v>1191</v>
      </c>
      <c r="L209" s="521" t="s">
        <v>1228</v>
      </c>
      <c r="M209" s="521" t="s">
        <v>1229</v>
      </c>
      <c r="N209" s="521" t="s">
        <v>815</v>
      </c>
      <c r="O209" s="22" t="s">
        <v>394</v>
      </c>
      <c r="P209" s="426">
        <v>2019</v>
      </c>
      <c r="Q209" s="414">
        <f t="shared" ca="1" si="9"/>
        <v>0</v>
      </c>
      <c r="R209" s="335" t="str">
        <f t="shared" ca="1" si="10"/>
        <v>N/A</v>
      </c>
      <c r="S209" s="335" t="str">
        <f t="shared" ca="1" si="11"/>
        <v>N/A</v>
      </c>
      <c r="T209" s="429" t="s">
        <v>414</v>
      </c>
      <c r="U209" s="22"/>
      <c r="V209" s="24"/>
      <c r="W209" s="21"/>
      <c r="Y209" s="490"/>
    </row>
    <row r="210" spans="1:25" ht="45">
      <c r="A210" s="31">
        <v>207</v>
      </c>
      <c r="B210" s="22" t="s">
        <v>39</v>
      </c>
      <c r="C210" s="22" t="s">
        <v>366</v>
      </c>
      <c r="D210" s="22" t="s">
        <v>397</v>
      </c>
      <c r="E210" s="23" t="s">
        <v>415</v>
      </c>
      <c r="F210" s="22" t="s">
        <v>408</v>
      </c>
      <c r="G210" s="22" t="s">
        <v>416</v>
      </c>
      <c r="H210" s="22" t="s">
        <v>164</v>
      </c>
      <c r="I210" s="22" t="s">
        <v>417</v>
      </c>
      <c r="J210" s="22" t="s">
        <v>418</v>
      </c>
      <c r="K210" s="519" t="s">
        <v>1191</v>
      </c>
      <c r="L210" s="521" t="s">
        <v>1230</v>
      </c>
      <c r="M210" s="521" t="s">
        <v>1231</v>
      </c>
      <c r="N210" s="521" t="s">
        <v>885</v>
      </c>
      <c r="O210" s="22" t="s">
        <v>394</v>
      </c>
      <c r="P210" s="426">
        <v>2019</v>
      </c>
      <c r="Q210" s="414">
        <f t="shared" ca="1" si="9"/>
        <v>0</v>
      </c>
      <c r="R210" s="335">
        <f t="shared" ca="1" si="10"/>
        <v>0</v>
      </c>
      <c r="S210" s="335">
        <f t="shared" ca="1" si="11"/>
        <v>0</v>
      </c>
      <c r="T210" s="429"/>
      <c r="U210" s="22"/>
      <c r="V210" s="24"/>
      <c r="W210" s="21"/>
      <c r="Y210" s="490"/>
    </row>
    <row r="211" spans="1:25" ht="45">
      <c r="A211" s="31">
        <v>208</v>
      </c>
      <c r="B211" s="22" t="s">
        <v>39</v>
      </c>
      <c r="C211" s="22" t="s">
        <v>366</v>
      </c>
      <c r="D211" s="22" t="s">
        <v>397</v>
      </c>
      <c r="E211" s="23" t="s">
        <v>415</v>
      </c>
      <c r="F211" s="22" t="s">
        <v>411</v>
      </c>
      <c r="G211" s="22" t="s">
        <v>416</v>
      </c>
      <c r="H211" s="22" t="s">
        <v>164</v>
      </c>
      <c r="I211" s="22" t="s">
        <v>417</v>
      </c>
      <c r="J211" s="22" t="s">
        <v>419</v>
      </c>
      <c r="K211" s="519" t="s">
        <v>1191</v>
      </c>
      <c r="L211" s="521" t="s">
        <v>1232</v>
      </c>
      <c r="M211" s="521" t="s">
        <v>1233</v>
      </c>
      <c r="N211" s="521" t="s">
        <v>885</v>
      </c>
      <c r="O211" s="22" t="s">
        <v>394</v>
      </c>
      <c r="P211" s="426">
        <v>2019</v>
      </c>
      <c r="Q211" s="414">
        <f t="shared" ca="1" si="9"/>
        <v>0</v>
      </c>
      <c r="R211" s="335">
        <f t="shared" ca="1" si="10"/>
        <v>0</v>
      </c>
      <c r="S211" s="335">
        <f t="shared" ca="1" si="11"/>
        <v>0</v>
      </c>
      <c r="T211" s="429"/>
      <c r="U211" s="22"/>
      <c r="V211" s="24"/>
      <c r="W211" s="21"/>
      <c r="Y211" s="490"/>
    </row>
    <row r="212" spans="1:25" ht="45">
      <c r="A212" s="31">
        <v>209</v>
      </c>
      <c r="B212" s="22" t="s">
        <v>39</v>
      </c>
      <c r="C212" s="22" t="s">
        <v>366</v>
      </c>
      <c r="D212" s="22" t="s">
        <v>397</v>
      </c>
      <c r="E212" s="23" t="s">
        <v>415</v>
      </c>
      <c r="F212" s="22" t="s">
        <v>412</v>
      </c>
      <c r="G212" s="22" t="s">
        <v>416</v>
      </c>
      <c r="H212" s="22" t="s">
        <v>164</v>
      </c>
      <c r="I212" s="22" t="s">
        <v>417</v>
      </c>
      <c r="J212" s="22" t="s">
        <v>420</v>
      </c>
      <c r="K212" s="519" t="s">
        <v>1191</v>
      </c>
      <c r="L212" s="521" t="s">
        <v>1234</v>
      </c>
      <c r="M212" s="521" t="s">
        <v>1235</v>
      </c>
      <c r="N212" s="521" t="s">
        <v>885</v>
      </c>
      <c r="O212" s="22" t="s">
        <v>394</v>
      </c>
      <c r="P212" s="426">
        <v>2019</v>
      </c>
      <c r="Q212" s="414">
        <f t="shared" ca="1" si="9"/>
        <v>0</v>
      </c>
      <c r="R212" s="335">
        <f t="shared" ca="1" si="10"/>
        <v>0</v>
      </c>
      <c r="S212" s="335">
        <f t="shared" ca="1" si="11"/>
        <v>0</v>
      </c>
      <c r="T212" s="429" t="s">
        <v>421</v>
      </c>
      <c r="U212" s="22"/>
      <c r="V212" s="24"/>
      <c r="W212" s="21"/>
      <c r="Y212" s="490"/>
    </row>
    <row r="213" spans="1:25" ht="75">
      <c r="A213" s="31">
        <v>210</v>
      </c>
      <c r="B213" s="22" t="s">
        <v>39</v>
      </c>
      <c r="C213" s="22" t="s">
        <v>422</v>
      </c>
      <c r="D213" s="22" t="s">
        <v>153</v>
      </c>
      <c r="E213" s="23" t="s">
        <v>141</v>
      </c>
      <c r="F213" s="22" t="s">
        <v>142</v>
      </c>
      <c r="G213" s="22" t="s">
        <v>143</v>
      </c>
      <c r="H213" s="22" t="s">
        <v>30</v>
      </c>
      <c r="I213" s="22" t="s">
        <v>423</v>
      </c>
      <c r="J213" s="22" t="s">
        <v>424</v>
      </c>
      <c r="K213" s="519" t="s">
        <v>1191</v>
      </c>
      <c r="L213" s="521" t="s">
        <v>1236</v>
      </c>
      <c r="M213" s="521" t="s">
        <v>1237</v>
      </c>
      <c r="N213" s="521" t="s">
        <v>885</v>
      </c>
      <c r="O213" s="22" t="s">
        <v>394</v>
      </c>
      <c r="P213" s="426">
        <v>2019</v>
      </c>
      <c r="Q213" s="533">
        <f t="shared" ca="1" si="9"/>
        <v>1.644697779361121E-2</v>
      </c>
      <c r="R213" s="335">
        <f t="shared" ca="1" si="10"/>
        <v>0</v>
      </c>
      <c r="S213" s="335">
        <f t="shared" ca="1" si="11"/>
        <v>0</v>
      </c>
      <c r="T213" s="429" t="s">
        <v>425</v>
      </c>
      <c r="U213" s="22" t="s">
        <v>246</v>
      </c>
      <c r="V213" s="24"/>
      <c r="W213" s="21"/>
      <c r="Y213" s="490"/>
    </row>
    <row r="214" spans="1:25" ht="75">
      <c r="A214" s="31">
        <v>211</v>
      </c>
      <c r="B214" s="22" t="s">
        <v>39</v>
      </c>
      <c r="C214" s="22" t="s">
        <v>422</v>
      </c>
      <c r="D214" s="22" t="s">
        <v>426</v>
      </c>
      <c r="E214" s="23" t="s">
        <v>252</v>
      </c>
      <c r="F214" s="22" t="s">
        <v>142</v>
      </c>
      <c r="G214" s="22" t="s">
        <v>253</v>
      </c>
      <c r="H214" s="22" t="s">
        <v>164</v>
      </c>
      <c r="I214" s="22" t="s">
        <v>427</v>
      </c>
      <c r="J214" s="22" t="s">
        <v>428</v>
      </c>
      <c r="K214" s="519" t="s">
        <v>1191</v>
      </c>
      <c r="L214" s="521" t="s">
        <v>1238</v>
      </c>
      <c r="M214" s="521" t="s">
        <v>1239</v>
      </c>
      <c r="N214" s="521" t="s">
        <v>885</v>
      </c>
      <c r="O214" s="22" t="s">
        <v>394</v>
      </c>
      <c r="P214" s="426">
        <v>2019</v>
      </c>
      <c r="Q214" s="533">
        <f t="shared" ca="1" si="9"/>
        <v>1.644697779361121E-2</v>
      </c>
      <c r="R214" s="335">
        <f t="shared" ca="1" si="10"/>
        <v>0</v>
      </c>
      <c r="S214" s="335">
        <f t="shared" ca="1" si="11"/>
        <v>0</v>
      </c>
      <c r="T214" s="429" t="s">
        <v>429</v>
      </c>
      <c r="U214" s="22"/>
      <c r="V214" s="24"/>
      <c r="W214" s="21"/>
      <c r="Y214" s="490"/>
    </row>
    <row r="215" spans="1:25" ht="105">
      <c r="A215" s="31">
        <v>212</v>
      </c>
      <c r="B215" s="22" t="s">
        <v>39</v>
      </c>
      <c r="C215" s="22" t="s">
        <v>422</v>
      </c>
      <c r="D215" s="22" t="s">
        <v>426</v>
      </c>
      <c r="E215" s="23" t="s">
        <v>430</v>
      </c>
      <c r="F215" s="22" t="s">
        <v>142</v>
      </c>
      <c r="G215" s="22" t="s">
        <v>416</v>
      </c>
      <c r="H215" s="22" t="s">
        <v>164</v>
      </c>
      <c r="I215" s="22" t="s">
        <v>431</v>
      </c>
      <c r="J215" s="22" t="s">
        <v>432</v>
      </c>
      <c r="K215" s="519" t="s">
        <v>1191</v>
      </c>
      <c r="L215" s="521" t="s">
        <v>1240</v>
      </c>
      <c r="M215" s="521" t="s">
        <v>1241</v>
      </c>
      <c r="N215" s="521" t="s">
        <v>885</v>
      </c>
      <c r="O215" s="22" t="s">
        <v>394</v>
      </c>
      <c r="P215" s="426">
        <v>2019</v>
      </c>
      <c r="Q215" s="533">
        <f t="shared" ca="1" si="9"/>
        <v>0</v>
      </c>
      <c r="R215" s="335">
        <f t="shared" ca="1" si="10"/>
        <v>0</v>
      </c>
      <c r="S215" s="335">
        <f t="shared" ca="1" si="11"/>
        <v>0</v>
      </c>
      <c r="T215" s="429" t="s">
        <v>433</v>
      </c>
      <c r="U215" s="22"/>
      <c r="V215" s="24"/>
      <c r="W215" s="21"/>
      <c r="Y215" s="490"/>
    </row>
    <row r="216" spans="1:25" ht="30">
      <c r="A216" s="31">
        <v>213</v>
      </c>
      <c r="B216" s="22" t="s">
        <v>39</v>
      </c>
      <c r="C216" s="22" t="s">
        <v>422</v>
      </c>
      <c r="D216" s="22" t="s">
        <v>434</v>
      </c>
      <c r="E216" s="23" t="s">
        <v>91</v>
      </c>
      <c r="F216" s="22" t="s">
        <v>92</v>
      </c>
      <c r="G216" s="22" t="s">
        <v>93</v>
      </c>
      <c r="H216" s="22" t="s">
        <v>30</v>
      </c>
      <c r="I216" s="22" t="s">
        <v>435</v>
      </c>
      <c r="J216" s="22" t="s">
        <v>92</v>
      </c>
      <c r="K216" s="519" t="s">
        <v>1191</v>
      </c>
      <c r="L216" s="521" t="s">
        <v>1242</v>
      </c>
      <c r="M216" s="521" t="s">
        <v>1243</v>
      </c>
      <c r="N216" s="521" t="s">
        <v>885</v>
      </c>
      <c r="O216" s="22" t="s">
        <v>394</v>
      </c>
      <c r="P216" s="426">
        <v>2019</v>
      </c>
      <c r="Q216" s="414">
        <f t="shared" ca="1" si="9"/>
        <v>259.84504371055107</v>
      </c>
      <c r="R216" s="335">
        <f t="shared" ca="1" si="10"/>
        <v>0</v>
      </c>
      <c r="S216" s="335">
        <f t="shared" ca="1" si="11"/>
        <v>0</v>
      </c>
      <c r="T216" s="429"/>
      <c r="U216" s="22"/>
      <c r="V216" s="24"/>
      <c r="W216" s="21"/>
      <c r="Y216" s="490"/>
    </row>
    <row r="217" spans="1:25" ht="30">
      <c r="A217" s="31">
        <v>214</v>
      </c>
      <c r="B217" s="22" t="s">
        <v>39</v>
      </c>
      <c r="C217" s="22" t="s">
        <v>422</v>
      </c>
      <c r="D217" s="22" t="s">
        <v>434</v>
      </c>
      <c r="E217" s="23" t="s">
        <v>91</v>
      </c>
      <c r="F217" s="22" t="s">
        <v>95</v>
      </c>
      <c r="G217" s="22" t="s">
        <v>93</v>
      </c>
      <c r="H217" s="22" t="s">
        <v>30</v>
      </c>
      <c r="I217" s="22" t="s">
        <v>435</v>
      </c>
      <c r="J217" s="22" t="s">
        <v>95</v>
      </c>
      <c r="K217" s="519" t="s">
        <v>1191</v>
      </c>
      <c r="L217" s="521" t="s">
        <v>1244</v>
      </c>
      <c r="M217" s="521" t="s">
        <v>1245</v>
      </c>
      <c r="N217" s="521" t="s">
        <v>885</v>
      </c>
      <c r="O217" s="22" t="s">
        <v>394</v>
      </c>
      <c r="P217" s="426">
        <v>2019</v>
      </c>
      <c r="Q217" s="414">
        <f t="shared" ca="1" si="9"/>
        <v>6.1047977558683082E-2</v>
      </c>
      <c r="R217" s="335">
        <f t="shared" ca="1" si="10"/>
        <v>0</v>
      </c>
      <c r="S217" s="335">
        <f t="shared" ca="1" si="11"/>
        <v>0</v>
      </c>
      <c r="T217" s="429"/>
      <c r="U217" s="22"/>
      <c r="V217" s="24"/>
      <c r="W217" s="21"/>
      <c r="Y217" s="490"/>
    </row>
    <row r="218" spans="1:25" ht="30">
      <c r="A218" s="31">
        <v>215</v>
      </c>
      <c r="B218" s="22" t="s">
        <v>39</v>
      </c>
      <c r="C218" s="22" t="s">
        <v>422</v>
      </c>
      <c r="D218" s="22" t="s">
        <v>434</v>
      </c>
      <c r="E218" s="23" t="s">
        <v>91</v>
      </c>
      <c r="F218" s="22" t="s">
        <v>96</v>
      </c>
      <c r="G218" s="22" t="s">
        <v>93</v>
      </c>
      <c r="H218" s="22" t="s">
        <v>30</v>
      </c>
      <c r="I218" s="22" t="s">
        <v>435</v>
      </c>
      <c r="J218" s="22" t="s">
        <v>96</v>
      </c>
      <c r="K218" s="519" t="s">
        <v>1191</v>
      </c>
      <c r="L218" s="521" t="s">
        <v>1246</v>
      </c>
      <c r="M218" s="521" t="s">
        <v>1247</v>
      </c>
      <c r="N218" s="521" t="s">
        <v>885</v>
      </c>
      <c r="O218" s="22" t="s">
        <v>394</v>
      </c>
      <c r="P218" s="426">
        <v>2019</v>
      </c>
      <c r="Q218" s="414">
        <f t="shared" ca="1" si="9"/>
        <v>0.78441307302490493</v>
      </c>
      <c r="R218" s="335">
        <f t="shared" ca="1" si="10"/>
        <v>0</v>
      </c>
      <c r="S218" s="335">
        <f t="shared" ca="1" si="11"/>
        <v>0</v>
      </c>
      <c r="T218" s="429" t="s">
        <v>48</v>
      </c>
      <c r="U218" s="22" t="s">
        <v>49</v>
      </c>
      <c r="V218" s="24"/>
      <c r="W218" s="21"/>
      <c r="Y218" s="490"/>
    </row>
    <row r="219" spans="1:25" ht="30">
      <c r="A219" s="31">
        <v>216</v>
      </c>
      <c r="B219" s="22" t="s">
        <v>39</v>
      </c>
      <c r="C219" s="22" t="s">
        <v>422</v>
      </c>
      <c r="D219" s="22" t="s">
        <v>434</v>
      </c>
      <c r="E219" s="23" t="s">
        <v>91</v>
      </c>
      <c r="F219" s="22" t="s">
        <v>97</v>
      </c>
      <c r="G219" s="22" t="s">
        <v>93</v>
      </c>
      <c r="H219" s="22" t="s">
        <v>30</v>
      </c>
      <c r="I219" s="22" t="s">
        <v>435</v>
      </c>
      <c r="J219" s="22" t="s">
        <v>97</v>
      </c>
      <c r="K219" s="519" t="s">
        <v>1191</v>
      </c>
      <c r="L219" s="521" t="s">
        <v>1248</v>
      </c>
      <c r="M219" s="521" t="s">
        <v>1249</v>
      </c>
      <c r="N219" s="521" t="s">
        <v>885</v>
      </c>
      <c r="O219" s="22" t="s">
        <v>394</v>
      </c>
      <c r="P219" s="426">
        <v>2019</v>
      </c>
      <c r="Q219" s="414">
        <f t="shared" ca="1" si="9"/>
        <v>393.1078073186211</v>
      </c>
      <c r="R219" s="335">
        <f t="shared" ca="1" si="10"/>
        <v>0</v>
      </c>
      <c r="S219" s="335">
        <f t="shared" ca="1" si="11"/>
        <v>0</v>
      </c>
      <c r="T219" s="429"/>
      <c r="U219" s="22"/>
      <c r="V219" s="24"/>
      <c r="W219" s="21"/>
      <c r="Y219" s="490"/>
    </row>
    <row r="220" spans="1:25" ht="30">
      <c r="A220" s="31">
        <v>217</v>
      </c>
      <c r="B220" s="22" t="s">
        <v>39</v>
      </c>
      <c r="C220" s="22" t="s">
        <v>422</v>
      </c>
      <c r="D220" s="22" t="s">
        <v>434</v>
      </c>
      <c r="E220" s="23" t="s">
        <v>91</v>
      </c>
      <c r="F220" s="22" t="s">
        <v>98</v>
      </c>
      <c r="G220" s="22" t="s">
        <v>93</v>
      </c>
      <c r="H220" s="22" t="s">
        <v>30</v>
      </c>
      <c r="I220" s="22" t="s">
        <v>435</v>
      </c>
      <c r="J220" s="22" t="s">
        <v>98</v>
      </c>
      <c r="K220" s="519" t="s">
        <v>1191</v>
      </c>
      <c r="L220" s="521" t="s">
        <v>1250</v>
      </c>
      <c r="M220" s="521" t="s">
        <v>1251</v>
      </c>
      <c r="N220" s="521" t="s">
        <v>885</v>
      </c>
      <c r="O220" s="22" t="s">
        <v>394</v>
      </c>
      <c r="P220" s="426">
        <v>2019</v>
      </c>
      <c r="Q220" s="414">
        <f t="shared" ca="1" si="9"/>
        <v>9.2356722516758291E-2</v>
      </c>
      <c r="R220" s="335">
        <f t="shared" ca="1" si="10"/>
        <v>0</v>
      </c>
      <c r="S220" s="335">
        <f t="shared" ca="1" si="11"/>
        <v>0</v>
      </c>
      <c r="T220" s="429"/>
      <c r="U220" s="22"/>
      <c r="V220" s="24"/>
      <c r="W220" s="21"/>
      <c r="Y220" s="490"/>
    </row>
    <row r="221" spans="1:25" ht="30">
      <c r="A221" s="31">
        <v>218</v>
      </c>
      <c r="B221" s="22" t="s">
        <v>39</v>
      </c>
      <c r="C221" s="22" t="s">
        <v>422</v>
      </c>
      <c r="D221" s="22" t="s">
        <v>434</v>
      </c>
      <c r="E221" s="23" t="s">
        <v>91</v>
      </c>
      <c r="F221" s="22" t="s">
        <v>99</v>
      </c>
      <c r="G221" s="22" t="s">
        <v>93</v>
      </c>
      <c r="H221" s="22" t="s">
        <v>30</v>
      </c>
      <c r="I221" s="22" t="s">
        <v>435</v>
      </c>
      <c r="J221" s="22" t="s">
        <v>99</v>
      </c>
      <c r="K221" s="519" t="s">
        <v>1191</v>
      </c>
      <c r="L221" s="521" t="s">
        <v>1252</v>
      </c>
      <c r="M221" s="521" t="s">
        <v>1253</v>
      </c>
      <c r="N221" s="521" t="s">
        <v>885</v>
      </c>
      <c r="O221" s="22" t="s">
        <v>394</v>
      </c>
      <c r="P221" s="426">
        <v>2019</v>
      </c>
      <c r="Q221" s="414">
        <f t="shared" ca="1" si="9"/>
        <v>1.18670303949446</v>
      </c>
      <c r="R221" s="335">
        <f t="shared" ca="1" si="10"/>
        <v>0</v>
      </c>
      <c r="S221" s="335">
        <f t="shared" ca="1" si="11"/>
        <v>0</v>
      </c>
      <c r="T221" s="429" t="s">
        <v>48</v>
      </c>
      <c r="U221" s="22" t="s">
        <v>49</v>
      </c>
      <c r="V221" s="24"/>
      <c r="W221" s="21"/>
      <c r="Y221" s="490"/>
    </row>
    <row r="222" spans="1:25" ht="45">
      <c r="A222" s="31">
        <v>219</v>
      </c>
      <c r="B222" s="22" t="s">
        <v>39</v>
      </c>
      <c r="C222" s="22" t="s">
        <v>422</v>
      </c>
      <c r="D222" s="22" t="s">
        <v>436</v>
      </c>
      <c r="E222" s="23" t="s">
        <v>437</v>
      </c>
      <c r="F222" s="22" t="s">
        <v>438</v>
      </c>
      <c r="G222" s="22" t="s">
        <v>439</v>
      </c>
      <c r="H222" s="22" t="s">
        <v>164</v>
      </c>
      <c r="I222" s="22" t="s">
        <v>440</v>
      </c>
      <c r="J222" s="22" t="s">
        <v>441</v>
      </c>
      <c r="K222" s="519" t="s">
        <v>1191</v>
      </c>
      <c r="L222" s="521" t="s">
        <v>1254</v>
      </c>
      <c r="M222" s="521" t="s">
        <v>1255</v>
      </c>
      <c r="N222" s="521" t="s">
        <v>885</v>
      </c>
      <c r="O222" s="22" t="s">
        <v>394</v>
      </c>
      <c r="P222" s="426">
        <v>2019</v>
      </c>
      <c r="Q222" s="414">
        <f t="shared" ca="1" si="9"/>
        <v>0</v>
      </c>
      <c r="R222" s="335">
        <f t="shared" ca="1" si="10"/>
        <v>0</v>
      </c>
      <c r="S222" s="335">
        <f t="shared" ca="1" si="11"/>
        <v>0</v>
      </c>
      <c r="T222" s="429" t="s">
        <v>442</v>
      </c>
      <c r="U222" s="22" t="s">
        <v>443</v>
      </c>
      <c r="V222" s="24"/>
      <c r="W222" s="21"/>
      <c r="Y222" s="490"/>
    </row>
    <row r="223" spans="1:25" ht="60">
      <c r="A223" s="31">
        <v>220</v>
      </c>
      <c r="B223" s="22" t="s">
        <v>39</v>
      </c>
      <c r="C223" s="22" t="s">
        <v>422</v>
      </c>
      <c r="D223" s="22" t="s">
        <v>444</v>
      </c>
      <c r="E223" s="23" t="s">
        <v>445</v>
      </c>
      <c r="F223" s="22" t="s">
        <v>142</v>
      </c>
      <c r="G223" s="22" t="s">
        <v>446</v>
      </c>
      <c r="H223" s="22" t="s">
        <v>30</v>
      </c>
      <c r="I223" s="22" t="s">
        <v>447</v>
      </c>
      <c r="J223" s="22" t="s">
        <v>448</v>
      </c>
      <c r="K223" s="519" t="s">
        <v>1191</v>
      </c>
      <c r="L223" s="521" t="s">
        <v>1256</v>
      </c>
      <c r="M223" s="521" t="s">
        <v>1257</v>
      </c>
      <c r="N223" s="521" t="s">
        <v>885</v>
      </c>
      <c r="O223" s="22" t="s">
        <v>394</v>
      </c>
      <c r="P223" s="426">
        <v>2019</v>
      </c>
      <c r="Q223" s="533">
        <f t="shared" ca="1" si="9"/>
        <v>0.21392946205913788</v>
      </c>
      <c r="R223" s="335">
        <f t="shared" ca="1" si="10"/>
        <v>0</v>
      </c>
      <c r="S223" s="335">
        <f t="shared" ca="1" si="11"/>
        <v>0</v>
      </c>
      <c r="U223" s="22" t="s">
        <v>449</v>
      </c>
      <c r="V223" s="24"/>
      <c r="W223" s="21"/>
      <c r="Y223" s="490"/>
    </row>
    <row r="224" spans="1:25" ht="45">
      <c r="A224" s="31">
        <v>221</v>
      </c>
      <c r="B224" s="22" t="s">
        <v>39</v>
      </c>
      <c r="C224" s="22" t="s">
        <v>422</v>
      </c>
      <c r="D224" s="22" t="s">
        <v>444</v>
      </c>
      <c r="E224" s="23" t="s">
        <v>450</v>
      </c>
      <c r="F224" s="22" t="s">
        <v>451</v>
      </c>
      <c r="G224" s="22" t="s">
        <v>452</v>
      </c>
      <c r="H224" s="22" t="s">
        <v>30</v>
      </c>
      <c r="I224" s="22" t="s">
        <v>453</v>
      </c>
      <c r="J224" s="22" t="s">
        <v>454</v>
      </c>
      <c r="K224" s="519" t="s">
        <v>1191</v>
      </c>
      <c r="L224" s="521" t="s">
        <v>1258</v>
      </c>
      <c r="M224" s="521" t="s">
        <v>1259</v>
      </c>
      <c r="N224" s="521" t="s">
        <v>885</v>
      </c>
      <c r="O224" s="22" t="s">
        <v>394</v>
      </c>
      <c r="P224" s="426">
        <v>2019</v>
      </c>
      <c r="Q224" s="414">
        <f t="shared" ca="1" si="9"/>
        <v>44.01682570672628</v>
      </c>
      <c r="R224" s="335">
        <f t="shared" ca="1" si="10"/>
        <v>0</v>
      </c>
      <c r="S224" s="335">
        <f t="shared" ca="1" si="11"/>
        <v>0</v>
      </c>
      <c r="T224" s="429" t="s">
        <v>455</v>
      </c>
      <c r="U224" s="22"/>
      <c r="V224" s="24"/>
      <c r="W224" s="21"/>
      <c r="Y224" s="490"/>
    </row>
    <row r="225" spans="1:25" ht="75">
      <c r="A225" s="31">
        <v>222</v>
      </c>
      <c r="B225" s="22" t="s">
        <v>39</v>
      </c>
      <c r="C225" s="22" t="s">
        <v>422</v>
      </c>
      <c r="D225" s="22" t="s">
        <v>456</v>
      </c>
      <c r="E225" s="23" t="s">
        <v>457</v>
      </c>
      <c r="F225" s="22" t="s">
        <v>142</v>
      </c>
      <c r="G225" s="22" t="s">
        <v>458</v>
      </c>
      <c r="H225" s="22" t="s">
        <v>164</v>
      </c>
      <c r="I225" s="22" t="s">
        <v>459</v>
      </c>
      <c r="J225" s="22" t="s">
        <v>460</v>
      </c>
      <c r="K225" s="519" t="s">
        <v>1191</v>
      </c>
      <c r="L225" s="521" t="s">
        <v>1260</v>
      </c>
      <c r="M225" s="521" t="s">
        <v>1261</v>
      </c>
      <c r="N225" s="521" t="s">
        <v>885</v>
      </c>
      <c r="O225" s="22" t="s">
        <v>394</v>
      </c>
      <c r="P225" s="426">
        <v>2019</v>
      </c>
      <c r="Q225" s="533">
        <f t="shared" ca="1" si="9"/>
        <v>0.21392946205913788</v>
      </c>
      <c r="R225" s="335">
        <f t="shared" ca="1" si="10"/>
        <v>0</v>
      </c>
      <c r="S225" s="335">
        <f t="shared" ca="1" si="11"/>
        <v>0</v>
      </c>
      <c r="T225" s="429" t="s">
        <v>461</v>
      </c>
      <c r="U225" s="22"/>
      <c r="V225" s="24"/>
      <c r="W225" s="21"/>
      <c r="Y225" s="490"/>
    </row>
    <row r="226" spans="1:25" ht="45">
      <c r="A226" s="31">
        <v>223</v>
      </c>
      <c r="B226" s="22" t="s">
        <v>39</v>
      </c>
      <c r="C226" s="22" t="s">
        <v>462</v>
      </c>
      <c r="D226" s="22" t="s">
        <v>463</v>
      </c>
      <c r="E226" s="23" t="s">
        <v>51</v>
      </c>
      <c r="F226" s="22" t="s">
        <v>52</v>
      </c>
      <c r="G226" s="22" t="s">
        <v>53</v>
      </c>
      <c r="H226" s="22" t="s">
        <v>30</v>
      </c>
      <c r="I226" s="22" t="s">
        <v>464</v>
      </c>
      <c r="J226" s="22" t="s">
        <v>52</v>
      </c>
      <c r="K226" s="519" t="s">
        <v>1262</v>
      </c>
      <c r="L226" s="521" t="s">
        <v>1263</v>
      </c>
      <c r="M226" s="521" t="s">
        <v>1264</v>
      </c>
      <c r="N226" s="521" t="s">
        <v>815</v>
      </c>
      <c r="O226" s="22" t="s">
        <v>465</v>
      </c>
      <c r="P226" s="426">
        <v>2019</v>
      </c>
      <c r="Q226" s="414">
        <f t="shared" ca="1" si="9"/>
        <v>248.094280785423</v>
      </c>
      <c r="R226" s="335" t="str">
        <f t="shared" ca="1" si="10"/>
        <v>N/A</v>
      </c>
      <c r="S226" s="335" t="str">
        <f t="shared" ca="1" si="11"/>
        <v>N/A</v>
      </c>
      <c r="T226" s="429" t="s">
        <v>48</v>
      </c>
      <c r="U226" s="22"/>
      <c r="V226" s="24"/>
      <c r="W226" s="21"/>
      <c r="Y226" s="490"/>
    </row>
    <row r="227" spans="1:25" ht="45">
      <c r="A227" s="31">
        <v>224</v>
      </c>
      <c r="B227" s="22" t="s">
        <v>39</v>
      </c>
      <c r="C227" s="22" t="s">
        <v>462</v>
      </c>
      <c r="D227" s="22" t="s">
        <v>463</v>
      </c>
      <c r="E227" s="23" t="s">
        <v>51</v>
      </c>
      <c r="F227" s="22" t="s">
        <v>55</v>
      </c>
      <c r="G227" s="22" t="s">
        <v>53</v>
      </c>
      <c r="H227" s="22" t="s">
        <v>30</v>
      </c>
      <c r="I227" s="22" t="s">
        <v>464</v>
      </c>
      <c r="J227" s="22" t="s">
        <v>55</v>
      </c>
      <c r="K227" s="519" t="s">
        <v>1262</v>
      </c>
      <c r="L227" s="521" t="s">
        <v>1265</v>
      </c>
      <c r="M227" s="521" t="s">
        <v>1266</v>
      </c>
      <c r="N227" s="521" t="s">
        <v>815</v>
      </c>
      <c r="O227" s="22" t="s">
        <v>465</v>
      </c>
      <c r="P227" s="426">
        <v>2019</v>
      </c>
      <c r="Q227" s="414">
        <f t="shared" ca="1" si="9"/>
        <v>175.97140330581982</v>
      </c>
      <c r="R227" s="335" t="str">
        <f t="shared" ca="1" si="10"/>
        <v>N/A</v>
      </c>
      <c r="S227" s="335" t="str">
        <f t="shared" ca="1" si="11"/>
        <v>N/A</v>
      </c>
      <c r="T227" s="429" t="s">
        <v>48</v>
      </c>
      <c r="U227" s="22"/>
      <c r="V227" s="24"/>
      <c r="W227" s="21"/>
      <c r="Y227" s="490"/>
    </row>
    <row r="228" spans="1:25" ht="45">
      <c r="A228" s="31">
        <v>225</v>
      </c>
      <c r="B228" s="22" t="s">
        <v>39</v>
      </c>
      <c r="C228" s="22" t="s">
        <v>462</v>
      </c>
      <c r="D228" s="22" t="s">
        <v>463</v>
      </c>
      <c r="E228" s="23" t="s">
        <v>51</v>
      </c>
      <c r="F228" s="22" t="s">
        <v>56</v>
      </c>
      <c r="G228" s="22" t="s">
        <v>53</v>
      </c>
      <c r="H228" s="22" t="s">
        <v>30</v>
      </c>
      <c r="I228" s="22" t="s">
        <v>464</v>
      </c>
      <c r="J228" s="22" t="s">
        <v>56</v>
      </c>
      <c r="K228" s="519" t="s">
        <v>1262</v>
      </c>
      <c r="L228" s="521" t="s">
        <v>1267</v>
      </c>
      <c r="M228" s="521" t="s">
        <v>1268</v>
      </c>
      <c r="N228" s="521" t="s">
        <v>815</v>
      </c>
      <c r="O228" s="22" t="s">
        <v>465</v>
      </c>
      <c r="P228" s="426">
        <v>2019</v>
      </c>
      <c r="Q228" s="414">
        <f t="shared" ca="1" si="9"/>
        <v>3813183.5491236742</v>
      </c>
      <c r="R228" s="335" t="str">
        <f t="shared" ca="1" si="10"/>
        <v>N/A</v>
      </c>
      <c r="S228" s="335" t="str">
        <f t="shared" ca="1" si="11"/>
        <v>N/A</v>
      </c>
      <c r="T228" s="429" t="s">
        <v>48</v>
      </c>
      <c r="U228" s="22"/>
      <c r="V228" s="24"/>
      <c r="W228" s="21"/>
      <c r="Y228" s="490"/>
    </row>
    <row r="229" spans="1:25" ht="45">
      <c r="A229" s="31">
        <v>226</v>
      </c>
      <c r="B229" s="22" t="s">
        <v>39</v>
      </c>
      <c r="C229" s="22" t="s">
        <v>462</v>
      </c>
      <c r="D229" s="22" t="s">
        <v>463</v>
      </c>
      <c r="E229" s="23" t="s">
        <v>51</v>
      </c>
      <c r="F229" s="22" t="s">
        <v>57</v>
      </c>
      <c r="G229" s="22" t="s">
        <v>53</v>
      </c>
      <c r="H229" s="22" t="s">
        <v>30</v>
      </c>
      <c r="I229" s="22" t="s">
        <v>464</v>
      </c>
      <c r="J229" s="22" t="s">
        <v>57</v>
      </c>
      <c r="K229" s="519" t="s">
        <v>1262</v>
      </c>
      <c r="L229" s="521" t="s">
        <v>1269</v>
      </c>
      <c r="M229" s="521" t="s">
        <v>1270</v>
      </c>
      <c r="N229" s="521" t="s">
        <v>815</v>
      </c>
      <c r="O229" s="22" t="s">
        <v>465</v>
      </c>
      <c r="P229" s="426">
        <v>2019</v>
      </c>
      <c r="Q229" s="414">
        <f t="shared" ca="1" si="9"/>
        <v>3619901.8057929631</v>
      </c>
      <c r="R229" s="335" t="str">
        <f t="shared" ca="1" si="10"/>
        <v>N/A</v>
      </c>
      <c r="S229" s="335" t="str">
        <f t="shared" ca="1" si="11"/>
        <v>N/A</v>
      </c>
      <c r="T229" s="429" t="s">
        <v>48</v>
      </c>
      <c r="U229" s="22"/>
      <c r="V229" s="24"/>
      <c r="W229" s="21"/>
      <c r="Y229" s="490"/>
    </row>
    <row r="230" spans="1:25" ht="45">
      <c r="A230" s="31">
        <v>227</v>
      </c>
      <c r="B230" s="22" t="s">
        <v>39</v>
      </c>
      <c r="C230" s="22" t="s">
        <v>462</v>
      </c>
      <c r="D230" s="22" t="s">
        <v>463</v>
      </c>
      <c r="E230" s="23" t="s">
        <v>51</v>
      </c>
      <c r="F230" s="22" t="s">
        <v>58</v>
      </c>
      <c r="G230" s="22" t="s">
        <v>53</v>
      </c>
      <c r="H230" s="22" t="s">
        <v>30</v>
      </c>
      <c r="I230" s="22" t="s">
        <v>464</v>
      </c>
      <c r="J230" s="22" t="s">
        <v>58</v>
      </c>
      <c r="K230" s="519" t="s">
        <v>1262</v>
      </c>
      <c r="L230" s="521" t="s">
        <v>1271</v>
      </c>
      <c r="M230" s="521" t="s">
        <v>1272</v>
      </c>
      <c r="N230" s="521" t="s">
        <v>815</v>
      </c>
      <c r="O230" s="22" t="s">
        <v>465</v>
      </c>
      <c r="P230" s="426">
        <v>2019</v>
      </c>
      <c r="Q230" s="414">
        <f t="shared" ca="1" si="9"/>
        <v>20164.972400358296</v>
      </c>
      <c r="R230" s="335" t="str">
        <f t="shared" ca="1" si="10"/>
        <v>N/A</v>
      </c>
      <c r="S230" s="335" t="str">
        <f t="shared" ca="1" si="11"/>
        <v>N/A</v>
      </c>
      <c r="T230" s="429" t="s">
        <v>48</v>
      </c>
      <c r="U230" s="22" t="s">
        <v>49</v>
      </c>
      <c r="V230" s="24"/>
      <c r="W230" s="21"/>
      <c r="Y230" s="490"/>
    </row>
    <row r="231" spans="1:25" ht="45">
      <c r="A231" s="31">
        <v>228</v>
      </c>
      <c r="B231" s="22" t="s">
        <v>39</v>
      </c>
      <c r="C231" s="22" t="s">
        <v>462</v>
      </c>
      <c r="D231" s="22" t="s">
        <v>463</v>
      </c>
      <c r="E231" s="23" t="s">
        <v>51</v>
      </c>
      <c r="F231" s="22" t="s">
        <v>60</v>
      </c>
      <c r="G231" s="22" t="s">
        <v>53</v>
      </c>
      <c r="H231" s="22" t="s">
        <v>30</v>
      </c>
      <c r="I231" s="22" t="s">
        <v>464</v>
      </c>
      <c r="J231" s="22" t="s">
        <v>60</v>
      </c>
      <c r="K231" s="519" t="s">
        <v>1262</v>
      </c>
      <c r="L231" s="521" t="s">
        <v>1273</v>
      </c>
      <c r="M231" s="521" t="s">
        <v>1274</v>
      </c>
      <c r="N231" s="521" t="s">
        <v>815</v>
      </c>
      <c r="O231" s="22" t="s">
        <v>465</v>
      </c>
      <c r="P231" s="426">
        <v>2019</v>
      </c>
      <c r="Q231" s="414">
        <f t="shared" ca="1" si="9"/>
        <v>24234.285731187785</v>
      </c>
      <c r="R231" s="335" t="str">
        <f t="shared" ca="1" si="10"/>
        <v>N/A</v>
      </c>
      <c r="S231" s="335" t="str">
        <f t="shared" ca="1" si="11"/>
        <v>N/A</v>
      </c>
      <c r="T231" s="429" t="s">
        <v>48</v>
      </c>
      <c r="U231" s="22" t="s">
        <v>49</v>
      </c>
      <c r="V231" s="24"/>
      <c r="W231" s="21"/>
      <c r="Y231" s="490"/>
    </row>
    <row r="232" spans="1:25" ht="45">
      <c r="A232" s="31">
        <v>229</v>
      </c>
      <c r="B232" s="22" t="s">
        <v>39</v>
      </c>
      <c r="C232" s="22" t="s">
        <v>462</v>
      </c>
      <c r="D232" s="22" t="s">
        <v>463</v>
      </c>
      <c r="E232" s="23" t="s">
        <v>51</v>
      </c>
      <c r="F232" s="22" t="s">
        <v>61</v>
      </c>
      <c r="G232" s="22" t="s">
        <v>53</v>
      </c>
      <c r="H232" s="22" t="s">
        <v>30</v>
      </c>
      <c r="I232" s="22" t="s">
        <v>464</v>
      </c>
      <c r="J232" s="22" t="s">
        <v>61</v>
      </c>
      <c r="K232" s="519" t="s">
        <v>1262</v>
      </c>
      <c r="L232" s="521" t="s">
        <v>1275</v>
      </c>
      <c r="M232" s="521" t="s">
        <v>1276</v>
      </c>
      <c r="N232" s="521" t="s">
        <v>815</v>
      </c>
      <c r="O232" s="22" t="s">
        <v>465</v>
      </c>
      <c r="P232" s="426">
        <v>2019</v>
      </c>
      <c r="Q232" s="414">
        <f t="shared" ca="1" si="9"/>
        <v>1677.5531917804171</v>
      </c>
      <c r="R232" s="335" t="str">
        <f t="shared" ca="1" si="10"/>
        <v>N/A</v>
      </c>
      <c r="S232" s="335" t="str">
        <f t="shared" ca="1" si="11"/>
        <v>N/A</v>
      </c>
      <c r="T232" s="429" t="s">
        <v>48</v>
      </c>
      <c r="U232" s="22"/>
      <c r="V232" s="24"/>
      <c r="W232" s="21"/>
      <c r="Y232" s="490"/>
    </row>
    <row r="233" spans="1:25" ht="45">
      <c r="A233" s="31">
        <v>230</v>
      </c>
      <c r="B233" s="22" t="s">
        <v>39</v>
      </c>
      <c r="C233" s="22" t="s">
        <v>462</v>
      </c>
      <c r="D233" s="22" t="s">
        <v>463</v>
      </c>
      <c r="E233" s="23" t="s">
        <v>51</v>
      </c>
      <c r="F233" s="22" t="s">
        <v>62</v>
      </c>
      <c r="G233" s="22" t="s">
        <v>53</v>
      </c>
      <c r="H233" s="22" t="s">
        <v>30</v>
      </c>
      <c r="I233" s="22" t="s">
        <v>464</v>
      </c>
      <c r="J233" s="22" t="s">
        <v>62</v>
      </c>
      <c r="K233" s="519" t="s">
        <v>1262</v>
      </c>
      <c r="L233" s="521" t="s">
        <v>1277</v>
      </c>
      <c r="M233" s="521" t="s">
        <v>1278</v>
      </c>
      <c r="N233" s="521" t="s">
        <v>815</v>
      </c>
      <c r="O233" s="22" t="s">
        <v>465</v>
      </c>
      <c r="P233" s="426">
        <v>2019</v>
      </c>
      <c r="Q233" s="414">
        <f t="shared" ca="1" si="9"/>
        <v>1216.4466901061928</v>
      </c>
      <c r="R233" s="335" t="str">
        <f t="shared" ca="1" si="10"/>
        <v>N/A</v>
      </c>
      <c r="S233" s="335" t="str">
        <f t="shared" ca="1" si="11"/>
        <v>N/A</v>
      </c>
      <c r="T233" s="429" t="s">
        <v>48</v>
      </c>
      <c r="U233" s="22"/>
      <c r="V233" s="24"/>
      <c r="W233" s="21"/>
      <c r="Y233" s="490"/>
    </row>
    <row r="234" spans="1:25" ht="45">
      <c r="A234" s="31">
        <v>231</v>
      </c>
      <c r="B234" s="22" t="s">
        <v>39</v>
      </c>
      <c r="C234" s="22" t="s">
        <v>462</v>
      </c>
      <c r="D234" s="22" t="s">
        <v>463</v>
      </c>
      <c r="E234" s="23" t="s">
        <v>51</v>
      </c>
      <c r="F234" s="22" t="s">
        <v>63</v>
      </c>
      <c r="G234" s="22" t="s">
        <v>53</v>
      </c>
      <c r="H234" s="22" t="s">
        <v>30</v>
      </c>
      <c r="I234" s="22" t="s">
        <v>464</v>
      </c>
      <c r="J234" s="22" t="s">
        <v>63</v>
      </c>
      <c r="K234" s="519" t="s">
        <v>1262</v>
      </c>
      <c r="L234" s="521" t="s">
        <v>1279</v>
      </c>
      <c r="M234" s="521" t="s">
        <v>1280</v>
      </c>
      <c r="N234" s="521" t="s">
        <v>815</v>
      </c>
      <c r="O234" s="22" t="s">
        <v>465</v>
      </c>
      <c r="P234" s="426">
        <v>2019</v>
      </c>
      <c r="Q234" s="414">
        <f t="shared" ca="1" si="9"/>
        <v>10966376.625013541</v>
      </c>
      <c r="R234" s="335" t="str">
        <f t="shared" ca="1" si="10"/>
        <v>N/A</v>
      </c>
      <c r="S234" s="335" t="str">
        <f t="shared" ca="1" si="11"/>
        <v>N/A</v>
      </c>
      <c r="T234" s="429" t="s">
        <v>48</v>
      </c>
      <c r="U234" s="22"/>
      <c r="V234" s="24"/>
      <c r="W234" s="21"/>
      <c r="Y234" s="490"/>
    </row>
    <row r="235" spans="1:25" ht="45">
      <c r="A235" s="31">
        <v>232</v>
      </c>
      <c r="B235" s="22" t="s">
        <v>39</v>
      </c>
      <c r="C235" s="22" t="s">
        <v>462</v>
      </c>
      <c r="D235" s="22" t="s">
        <v>463</v>
      </c>
      <c r="E235" s="23" t="s">
        <v>51</v>
      </c>
      <c r="F235" s="22" t="s">
        <v>64</v>
      </c>
      <c r="G235" s="22" t="s">
        <v>53</v>
      </c>
      <c r="H235" s="22" t="s">
        <v>30</v>
      </c>
      <c r="I235" s="22" t="s">
        <v>464</v>
      </c>
      <c r="J235" s="22" t="s">
        <v>64</v>
      </c>
      <c r="K235" s="519" t="s">
        <v>1262</v>
      </c>
      <c r="L235" s="521" t="s">
        <v>1281</v>
      </c>
      <c r="M235" s="521" t="s">
        <v>1282</v>
      </c>
      <c r="N235" s="521" t="s">
        <v>815</v>
      </c>
      <c r="O235" s="22" t="s">
        <v>465</v>
      </c>
      <c r="P235" s="426">
        <v>2019</v>
      </c>
      <c r="Q235" s="414">
        <f t="shared" ca="1" si="9"/>
        <v>8743089.0239656307</v>
      </c>
      <c r="R235" s="335" t="str">
        <f t="shared" ca="1" si="10"/>
        <v>N/A</v>
      </c>
      <c r="S235" s="335" t="str">
        <f t="shared" ca="1" si="11"/>
        <v>N/A</v>
      </c>
      <c r="T235" s="429" t="s">
        <v>48</v>
      </c>
      <c r="U235" s="22"/>
      <c r="V235" s="24"/>
      <c r="W235" s="21"/>
      <c r="Y235" s="490"/>
    </row>
    <row r="236" spans="1:25" ht="45">
      <c r="A236" s="31">
        <v>233</v>
      </c>
      <c r="B236" s="22" t="s">
        <v>39</v>
      </c>
      <c r="C236" s="22" t="s">
        <v>462</v>
      </c>
      <c r="D236" s="22" t="s">
        <v>463</v>
      </c>
      <c r="E236" s="23" t="s">
        <v>51</v>
      </c>
      <c r="F236" s="22" t="s">
        <v>65</v>
      </c>
      <c r="G236" s="22" t="s">
        <v>53</v>
      </c>
      <c r="H236" s="22" t="s">
        <v>30</v>
      </c>
      <c r="I236" s="22" t="s">
        <v>464</v>
      </c>
      <c r="J236" s="22" t="s">
        <v>65</v>
      </c>
      <c r="K236" s="519" t="s">
        <v>1262</v>
      </c>
      <c r="L236" s="521" t="s">
        <v>1283</v>
      </c>
      <c r="M236" s="521" t="s">
        <v>1284</v>
      </c>
      <c r="N236" s="521" t="s">
        <v>815</v>
      </c>
      <c r="O236" s="22" t="s">
        <v>465</v>
      </c>
      <c r="P236" s="426">
        <v>2019</v>
      </c>
      <c r="Q236" s="414">
        <f t="shared" ca="1" si="9"/>
        <v>-24820.18808390445</v>
      </c>
      <c r="R236" s="335" t="str">
        <f t="shared" ca="1" si="10"/>
        <v>N/A</v>
      </c>
      <c r="S236" s="335" t="str">
        <f t="shared" ca="1" si="11"/>
        <v>N/A</v>
      </c>
      <c r="T236" s="429" t="s">
        <v>48</v>
      </c>
      <c r="U236" s="22" t="s">
        <v>49</v>
      </c>
      <c r="V236" s="24"/>
      <c r="W236" s="21"/>
      <c r="Y236" s="490"/>
    </row>
    <row r="237" spans="1:25" ht="45">
      <c r="A237" s="31">
        <v>234</v>
      </c>
      <c r="B237" s="22" t="s">
        <v>39</v>
      </c>
      <c r="C237" s="22" t="s">
        <v>462</v>
      </c>
      <c r="D237" s="22" t="s">
        <v>463</v>
      </c>
      <c r="E237" s="23" t="s">
        <v>51</v>
      </c>
      <c r="F237" s="22" t="s">
        <v>66</v>
      </c>
      <c r="G237" s="22" t="s">
        <v>53</v>
      </c>
      <c r="H237" s="22" t="s">
        <v>30</v>
      </c>
      <c r="I237" s="22" t="s">
        <v>464</v>
      </c>
      <c r="J237" s="22" t="s">
        <v>66</v>
      </c>
      <c r="K237" s="519" t="s">
        <v>1262</v>
      </c>
      <c r="L237" s="521" t="s">
        <v>1285</v>
      </c>
      <c r="M237" s="521" t="s">
        <v>1286</v>
      </c>
      <c r="N237" s="521" t="s">
        <v>815</v>
      </c>
      <c r="O237" s="22" t="s">
        <v>465</v>
      </c>
      <c r="P237" s="426">
        <v>2019</v>
      </c>
      <c r="Q237" s="414">
        <f t="shared" ca="1" si="9"/>
        <v>-8735.7087914481344</v>
      </c>
      <c r="R237" s="335" t="str">
        <f t="shared" ca="1" si="10"/>
        <v>N/A</v>
      </c>
      <c r="S237" s="335" t="str">
        <f t="shared" ca="1" si="11"/>
        <v>N/A</v>
      </c>
      <c r="T237" s="429" t="s">
        <v>48</v>
      </c>
      <c r="U237" s="22" t="s">
        <v>49</v>
      </c>
      <c r="V237" s="24"/>
      <c r="W237" s="21"/>
      <c r="Y237" s="490"/>
    </row>
    <row r="238" spans="1:25" ht="30">
      <c r="A238" s="31">
        <v>235</v>
      </c>
      <c r="B238" s="22" t="s">
        <v>39</v>
      </c>
      <c r="C238" s="22" t="s">
        <v>462</v>
      </c>
      <c r="D238" s="22" t="s">
        <v>466</v>
      </c>
      <c r="E238" s="23" t="s">
        <v>42</v>
      </c>
      <c r="F238" s="22" t="s">
        <v>43</v>
      </c>
      <c r="G238" s="22" t="s">
        <v>44</v>
      </c>
      <c r="H238" s="22" t="s">
        <v>30</v>
      </c>
      <c r="I238" s="22" t="s">
        <v>467</v>
      </c>
      <c r="J238" s="22" t="s">
        <v>46</v>
      </c>
      <c r="K238" s="519" t="s">
        <v>1262</v>
      </c>
      <c r="L238" s="521" t="s">
        <v>1287</v>
      </c>
      <c r="M238" s="521" t="s">
        <v>1288</v>
      </c>
      <c r="N238" s="521" t="s">
        <v>815</v>
      </c>
      <c r="O238" s="22" t="s">
        <v>465</v>
      </c>
      <c r="P238" s="426">
        <v>2019</v>
      </c>
      <c r="Q238" s="414">
        <f t="shared" ca="1" si="9"/>
        <v>2687.7122910709199</v>
      </c>
      <c r="R238" s="335" t="str">
        <f t="shared" ca="1" si="10"/>
        <v>N/A</v>
      </c>
      <c r="S238" s="335" t="str">
        <f t="shared" ca="1" si="11"/>
        <v>N/A</v>
      </c>
      <c r="T238" s="429" t="s">
        <v>48</v>
      </c>
      <c r="U238" s="22"/>
      <c r="V238" s="24"/>
      <c r="W238" s="21"/>
      <c r="Y238" s="490"/>
    </row>
    <row r="239" spans="1:25" ht="75">
      <c r="A239" s="31">
        <v>236</v>
      </c>
      <c r="B239" s="22" t="s">
        <v>39</v>
      </c>
      <c r="C239" s="22" t="s">
        <v>462</v>
      </c>
      <c r="D239" s="22" t="s">
        <v>468</v>
      </c>
      <c r="E239" s="23" t="s">
        <v>325</v>
      </c>
      <c r="F239" s="22" t="s">
        <v>142</v>
      </c>
      <c r="G239" s="22" t="s">
        <v>143</v>
      </c>
      <c r="H239" s="22" t="s">
        <v>30</v>
      </c>
      <c r="I239" s="22" t="s">
        <v>469</v>
      </c>
      <c r="J239" s="22" t="s">
        <v>333</v>
      </c>
      <c r="K239" s="519" t="s">
        <v>1262</v>
      </c>
      <c r="L239" s="521" t="s">
        <v>1289</v>
      </c>
      <c r="M239" s="521" t="s">
        <v>1290</v>
      </c>
      <c r="N239" s="521" t="s">
        <v>885</v>
      </c>
      <c r="O239" s="22" t="s">
        <v>465</v>
      </c>
      <c r="P239" s="426">
        <v>2019</v>
      </c>
      <c r="Q239" s="533">
        <f t="shared" ca="1" si="9"/>
        <v>0.06</v>
      </c>
      <c r="R239" s="335">
        <f t="shared" ca="1" si="10"/>
        <v>0</v>
      </c>
      <c r="S239" s="335">
        <f t="shared" ca="1" si="11"/>
        <v>0</v>
      </c>
      <c r="T239" s="429" t="s">
        <v>425</v>
      </c>
      <c r="U239" s="22" t="s">
        <v>246</v>
      </c>
      <c r="V239" s="24"/>
      <c r="W239" s="21"/>
      <c r="Y239" s="490"/>
    </row>
    <row r="240" spans="1:25" ht="75">
      <c r="A240" s="31">
        <v>237</v>
      </c>
      <c r="B240" s="22" t="s">
        <v>39</v>
      </c>
      <c r="C240" s="22" t="s">
        <v>462</v>
      </c>
      <c r="D240" s="22" t="s">
        <v>468</v>
      </c>
      <c r="E240" s="23" t="s">
        <v>329</v>
      </c>
      <c r="F240" s="22" t="s">
        <v>142</v>
      </c>
      <c r="G240" s="22" t="s">
        <v>143</v>
      </c>
      <c r="H240" s="22" t="s">
        <v>30</v>
      </c>
      <c r="I240" s="22" t="s">
        <v>470</v>
      </c>
      <c r="J240" s="22" t="s">
        <v>330</v>
      </c>
      <c r="K240" s="519" t="s">
        <v>1262</v>
      </c>
      <c r="L240" s="521" t="s">
        <v>1291</v>
      </c>
      <c r="M240" s="521" t="s">
        <v>1292</v>
      </c>
      <c r="N240" s="521" t="s">
        <v>885</v>
      </c>
      <c r="O240" s="22" t="s">
        <v>465</v>
      </c>
      <c r="P240" s="426">
        <v>2019</v>
      </c>
      <c r="Q240" s="533">
        <f t="shared" ca="1" si="9"/>
        <v>0</v>
      </c>
      <c r="R240" s="335">
        <f t="shared" ca="1" si="10"/>
        <v>0</v>
      </c>
      <c r="S240" s="335">
        <f t="shared" ca="1" si="11"/>
        <v>0</v>
      </c>
      <c r="T240" s="429" t="s">
        <v>425</v>
      </c>
      <c r="U240" s="22" t="s">
        <v>246</v>
      </c>
      <c r="V240" s="24"/>
      <c r="W240" s="21"/>
      <c r="Y240" s="490"/>
    </row>
    <row r="241" spans="1:25" ht="75">
      <c r="A241" s="31">
        <v>238</v>
      </c>
      <c r="B241" s="22" t="s">
        <v>39</v>
      </c>
      <c r="C241" s="22" t="s">
        <v>462</v>
      </c>
      <c r="D241" s="22" t="s">
        <v>468</v>
      </c>
      <c r="E241" s="23" t="s">
        <v>331</v>
      </c>
      <c r="F241" s="22" t="s">
        <v>142</v>
      </c>
      <c r="G241" s="22" t="s">
        <v>143</v>
      </c>
      <c r="H241" s="22" t="s">
        <v>30</v>
      </c>
      <c r="I241" s="22" t="s">
        <v>471</v>
      </c>
      <c r="J241" s="22" t="s">
        <v>327</v>
      </c>
      <c r="K241" s="519" t="s">
        <v>1262</v>
      </c>
      <c r="L241" s="521" t="s">
        <v>1293</v>
      </c>
      <c r="M241" s="521" t="s">
        <v>1294</v>
      </c>
      <c r="N241" s="521" t="s">
        <v>885</v>
      </c>
      <c r="O241" s="22" t="s">
        <v>465</v>
      </c>
      <c r="P241" s="426">
        <v>2019</v>
      </c>
      <c r="Q241" s="533">
        <f t="shared" ca="1" si="9"/>
        <v>0</v>
      </c>
      <c r="R241" s="335">
        <f t="shared" ca="1" si="10"/>
        <v>0</v>
      </c>
      <c r="S241" s="335">
        <f t="shared" ca="1" si="11"/>
        <v>0</v>
      </c>
      <c r="T241" s="429" t="s">
        <v>425</v>
      </c>
      <c r="U241" s="22" t="s">
        <v>246</v>
      </c>
      <c r="V241" s="24"/>
      <c r="W241" s="21"/>
      <c r="Y241" s="490"/>
    </row>
    <row r="242" spans="1:25" ht="90">
      <c r="A242" s="31">
        <v>239</v>
      </c>
      <c r="B242" s="22" t="s">
        <v>39</v>
      </c>
      <c r="C242" s="22" t="s">
        <v>462</v>
      </c>
      <c r="D242" s="22" t="s">
        <v>472</v>
      </c>
      <c r="E242" s="23" t="s">
        <v>473</v>
      </c>
      <c r="F242" s="22" t="s">
        <v>142</v>
      </c>
      <c r="G242" s="22" t="s">
        <v>474</v>
      </c>
      <c r="H242" s="22" t="s">
        <v>164</v>
      </c>
      <c r="I242" s="22" t="s">
        <v>1295</v>
      </c>
      <c r="J242" s="22" t="s">
        <v>476</v>
      </c>
      <c r="K242" s="519" t="s">
        <v>1262</v>
      </c>
      <c r="L242" s="521" t="s">
        <v>1296</v>
      </c>
      <c r="M242" s="521" t="s">
        <v>1297</v>
      </c>
      <c r="N242" s="521" t="s">
        <v>885</v>
      </c>
      <c r="O242" s="22" t="s">
        <v>465</v>
      </c>
      <c r="P242" s="426">
        <v>2019</v>
      </c>
      <c r="Q242" s="533">
        <f t="shared" ca="1" si="9"/>
        <v>0</v>
      </c>
      <c r="R242" s="335">
        <f t="shared" ca="1" si="10"/>
        <v>0</v>
      </c>
      <c r="S242" s="335">
        <f t="shared" ca="1" si="11"/>
        <v>0</v>
      </c>
      <c r="T242" s="429" t="s">
        <v>477</v>
      </c>
      <c r="U242" s="22" t="s">
        <v>478</v>
      </c>
      <c r="V242" s="24"/>
      <c r="W242" s="21"/>
      <c r="Y242" s="490"/>
    </row>
    <row r="243" spans="1:25" ht="90">
      <c r="A243" s="31">
        <v>240</v>
      </c>
      <c r="B243" s="22" t="s">
        <v>39</v>
      </c>
      <c r="C243" s="22" t="s">
        <v>462</v>
      </c>
      <c r="D243" s="22" t="s">
        <v>472</v>
      </c>
      <c r="E243" s="23" t="s">
        <v>479</v>
      </c>
      <c r="F243" s="22" t="s">
        <v>142</v>
      </c>
      <c r="G243" s="22" t="s">
        <v>474</v>
      </c>
      <c r="H243" s="22" t="s">
        <v>164</v>
      </c>
      <c r="I243" s="22" t="s">
        <v>1298</v>
      </c>
      <c r="J243" s="22" t="s">
        <v>481</v>
      </c>
      <c r="K243" s="519" t="s">
        <v>1262</v>
      </c>
      <c r="L243" s="521" t="s">
        <v>1299</v>
      </c>
      <c r="M243" s="521" t="s">
        <v>1300</v>
      </c>
      <c r="N243" s="521" t="s">
        <v>885</v>
      </c>
      <c r="O243" s="22" t="s">
        <v>465</v>
      </c>
      <c r="P243" s="426">
        <v>2019</v>
      </c>
      <c r="Q243" s="533">
        <f t="shared" ca="1" si="9"/>
        <v>0</v>
      </c>
      <c r="R243" s="335">
        <f t="shared" ca="1" si="10"/>
        <v>0</v>
      </c>
      <c r="S243" s="335">
        <f t="shared" ca="1" si="11"/>
        <v>0</v>
      </c>
      <c r="T243" s="429" t="s">
        <v>482</v>
      </c>
      <c r="U243" s="22" t="s">
        <v>478</v>
      </c>
      <c r="V243" s="24"/>
      <c r="W243" s="21"/>
      <c r="Y243" s="490"/>
    </row>
    <row r="244" spans="1:25" ht="90">
      <c r="A244" s="31">
        <v>241</v>
      </c>
      <c r="B244" s="22" t="s">
        <v>39</v>
      </c>
      <c r="C244" s="22" t="s">
        <v>462</v>
      </c>
      <c r="D244" s="22" t="s">
        <v>472</v>
      </c>
      <c r="E244" s="23" t="s">
        <v>483</v>
      </c>
      <c r="F244" s="22" t="s">
        <v>142</v>
      </c>
      <c r="G244" s="22" t="s">
        <v>474</v>
      </c>
      <c r="H244" s="22" t="s">
        <v>164</v>
      </c>
      <c r="I244" s="22" t="s">
        <v>1301</v>
      </c>
      <c r="J244" s="22" t="s">
        <v>485</v>
      </c>
      <c r="K244" s="519" t="s">
        <v>1262</v>
      </c>
      <c r="L244" s="521" t="s">
        <v>1302</v>
      </c>
      <c r="M244" s="521" t="s">
        <v>1303</v>
      </c>
      <c r="N244" s="521" t="s">
        <v>885</v>
      </c>
      <c r="O244" s="22" t="s">
        <v>465</v>
      </c>
      <c r="P244" s="426">
        <v>2019</v>
      </c>
      <c r="Q244" s="533">
        <f t="shared" ca="1" si="9"/>
        <v>0</v>
      </c>
      <c r="R244" s="335">
        <f t="shared" ca="1" si="10"/>
        <v>0</v>
      </c>
      <c r="S244" s="335">
        <f t="shared" ca="1" si="11"/>
        <v>0</v>
      </c>
      <c r="T244" s="429" t="s">
        <v>486</v>
      </c>
      <c r="U244" s="22" t="s">
        <v>478</v>
      </c>
      <c r="V244" s="24"/>
      <c r="W244" s="21"/>
      <c r="Y244" s="490"/>
    </row>
    <row r="245" spans="1:25" ht="30">
      <c r="A245" s="31">
        <v>242</v>
      </c>
      <c r="B245" s="22" t="s">
        <v>39</v>
      </c>
      <c r="C245" s="22" t="s">
        <v>462</v>
      </c>
      <c r="D245" s="22" t="s">
        <v>487</v>
      </c>
      <c r="E245" s="23" t="s">
        <v>91</v>
      </c>
      <c r="F245" s="22" t="s">
        <v>92</v>
      </c>
      <c r="G245" s="22" t="s">
        <v>93</v>
      </c>
      <c r="H245" s="22" t="s">
        <v>30</v>
      </c>
      <c r="I245" s="22" t="s">
        <v>488</v>
      </c>
      <c r="J245" s="22" t="s">
        <v>92</v>
      </c>
      <c r="K245" s="519" t="s">
        <v>1262</v>
      </c>
      <c r="L245" s="521" t="s">
        <v>1304</v>
      </c>
      <c r="M245" s="521" t="s">
        <v>1305</v>
      </c>
      <c r="N245" s="521" t="s">
        <v>885</v>
      </c>
      <c r="O245" s="22" t="s">
        <v>465</v>
      </c>
      <c r="P245" s="426">
        <v>2019</v>
      </c>
      <c r="Q245" s="414">
        <f t="shared" ca="1" si="9"/>
        <v>1087.7047566259882</v>
      </c>
      <c r="R245" s="335">
        <f t="shared" ca="1" si="10"/>
        <v>0</v>
      </c>
      <c r="S245" s="335">
        <f t="shared" ca="1" si="11"/>
        <v>0</v>
      </c>
      <c r="T245" s="429" t="s">
        <v>48</v>
      </c>
      <c r="U245" s="22"/>
      <c r="V245" s="24"/>
      <c r="W245" s="21"/>
      <c r="Y245" s="490"/>
    </row>
    <row r="246" spans="1:25" ht="30">
      <c r="A246" s="31">
        <v>243</v>
      </c>
      <c r="B246" s="22" t="s">
        <v>39</v>
      </c>
      <c r="C246" s="22" t="s">
        <v>462</v>
      </c>
      <c r="D246" s="22" t="s">
        <v>487</v>
      </c>
      <c r="E246" s="23" t="s">
        <v>91</v>
      </c>
      <c r="F246" s="22" t="s">
        <v>95</v>
      </c>
      <c r="G246" s="22" t="s">
        <v>93</v>
      </c>
      <c r="H246" s="22" t="s">
        <v>30</v>
      </c>
      <c r="I246" s="22" t="s">
        <v>488</v>
      </c>
      <c r="J246" s="22" t="s">
        <v>95</v>
      </c>
      <c r="K246" s="519" t="s">
        <v>1262</v>
      </c>
      <c r="L246" s="521" t="s">
        <v>1306</v>
      </c>
      <c r="M246" s="521" t="s">
        <v>1307</v>
      </c>
      <c r="N246" s="521" t="s">
        <v>885</v>
      </c>
      <c r="O246" s="22" t="s">
        <v>465</v>
      </c>
      <c r="P246" s="426">
        <v>2019</v>
      </c>
      <c r="Q246" s="414">
        <f t="shared" ca="1" si="9"/>
        <v>0.15133493978885609</v>
      </c>
      <c r="R246" s="335">
        <f t="shared" ca="1" si="10"/>
        <v>0</v>
      </c>
      <c r="S246" s="335">
        <f t="shared" ca="1" si="11"/>
        <v>0</v>
      </c>
      <c r="T246" s="429" t="s">
        <v>48</v>
      </c>
      <c r="U246" s="22"/>
      <c r="V246" s="24"/>
      <c r="W246" s="21"/>
      <c r="Y246" s="490"/>
    </row>
    <row r="247" spans="1:25" ht="30">
      <c r="A247" s="31">
        <v>244</v>
      </c>
      <c r="B247" s="22" t="s">
        <v>39</v>
      </c>
      <c r="C247" s="22" t="s">
        <v>462</v>
      </c>
      <c r="D247" s="22" t="s">
        <v>487</v>
      </c>
      <c r="E247" s="23" t="s">
        <v>91</v>
      </c>
      <c r="F247" s="22" t="s">
        <v>96</v>
      </c>
      <c r="G247" s="22" t="s">
        <v>93</v>
      </c>
      <c r="H247" s="22" t="s">
        <v>30</v>
      </c>
      <c r="I247" s="22" t="s">
        <v>488</v>
      </c>
      <c r="J247" s="22" t="s">
        <v>96</v>
      </c>
      <c r="K247" s="519" t="s">
        <v>1262</v>
      </c>
      <c r="L247" s="521" t="s">
        <v>1308</v>
      </c>
      <c r="M247" s="521" t="s">
        <v>1309</v>
      </c>
      <c r="N247" s="521" t="s">
        <v>885</v>
      </c>
      <c r="O247" s="22" t="s">
        <v>465</v>
      </c>
      <c r="P247" s="426">
        <v>2019</v>
      </c>
      <c r="Q247" s="414">
        <f t="shared" ca="1" si="9"/>
        <v>0.31540465908446702</v>
      </c>
      <c r="R247" s="335">
        <f t="shared" ca="1" si="10"/>
        <v>0</v>
      </c>
      <c r="S247" s="335">
        <f t="shared" ca="1" si="11"/>
        <v>0</v>
      </c>
      <c r="T247" s="429" t="s">
        <v>48</v>
      </c>
      <c r="U247" s="22" t="s">
        <v>49</v>
      </c>
      <c r="V247" s="24"/>
      <c r="W247" s="21"/>
      <c r="Y247" s="490"/>
    </row>
    <row r="248" spans="1:25" ht="30">
      <c r="A248" s="31">
        <v>245</v>
      </c>
      <c r="B248" s="22" t="s">
        <v>39</v>
      </c>
      <c r="C248" s="22" t="s">
        <v>462</v>
      </c>
      <c r="D248" s="22" t="s">
        <v>487</v>
      </c>
      <c r="E248" s="23" t="s">
        <v>91</v>
      </c>
      <c r="F248" s="22" t="s">
        <v>97</v>
      </c>
      <c r="G248" s="22" t="s">
        <v>93</v>
      </c>
      <c r="H248" s="22" t="s">
        <v>30</v>
      </c>
      <c r="I248" s="22" t="s">
        <v>488</v>
      </c>
      <c r="J248" s="22" t="s">
        <v>97</v>
      </c>
      <c r="K248" s="519" t="s">
        <v>1262</v>
      </c>
      <c r="L248" s="521" t="s">
        <v>1310</v>
      </c>
      <c r="M248" s="521" t="s">
        <v>1311</v>
      </c>
      <c r="N248" s="521" t="s">
        <v>885</v>
      </c>
      <c r="O248" s="22" t="s">
        <v>465</v>
      </c>
      <c r="P248" s="426">
        <v>2019</v>
      </c>
      <c r="Q248" s="414">
        <f t="shared" ca="1" si="9"/>
        <v>1168.1836618815444</v>
      </c>
      <c r="R248" s="335">
        <f t="shared" ca="1" si="10"/>
        <v>0</v>
      </c>
      <c r="S248" s="335">
        <f t="shared" ca="1" si="11"/>
        <v>0</v>
      </c>
      <c r="T248" s="429" t="s">
        <v>48</v>
      </c>
      <c r="U248" s="22"/>
      <c r="V248" s="24"/>
      <c r="W248" s="21"/>
      <c r="Y248" s="490"/>
    </row>
    <row r="249" spans="1:25" ht="30">
      <c r="A249" s="31">
        <v>246</v>
      </c>
      <c r="B249" s="22" t="s">
        <v>39</v>
      </c>
      <c r="C249" s="22" t="s">
        <v>462</v>
      </c>
      <c r="D249" s="22" t="s">
        <v>487</v>
      </c>
      <c r="E249" s="23" t="s">
        <v>91</v>
      </c>
      <c r="F249" s="22" t="s">
        <v>98</v>
      </c>
      <c r="G249" s="22" t="s">
        <v>93</v>
      </c>
      <c r="H249" s="22" t="s">
        <v>30</v>
      </c>
      <c r="I249" s="22" t="s">
        <v>488</v>
      </c>
      <c r="J249" s="22" t="s">
        <v>98</v>
      </c>
      <c r="K249" s="519" t="s">
        <v>1262</v>
      </c>
      <c r="L249" s="521" t="s">
        <v>1312</v>
      </c>
      <c r="M249" s="521" t="s">
        <v>1313</v>
      </c>
      <c r="N249" s="521" t="s">
        <v>885</v>
      </c>
      <c r="O249" s="22" t="s">
        <v>465</v>
      </c>
      <c r="P249" s="426">
        <v>2019</v>
      </c>
      <c r="Q249" s="414">
        <f t="shared" ca="1" si="9"/>
        <v>0.16253216054837744</v>
      </c>
      <c r="R249" s="335">
        <f t="shared" ca="1" si="10"/>
        <v>0</v>
      </c>
      <c r="S249" s="335">
        <f t="shared" ca="1" si="11"/>
        <v>0</v>
      </c>
      <c r="T249" s="429" t="s">
        <v>48</v>
      </c>
      <c r="U249" s="22"/>
      <c r="V249" s="24"/>
      <c r="W249" s="21"/>
      <c r="Y249" s="490"/>
    </row>
    <row r="250" spans="1:25" ht="30">
      <c r="A250" s="31">
        <v>247</v>
      </c>
      <c r="B250" s="22" t="s">
        <v>39</v>
      </c>
      <c r="C250" s="22" t="s">
        <v>462</v>
      </c>
      <c r="D250" s="22" t="s">
        <v>487</v>
      </c>
      <c r="E250" s="23" t="s">
        <v>91</v>
      </c>
      <c r="F250" s="22" t="s">
        <v>99</v>
      </c>
      <c r="G250" s="22" t="s">
        <v>93</v>
      </c>
      <c r="H250" s="22" t="s">
        <v>30</v>
      </c>
      <c r="I250" s="22" t="s">
        <v>488</v>
      </c>
      <c r="J250" s="22" t="s">
        <v>99</v>
      </c>
      <c r="K250" s="519" t="s">
        <v>1262</v>
      </c>
      <c r="L250" s="521" t="s">
        <v>1314</v>
      </c>
      <c r="M250" s="521" t="s">
        <v>1315</v>
      </c>
      <c r="N250" s="521" t="s">
        <v>885</v>
      </c>
      <c r="O250" s="22" t="s">
        <v>465</v>
      </c>
      <c r="P250" s="426">
        <v>2019</v>
      </c>
      <c r="Q250" s="414">
        <f t="shared" ca="1" si="9"/>
        <v>0.3387413426109398</v>
      </c>
      <c r="R250" s="335">
        <f t="shared" ca="1" si="10"/>
        <v>0</v>
      </c>
      <c r="S250" s="335">
        <f t="shared" ca="1" si="11"/>
        <v>0</v>
      </c>
      <c r="T250" s="429" t="s">
        <v>48</v>
      </c>
      <c r="U250" s="22" t="s">
        <v>49</v>
      </c>
      <c r="V250" s="24"/>
      <c r="W250" s="21"/>
      <c r="Y250" s="490"/>
    </row>
    <row r="251" spans="1:25" ht="30">
      <c r="A251" s="31">
        <v>248</v>
      </c>
      <c r="B251" s="22" t="s">
        <v>39</v>
      </c>
      <c r="C251" s="22" t="s">
        <v>462</v>
      </c>
      <c r="D251" s="22" t="s">
        <v>489</v>
      </c>
      <c r="E251" s="23" t="s">
        <v>296</v>
      </c>
      <c r="F251" s="22" t="s">
        <v>297</v>
      </c>
      <c r="G251" s="22" t="s">
        <v>298</v>
      </c>
      <c r="H251" s="22" t="s">
        <v>30</v>
      </c>
      <c r="I251" s="22" t="s">
        <v>490</v>
      </c>
      <c r="J251" s="22" t="s">
        <v>297</v>
      </c>
      <c r="K251" s="519" t="s">
        <v>1262</v>
      </c>
      <c r="L251" s="521" t="s">
        <v>1316</v>
      </c>
      <c r="M251" s="521" t="s">
        <v>1317</v>
      </c>
      <c r="N251" s="521" t="s">
        <v>885</v>
      </c>
      <c r="O251" s="22" t="s">
        <v>465</v>
      </c>
      <c r="P251" s="426">
        <v>2019</v>
      </c>
      <c r="Q251" s="533">
        <f t="shared" ca="1" si="9"/>
        <v>3.805093740521333E-4</v>
      </c>
      <c r="R251" s="335">
        <f t="shared" ca="1" si="10"/>
        <v>0</v>
      </c>
      <c r="S251" s="335">
        <f t="shared" ca="1" si="11"/>
        <v>0</v>
      </c>
      <c r="T251" s="429"/>
      <c r="U251" s="22"/>
      <c r="V251" s="24"/>
      <c r="W251" s="21"/>
      <c r="Y251" s="490"/>
    </row>
    <row r="252" spans="1:25" ht="30">
      <c r="A252" s="31">
        <v>249</v>
      </c>
      <c r="B252" s="22" t="s">
        <v>39</v>
      </c>
      <c r="C252" s="22" t="s">
        <v>462</v>
      </c>
      <c r="D252" s="22" t="s">
        <v>489</v>
      </c>
      <c r="E252" s="23" t="s">
        <v>296</v>
      </c>
      <c r="F252" s="22" t="s">
        <v>300</v>
      </c>
      <c r="G252" s="22" t="s">
        <v>298</v>
      </c>
      <c r="H252" s="22" t="s">
        <v>30</v>
      </c>
      <c r="I252" s="22" t="s">
        <v>490</v>
      </c>
      <c r="J252" s="22" t="s">
        <v>300</v>
      </c>
      <c r="K252" s="519" t="s">
        <v>1262</v>
      </c>
      <c r="L252" s="521" t="s">
        <v>1318</v>
      </c>
      <c r="M252" s="521" t="s">
        <v>1319</v>
      </c>
      <c r="N252" s="521" t="s">
        <v>885</v>
      </c>
      <c r="O252" s="22" t="s">
        <v>465</v>
      </c>
      <c r="P252" s="426">
        <v>2019</v>
      </c>
      <c r="Q252" s="533">
        <f t="shared" ca="1" si="9"/>
        <v>2.6989243085730668E-4</v>
      </c>
      <c r="R252" s="335">
        <f t="shared" ca="1" si="10"/>
        <v>0</v>
      </c>
      <c r="S252" s="335">
        <f t="shared" ca="1" si="11"/>
        <v>0</v>
      </c>
      <c r="T252" s="429"/>
      <c r="U252" s="22"/>
      <c r="V252" s="24"/>
      <c r="W252" s="21"/>
      <c r="Y252" s="490"/>
    </row>
    <row r="253" spans="1:25" ht="30">
      <c r="A253" s="31">
        <v>250</v>
      </c>
      <c r="B253" s="22" t="s">
        <v>39</v>
      </c>
      <c r="C253" s="22" t="s">
        <v>462</v>
      </c>
      <c r="D253" s="22" t="s">
        <v>489</v>
      </c>
      <c r="E253" s="23" t="s">
        <v>296</v>
      </c>
      <c r="F253" s="22" t="s">
        <v>301</v>
      </c>
      <c r="G253" s="22" t="s">
        <v>298</v>
      </c>
      <c r="H253" s="22" t="s">
        <v>30</v>
      </c>
      <c r="I253" s="22" t="s">
        <v>490</v>
      </c>
      <c r="J253" s="22" t="s">
        <v>301</v>
      </c>
      <c r="K253" s="519" t="s">
        <v>1262</v>
      </c>
      <c r="L253" s="521" t="s">
        <v>1320</v>
      </c>
      <c r="M253" s="521" t="s">
        <v>1321</v>
      </c>
      <c r="N253" s="521" t="s">
        <v>885</v>
      </c>
      <c r="O253" s="22" t="s">
        <v>465</v>
      </c>
      <c r="P253" s="426">
        <v>2019</v>
      </c>
      <c r="Q253" s="533">
        <f t="shared" ca="1" si="9"/>
        <v>1.3776113514909569E-3</v>
      </c>
      <c r="R253" s="335">
        <f t="shared" ca="1" si="10"/>
        <v>0</v>
      </c>
      <c r="S253" s="335">
        <f t="shared" ca="1" si="11"/>
        <v>0</v>
      </c>
      <c r="T253" s="429"/>
      <c r="U253" s="22"/>
      <c r="V253" s="24"/>
      <c r="W253" s="21"/>
      <c r="Y253" s="490"/>
    </row>
    <row r="254" spans="1:25" ht="30">
      <c r="A254" s="31">
        <v>251</v>
      </c>
      <c r="B254" s="22" t="s">
        <v>39</v>
      </c>
      <c r="C254" s="22" t="s">
        <v>462</v>
      </c>
      <c r="D254" s="22" t="s">
        <v>489</v>
      </c>
      <c r="E254" s="23" t="s">
        <v>296</v>
      </c>
      <c r="F254" s="22" t="s">
        <v>302</v>
      </c>
      <c r="G254" s="22" t="s">
        <v>298</v>
      </c>
      <c r="H254" s="22" t="s">
        <v>30</v>
      </c>
      <c r="I254" s="22" t="s">
        <v>490</v>
      </c>
      <c r="J254" s="22" t="s">
        <v>302</v>
      </c>
      <c r="K254" s="519" t="s">
        <v>1262</v>
      </c>
      <c r="L254" s="521" t="s">
        <v>1322</v>
      </c>
      <c r="M254" s="521" t="s">
        <v>1323</v>
      </c>
      <c r="N254" s="521" t="s">
        <v>885</v>
      </c>
      <c r="O254" s="22" t="s">
        <v>465</v>
      </c>
      <c r="P254" s="426">
        <v>2019</v>
      </c>
      <c r="Q254" s="533">
        <f t="shared" ca="1" si="9"/>
        <v>1.3077833140471415E-3</v>
      </c>
      <c r="R254" s="335">
        <f t="shared" ca="1" si="10"/>
        <v>0</v>
      </c>
      <c r="S254" s="335">
        <f t="shared" ca="1" si="11"/>
        <v>0</v>
      </c>
      <c r="T254" s="429"/>
      <c r="U254" s="22"/>
      <c r="V254" s="24"/>
      <c r="W254" s="21"/>
      <c r="Y254" s="490"/>
    </row>
    <row r="255" spans="1:25" ht="30">
      <c r="A255" s="31">
        <v>252</v>
      </c>
      <c r="B255" s="22" t="s">
        <v>39</v>
      </c>
      <c r="C255" s="22" t="s">
        <v>462</v>
      </c>
      <c r="D255" s="22" t="s">
        <v>489</v>
      </c>
      <c r="E255" s="23" t="s">
        <v>296</v>
      </c>
      <c r="F255" s="22" t="s">
        <v>303</v>
      </c>
      <c r="G255" s="22" t="s">
        <v>298</v>
      </c>
      <c r="H255" s="22" t="s">
        <v>30</v>
      </c>
      <c r="I255" s="22" t="s">
        <v>490</v>
      </c>
      <c r="J255" s="22" t="s">
        <v>303</v>
      </c>
      <c r="K255" s="519" t="s">
        <v>1262</v>
      </c>
      <c r="L255" s="521" t="s">
        <v>1324</v>
      </c>
      <c r="M255" s="521" t="s">
        <v>1325</v>
      </c>
      <c r="N255" s="521" t="s">
        <v>885</v>
      </c>
      <c r="O255" s="22" t="s">
        <v>465</v>
      </c>
      <c r="P255" s="426">
        <v>2019</v>
      </c>
      <c r="Q255" s="533">
        <f t="shared" ca="1" si="9"/>
        <v>1.1987473801171199E-4</v>
      </c>
      <c r="R255" s="335">
        <f t="shared" ca="1" si="10"/>
        <v>0</v>
      </c>
      <c r="S255" s="335">
        <f t="shared" ca="1" si="11"/>
        <v>0</v>
      </c>
      <c r="T255" s="429" t="s">
        <v>304</v>
      </c>
      <c r="U255" s="22" t="s">
        <v>491</v>
      </c>
      <c r="V255" s="24"/>
      <c r="W255" s="21"/>
      <c r="Y255" s="490"/>
    </row>
    <row r="256" spans="1:25" ht="30">
      <c r="A256" s="31">
        <v>253</v>
      </c>
      <c r="B256" s="22" t="s">
        <v>39</v>
      </c>
      <c r="C256" s="22" t="s">
        <v>462</v>
      </c>
      <c r="D256" s="22" t="s">
        <v>489</v>
      </c>
      <c r="E256" s="23" t="s">
        <v>296</v>
      </c>
      <c r="F256" s="22" t="s">
        <v>305</v>
      </c>
      <c r="G256" s="22" t="s">
        <v>298</v>
      </c>
      <c r="H256" s="22" t="s">
        <v>30</v>
      </c>
      <c r="I256" s="22" t="s">
        <v>490</v>
      </c>
      <c r="J256" s="22" t="s">
        <v>305</v>
      </c>
      <c r="K256" s="519" t="s">
        <v>1262</v>
      </c>
      <c r="L256" s="521" t="s">
        <v>1326</v>
      </c>
      <c r="M256" s="521" t="s">
        <v>1327</v>
      </c>
      <c r="N256" s="521" t="s">
        <v>885</v>
      </c>
      <c r="O256" s="22" t="s">
        <v>465</v>
      </c>
      <c r="P256" s="426">
        <v>2019</v>
      </c>
      <c r="Q256" s="533">
        <f t="shared" ca="1" si="9"/>
        <v>1.4406559033403328E-4</v>
      </c>
      <c r="R256" s="335">
        <f t="shared" ca="1" si="10"/>
        <v>0</v>
      </c>
      <c r="S256" s="335">
        <f t="shared" ca="1" si="11"/>
        <v>0</v>
      </c>
      <c r="T256" s="429" t="s">
        <v>304</v>
      </c>
      <c r="U256" s="22" t="s">
        <v>491</v>
      </c>
      <c r="V256" s="24"/>
      <c r="W256" s="21"/>
      <c r="Y256" s="490"/>
    </row>
    <row r="257" spans="1:25" ht="30">
      <c r="A257" s="31">
        <v>254</v>
      </c>
      <c r="B257" s="22" t="s">
        <v>39</v>
      </c>
      <c r="C257" s="22" t="s">
        <v>462</v>
      </c>
      <c r="D257" s="22" t="s">
        <v>489</v>
      </c>
      <c r="E257" s="23" t="s">
        <v>296</v>
      </c>
      <c r="F257" s="22" t="s">
        <v>306</v>
      </c>
      <c r="G257" s="22" t="s">
        <v>298</v>
      </c>
      <c r="H257" s="22" t="s">
        <v>30</v>
      </c>
      <c r="I257" s="22" t="s">
        <v>490</v>
      </c>
      <c r="J257" s="22" t="s">
        <v>306</v>
      </c>
      <c r="K257" s="519" t="s">
        <v>1262</v>
      </c>
      <c r="L257" s="521" t="s">
        <v>1328</v>
      </c>
      <c r="M257" s="521" t="s">
        <v>1329</v>
      </c>
      <c r="N257" s="521" t="s">
        <v>885</v>
      </c>
      <c r="O257" s="22" t="s">
        <v>465</v>
      </c>
      <c r="P257" s="426">
        <v>2019</v>
      </c>
      <c r="Q257" s="533">
        <f t="shared" ca="1" si="9"/>
        <v>2.5729118499737305E-3</v>
      </c>
      <c r="R257" s="335">
        <f t="shared" ca="1" si="10"/>
        <v>0</v>
      </c>
      <c r="S257" s="335">
        <f t="shared" ca="1" si="11"/>
        <v>0</v>
      </c>
      <c r="T257" s="429"/>
      <c r="U257" s="22"/>
      <c r="V257" s="24"/>
      <c r="W257" s="21"/>
      <c r="Y257" s="490"/>
    </row>
    <row r="258" spans="1:25" ht="30">
      <c r="A258" s="31">
        <v>255</v>
      </c>
      <c r="B258" s="22" t="s">
        <v>39</v>
      </c>
      <c r="C258" s="22" t="s">
        <v>462</v>
      </c>
      <c r="D258" s="22" t="s">
        <v>489</v>
      </c>
      <c r="E258" s="23" t="s">
        <v>296</v>
      </c>
      <c r="F258" s="22" t="s">
        <v>307</v>
      </c>
      <c r="G258" s="22" t="s">
        <v>298</v>
      </c>
      <c r="H258" s="22" t="s">
        <v>30</v>
      </c>
      <c r="I258" s="22" t="s">
        <v>490</v>
      </c>
      <c r="J258" s="22" t="s">
        <v>307</v>
      </c>
      <c r="K258" s="519" t="s">
        <v>1262</v>
      </c>
      <c r="L258" s="521" t="s">
        <v>1330</v>
      </c>
      <c r="M258" s="521" t="s">
        <v>1331</v>
      </c>
      <c r="N258" s="521" t="s">
        <v>885</v>
      </c>
      <c r="O258" s="22" t="s">
        <v>465</v>
      </c>
      <c r="P258" s="426">
        <v>2019</v>
      </c>
      <c r="Q258" s="533">
        <f t="shared" ca="1" si="9"/>
        <v>1.8656994718085945E-3</v>
      </c>
      <c r="R258" s="335">
        <f t="shared" ca="1" si="10"/>
        <v>0</v>
      </c>
      <c r="S258" s="335">
        <f t="shared" ca="1" si="11"/>
        <v>0</v>
      </c>
      <c r="T258" s="429"/>
      <c r="U258" s="22"/>
      <c r="V258" s="24"/>
      <c r="W258" s="21"/>
      <c r="Y258" s="490"/>
    </row>
    <row r="259" spans="1:25" ht="30">
      <c r="A259" s="31">
        <v>256</v>
      </c>
      <c r="B259" s="22" t="s">
        <v>39</v>
      </c>
      <c r="C259" s="22" t="s">
        <v>462</v>
      </c>
      <c r="D259" s="22" t="s">
        <v>489</v>
      </c>
      <c r="E259" s="23" t="s">
        <v>296</v>
      </c>
      <c r="F259" s="22" t="s">
        <v>308</v>
      </c>
      <c r="G259" s="22" t="s">
        <v>298</v>
      </c>
      <c r="H259" s="22" t="s">
        <v>30</v>
      </c>
      <c r="I259" s="22" t="s">
        <v>490</v>
      </c>
      <c r="J259" s="22" t="s">
        <v>308</v>
      </c>
      <c r="K259" s="519" t="s">
        <v>1262</v>
      </c>
      <c r="L259" s="521" t="s">
        <v>1332</v>
      </c>
      <c r="M259" s="521" t="s">
        <v>1333</v>
      </c>
      <c r="N259" s="521" t="s">
        <v>885</v>
      </c>
      <c r="O259" s="22" t="s">
        <v>465</v>
      </c>
      <c r="P259" s="426">
        <v>2019</v>
      </c>
      <c r="Q259" s="533">
        <f t="shared" ref="Q259:Q304" ca="1" si="12">SUMIF(INDIRECT("'"&amp;K259&amp;"'!c:c"),A259,INDIRECT("'"&amp;K259&amp;"'!g:g"))</f>
        <v>3.9618876796045262E-3</v>
      </c>
      <c r="R259" s="335">
        <f t="shared" ref="R259:R305" ca="1" si="13">IF($N259 = "N","N/A",SUMIF(INDIRECT("'"&amp;K259&amp;"'!i:i"),L259,INDIRECT("'"&amp;K259&amp;"'!n:n")))</f>
        <v>0</v>
      </c>
      <c r="S259" s="335">
        <f t="shared" ref="S259:S305" ca="1" si="14">IF($N259 = "N","N/A",SUMIF(INDIRECT("'"&amp;K259&amp;"'!i:i"),M259,INDIRECT("'"&amp;K259&amp;"'!n:n")))</f>
        <v>0</v>
      </c>
      <c r="T259" s="429"/>
      <c r="U259" s="22"/>
      <c r="V259" s="24"/>
      <c r="W259" s="21"/>
      <c r="Y259" s="490"/>
    </row>
    <row r="260" spans="1:25" ht="30">
      <c r="A260" s="31">
        <v>257</v>
      </c>
      <c r="B260" s="22" t="s">
        <v>39</v>
      </c>
      <c r="C260" s="22" t="s">
        <v>462</v>
      </c>
      <c r="D260" s="22" t="s">
        <v>489</v>
      </c>
      <c r="E260" s="23" t="s">
        <v>296</v>
      </c>
      <c r="F260" s="22" t="s">
        <v>309</v>
      </c>
      <c r="G260" s="22" t="s">
        <v>298</v>
      </c>
      <c r="H260" s="22" t="s">
        <v>30</v>
      </c>
      <c r="I260" s="22" t="s">
        <v>490</v>
      </c>
      <c r="J260" s="22" t="s">
        <v>309</v>
      </c>
      <c r="K260" s="519" t="s">
        <v>1262</v>
      </c>
      <c r="L260" s="521" t="s">
        <v>1334</v>
      </c>
      <c r="M260" s="521" t="s">
        <v>1335</v>
      </c>
      <c r="N260" s="521" t="s">
        <v>885</v>
      </c>
      <c r="O260" s="22" t="s">
        <v>465</v>
      </c>
      <c r="P260" s="426">
        <v>2019</v>
      </c>
      <c r="Q260" s="533">
        <f t="shared" ca="1" si="12"/>
        <v>3.1586674313852704E-3</v>
      </c>
      <c r="R260" s="335">
        <f t="shared" ca="1" si="13"/>
        <v>0</v>
      </c>
      <c r="S260" s="335">
        <f t="shared" ca="1" si="14"/>
        <v>0</v>
      </c>
      <c r="T260" s="429"/>
      <c r="U260" s="22"/>
      <c r="V260" s="24"/>
      <c r="W260" s="21"/>
      <c r="Y260" s="490"/>
    </row>
    <row r="261" spans="1:25" ht="30">
      <c r="A261" s="31">
        <v>258</v>
      </c>
      <c r="B261" s="22" t="s">
        <v>39</v>
      </c>
      <c r="C261" s="22" t="s">
        <v>462</v>
      </c>
      <c r="D261" s="22" t="s">
        <v>489</v>
      </c>
      <c r="E261" s="23" t="s">
        <v>296</v>
      </c>
      <c r="F261" s="22" t="s">
        <v>310</v>
      </c>
      <c r="G261" s="22" t="s">
        <v>298</v>
      </c>
      <c r="H261" s="22" t="s">
        <v>30</v>
      </c>
      <c r="I261" s="22" t="s">
        <v>490</v>
      </c>
      <c r="J261" s="22" t="s">
        <v>310</v>
      </c>
      <c r="K261" s="519" t="s">
        <v>1262</v>
      </c>
      <c r="L261" s="521" t="s">
        <v>1336</v>
      </c>
      <c r="M261" s="521" t="s">
        <v>1337</v>
      </c>
      <c r="N261" s="521" t="s">
        <v>885</v>
      </c>
      <c r="O261" s="22" t="s">
        <v>465</v>
      </c>
      <c r="P261" s="426">
        <v>2019</v>
      </c>
      <c r="Q261" s="533">
        <f t="shared" ca="1" si="12"/>
        <v>-1.4754860482261783E-4</v>
      </c>
      <c r="R261" s="335">
        <f t="shared" ca="1" si="13"/>
        <v>0</v>
      </c>
      <c r="S261" s="335">
        <f t="shared" ca="1" si="14"/>
        <v>0</v>
      </c>
      <c r="T261" s="429" t="s">
        <v>304</v>
      </c>
      <c r="U261" s="22" t="s">
        <v>491</v>
      </c>
      <c r="V261" s="24"/>
      <c r="W261" s="21"/>
      <c r="Y261" s="490"/>
    </row>
    <row r="262" spans="1:25" ht="30">
      <c r="A262" s="100">
        <v>259</v>
      </c>
      <c r="B262" s="22" t="s">
        <v>39</v>
      </c>
      <c r="C262" s="22" t="s">
        <v>462</v>
      </c>
      <c r="D262" s="22" t="s">
        <v>489</v>
      </c>
      <c r="E262" s="23" t="s">
        <v>296</v>
      </c>
      <c r="F262" s="101" t="s">
        <v>311</v>
      </c>
      <c r="G262" s="101" t="s">
        <v>298</v>
      </c>
      <c r="H262" s="101" t="s">
        <v>30</v>
      </c>
      <c r="I262" s="101" t="s">
        <v>490</v>
      </c>
      <c r="J262" s="101" t="s">
        <v>311</v>
      </c>
      <c r="K262" s="519" t="s">
        <v>1262</v>
      </c>
      <c r="L262" s="521" t="s">
        <v>1338</v>
      </c>
      <c r="M262" s="521" t="s">
        <v>1339</v>
      </c>
      <c r="N262" s="521" t="s">
        <v>885</v>
      </c>
      <c r="O262" s="101" t="s">
        <v>465</v>
      </c>
      <c r="P262" s="426">
        <v>2019</v>
      </c>
      <c r="Q262" s="533">
        <f t="shared" ca="1" si="12"/>
        <v>-5.1931179568728174E-5</v>
      </c>
      <c r="R262" s="335">
        <f t="shared" ca="1" si="13"/>
        <v>0</v>
      </c>
      <c r="S262" s="335">
        <f t="shared" ca="1" si="14"/>
        <v>0</v>
      </c>
      <c r="T262" s="522" t="s">
        <v>304</v>
      </c>
      <c r="U262" s="101" t="s">
        <v>491</v>
      </c>
      <c r="V262" s="24"/>
      <c r="W262" s="21"/>
      <c r="Y262" s="490"/>
    </row>
    <row r="263" spans="1:25" ht="45">
      <c r="A263" s="31">
        <v>260</v>
      </c>
      <c r="B263" s="22" t="s">
        <v>39</v>
      </c>
      <c r="C263" s="22" t="s">
        <v>492</v>
      </c>
      <c r="D263" s="22" t="s">
        <v>493</v>
      </c>
      <c r="E263" s="23" t="s">
        <v>51</v>
      </c>
      <c r="F263" s="22" t="s">
        <v>52</v>
      </c>
      <c r="G263" s="22" t="s">
        <v>53</v>
      </c>
      <c r="H263" s="22" t="s">
        <v>30</v>
      </c>
      <c r="I263" s="22" t="s">
        <v>494</v>
      </c>
      <c r="J263" s="22" t="s">
        <v>52</v>
      </c>
      <c r="K263" s="519" t="s">
        <v>1340</v>
      </c>
      <c r="L263" s="521" t="s">
        <v>1341</v>
      </c>
      <c r="M263" s="521" t="s">
        <v>1342</v>
      </c>
      <c r="N263" s="521" t="s">
        <v>815</v>
      </c>
      <c r="O263" s="22" t="s">
        <v>495</v>
      </c>
      <c r="P263" s="426">
        <v>2019</v>
      </c>
      <c r="Q263" s="414">
        <f t="shared" ca="1" si="12"/>
        <v>1.0720000000000001</v>
      </c>
      <c r="R263" s="335" t="str">
        <f t="shared" ca="1" si="13"/>
        <v>N/A</v>
      </c>
      <c r="S263" s="335" t="str">
        <f t="shared" ca="1" si="14"/>
        <v>N/A</v>
      </c>
      <c r="T263" s="429" t="s">
        <v>899</v>
      </c>
      <c r="U263" s="22"/>
      <c r="V263" s="24"/>
      <c r="W263" s="21"/>
      <c r="Y263" s="490"/>
    </row>
    <row r="264" spans="1:25" ht="45">
      <c r="A264" s="31">
        <v>261</v>
      </c>
      <c r="B264" s="22" t="s">
        <v>39</v>
      </c>
      <c r="C264" s="22" t="s">
        <v>492</v>
      </c>
      <c r="D264" s="22" t="s">
        <v>493</v>
      </c>
      <c r="E264" s="23" t="s">
        <v>51</v>
      </c>
      <c r="F264" s="22" t="s">
        <v>55</v>
      </c>
      <c r="G264" s="22" t="s">
        <v>53</v>
      </c>
      <c r="H264" s="22" t="s">
        <v>30</v>
      </c>
      <c r="I264" s="22" t="s">
        <v>494</v>
      </c>
      <c r="J264" s="22" t="s">
        <v>55</v>
      </c>
      <c r="K264" s="519" t="s">
        <v>1340</v>
      </c>
      <c r="L264" s="521" t="s">
        <v>1343</v>
      </c>
      <c r="M264" s="521" t="s">
        <v>1344</v>
      </c>
      <c r="N264" s="521" t="s">
        <v>815</v>
      </c>
      <c r="O264" s="22" t="s">
        <v>495</v>
      </c>
      <c r="P264" s="426">
        <v>2019</v>
      </c>
      <c r="Q264" s="414">
        <f t="shared" ca="1" si="12"/>
        <v>1.02912002811432</v>
      </c>
      <c r="R264" s="335" t="str">
        <f t="shared" ca="1" si="13"/>
        <v>N/A</v>
      </c>
      <c r="S264" s="335" t="str">
        <f t="shared" ca="1" si="14"/>
        <v>N/A</v>
      </c>
      <c r="T264" s="429" t="s">
        <v>899</v>
      </c>
      <c r="U264" s="22"/>
      <c r="V264" s="24"/>
      <c r="W264" s="21"/>
      <c r="Y264" s="490"/>
    </row>
    <row r="265" spans="1:25" ht="45">
      <c r="A265" s="31">
        <v>262</v>
      </c>
      <c r="B265" s="22" t="s">
        <v>39</v>
      </c>
      <c r="C265" s="22" t="s">
        <v>492</v>
      </c>
      <c r="D265" s="22" t="s">
        <v>493</v>
      </c>
      <c r="E265" s="23" t="s">
        <v>51</v>
      </c>
      <c r="F265" s="22" t="s">
        <v>56</v>
      </c>
      <c r="G265" s="22" t="s">
        <v>53</v>
      </c>
      <c r="H265" s="22" t="s">
        <v>30</v>
      </c>
      <c r="I265" s="22" t="s">
        <v>494</v>
      </c>
      <c r="J265" s="22" t="s">
        <v>56</v>
      </c>
      <c r="K265" s="519" t="s">
        <v>1340</v>
      </c>
      <c r="L265" s="521" t="s">
        <v>1345</v>
      </c>
      <c r="M265" s="521" t="s">
        <v>1346</v>
      </c>
      <c r="N265" s="521" t="s">
        <v>815</v>
      </c>
      <c r="O265" s="22" t="s">
        <v>495</v>
      </c>
      <c r="P265" s="426">
        <v>2019</v>
      </c>
      <c r="Q265" s="414">
        <f t="shared" ca="1" si="12"/>
        <v>159660.47617571798</v>
      </c>
      <c r="R265" s="335" t="str">
        <f t="shared" ca="1" si="13"/>
        <v>N/A</v>
      </c>
      <c r="S265" s="335" t="str">
        <f t="shared" ca="1" si="14"/>
        <v>N/A</v>
      </c>
      <c r="T265" s="429" t="s">
        <v>899</v>
      </c>
      <c r="U265" s="22"/>
      <c r="V265" s="24"/>
      <c r="W265" s="21"/>
      <c r="Y265" s="490"/>
    </row>
    <row r="266" spans="1:25" ht="45">
      <c r="A266" s="31">
        <v>263</v>
      </c>
      <c r="B266" s="22" t="s">
        <v>39</v>
      </c>
      <c r="C266" s="22" t="s">
        <v>492</v>
      </c>
      <c r="D266" s="22" t="s">
        <v>493</v>
      </c>
      <c r="E266" s="23" t="s">
        <v>51</v>
      </c>
      <c r="F266" s="22" t="s">
        <v>57</v>
      </c>
      <c r="G266" s="22" t="s">
        <v>53</v>
      </c>
      <c r="H266" s="22" t="s">
        <v>30</v>
      </c>
      <c r="I266" s="22" t="s">
        <v>494</v>
      </c>
      <c r="J266" s="22" t="s">
        <v>57</v>
      </c>
      <c r="K266" s="519" t="s">
        <v>1340</v>
      </c>
      <c r="L266" s="521" t="s">
        <v>1347</v>
      </c>
      <c r="M266" s="521" t="s">
        <v>1348</v>
      </c>
      <c r="N266" s="521" t="s">
        <v>815</v>
      </c>
      <c r="O266" s="22" t="s">
        <v>495</v>
      </c>
      <c r="P266" s="426">
        <v>2019</v>
      </c>
      <c r="Q266" s="414">
        <f t="shared" ca="1" si="12"/>
        <v>105501.6334229674</v>
      </c>
      <c r="R266" s="335" t="str">
        <f t="shared" ca="1" si="13"/>
        <v>N/A</v>
      </c>
      <c r="S266" s="335" t="str">
        <f t="shared" ca="1" si="14"/>
        <v>N/A</v>
      </c>
      <c r="T266" s="429" t="s">
        <v>899</v>
      </c>
      <c r="U266" s="22"/>
      <c r="V266" s="24"/>
      <c r="W266" s="21"/>
      <c r="Y266" s="490"/>
    </row>
    <row r="267" spans="1:25" ht="45">
      <c r="A267" s="31">
        <v>264</v>
      </c>
      <c r="B267" s="22" t="s">
        <v>39</v>
      </c>
      <c r="C267" s="22" t="s">
        <v>492</v>
      </c>
      <c r="D267" s="22" t="s">
        <v>493</v>
      </c>
      <c r="E267" s="23" t="s">
        <v>51</v>
      </c>
      <c r="F267" s="22" t="s">
        <v>58</v>
      </c>
      <c r="G267" s="22" t="s">
        <v>53</v>
      </c>
      <c r="H267" s="22" t="s">
        <v>30</v>
      </c>
      <c r="I267" s="22" t="s">
        <v>494</v>
      </c>
      <c r="J267" s="22" t="s">
        <v>58</v>
      </c>
      <c r="K267" s="519" t="s">
        <v>1340</v>
      </c>
      <c r="L267" s="521" t="s">
        <v>1349</v>
      </c>
      <c r="M267" s="521" t="s">
        <v>1350</v>
      </c>
      <c r="N267" s="521" t="s">
        <v>815</v>
      </c>
      <c r="O267" s="22" t="s">
        <v>495</v>
      </c>
      <c r="P267" s="426">
        <v>2019</v>
      </c>
      <c r="Q267" s="414">
        <f t="shared" ca="1" si="12"/>
        <v>35025.523743103979</v>
      </c>
      <c r="R267" s="335" t="str">
        <f t="shared" ca="1" si="13"/>
        <v>N/A</v>
      </c>
      <c r="S267" s="335" t="str">
        <f t="shared" ca="1" si="14"/>
        <v>N/A</v>
      </c>
      <c r="T267" s="429" t="s">
        <v>899</v>
      </c>
      <c r="U267" s="22" t="s">
        <v>49</v>
      </c>
      <c r="V267" s="24"/>
      <c r="W267" s="21"/>
      <c r="Y267" s="490"/>
    </row>
    <row r="268" spans="1:25" ht="45">
      <c r="A268" s="31">
        <v>265</v>
      </c>
      <c r="B268" s="22" t="s">
        <v>39</v>
      </c>
      <c r="C268" s="22" t="s">
        <v>492</v>
      </c>
      <c r="D268" s="22" t="s">
        <v>493</v>
      </c>
      <c r="E268" s="23" t="s">
        <v>51</v>
      </c>
      <c r="F268" s="22" t="s">
        <v>60</v>
      </c>
      <c r="G268" s="22" t="s">
        <v>53</v>
      </c>
      <c r="H268" s="22" t="s">
        <v>30</v>
      </c>
      <c r="I268" s="22" t="s">
        <v>494</v>
      </c>
      <c r="J268" s="22" t="s">
        <v>60</v>
      </c>
      <c r="K268" s="519" t="s">
        <v>1340</v>
      </c>
      <c r="L268" s="521" t="s">
        <v>1351</v>
      </c>
      <c r="M268" s="521" t="s">
        <v>1352</v>
      </c>
      <c r="N268" s="521" t="s">
        <v>815</v>
      </c>
      <c r="O268" s="22" t="s">
        <v>495</v>
      </c>
      <c r="P268" s="426">
        <v>2019</v>
      </c>
      <c r="Q268" s="414">
        <f t="shared" ca="1" si="12"/>
        <v>23522.461983011202</v>
      </c>
      <c r="R268" s="335" t="str">
        <f t="shared" ca="1" si="13"/>
        <v>N/A</v>
      </c>
      <c r="S268" s="335" t="str">
        <f t="shared" ca="1" si="14"/>
        <v>N/A</v>
      </c>
      <c r="T268" s="429" t="s">
        <v>899</v>
      </c>
      <c r="U268" s="22" t="s">
        <v>49</v>
      </c>
      <c r="V268" s="24"/>
      <c r="W268" s="21"/>
      <c r="Y268" s="490"/>
    </row>
    <row r="269" spans="1:25" ht="45">
      <c r="A269" s="31">
        <v>266</v>
      </c>
      <c r="B269" s="22" t="s">
        <v>39</v>
      </c>
      <c r="C269" s="22" t="s">
        <v>492</v>
      </c>
      <c r="D269" s="22" t="s">
        <v>493</v>
      </c>
      <c r="E269" s="23" t="s">
        <v>51</v>
      </c>
      <c r="F269" s="22" t="s">
        <v>61</v>
      </c>
      <c r="G269" s="22" t="s">
        <v>53</v>
      </c>
      <c r="H269" s="22" t="s">
        <v>30</v>
      </c>
      <c r="I269" s="22" t="s">
        <v>494</v>
      </c>
      <c r="J269" s="22" t="s">
        <v>61</v>
      </c>
      <c r="K269" s="519" t="s">
        <v>1340</v>
      </c>
      <c r="L269" s="521" t="s">
        <v>1353</v>
      </c>
      <c r="M269" s="521" t="s">
        <v>1354</v>
      </c>
      <c r="N269" s="521" t="s">
        <v>815</v>
      </c>
      <c r="O269" s="22" t="s">
        <v>495</v>
      </c>
      <c r="P269" s="426">
        <v>2019</v>
      </c>
      <c r="Q269" s="414">
        <f t="shared" ca="1" si="12"/>
        <v>12.864000000000001</v>
      </c>
      <c r="R269" s="335" t="str">
        <f t="shared" ca="1" si="13"/>
        <v>N/A</v>
      </c>
      <c r="S269" s="335" t="str">
        <f t="shared" ca="1" si="14"/>
        <v>N/A</v>
      </c>
      <c r="T269" s="429" t="s">
        <v>899</v>
      </c>
      <c r="U269" s="22"/>
      <c r="V269" s="24"/>
      <c r="W269" s="21"/>
      <c r="Y269" s="490"/>
    </row>
    <row r="270" spans="1:25" ht="45">
      <c r="A270" s="31">
        <v>267</v>
      </c>
      <c r="B270" s="22" t="s">
        <v>39</v>
      </c>
      <c r="C270" s="22" t="s">
        <v>492</v>
      </c>
      <c r="D270" s="22" t="s">
        <v>493</v>
      </c>
      <c r="E270" s="23" t="s">
        <v>51</v>
      </c>
      <c r="F270" s="22" t="s">
        <v>62</v>
      </c>
      <c r="G270" s="22" t="s">
        <v>53</v>
      </c>
      <c r="H270" s="22" t="s">
        <v>30</v>
      </c>
      <c r="I270" s="22" t="s">
        <v>494</v>
      </c>
      <c r="J270" s="22" t="s">
        <v>62</v>
      </c>
      <c r="K270" s="519" t="s">
        <v>1340</v>
      </c>
      <c r="L270" s="521" t="s">
        <v>1355</v>
      </c>
      <c r="M270" s="521" t="s">
        <v>1356</v>
      </c>
      <c r="N270" s="521" t="s">
        <v>815</v>
      </c>
      <c r="O270" s="22" t="s">
        <v>495</v>
      </c>
      <c r="P270" s="426">
        <v>2019</v>
      </c>
      <c r="Q270" s="414">
        <f t="shared" ca="1" si="12"/>
        <v>12.349440337371799</v>
      </c>
      <c r="R270" s="335" t="str">
        <f t="shared" ca="1" si="13"/>
        <v>N/A</v>
      </c>
      <c r="S270" s="335" t="str">
        <f t="shared" ca="1" si="14"/>
        <v>N/A</v>
      </c>
      <c r="T270" s="429" t="s">
        <v>899</v>
      </c>
      <c r="U270" s="22"/>
      <c r="V270" s="24"/>
      <c r="W270" s="21"/>
      <c r="Y270" s="490"/>
    </row>
    <row r="271" spans="1:25" ht="45">
      <c r="A271" s="31">
        <v>268</v>
      </c>
      <c r="B271" s="22" t="s">
        <v>39</v>
      </c>
      <c r="C271" s="22" t="s">
        <v>492</v>
      </c>
      <c r="D271" s="22" t="s">
        <v>493</v>
      </c>
      <c r="E271" s="23" t="s">
        <v>51</v>
      </c>
      <c r="F271" s="22" t="s">
        <v>63</v>
      </c>
      <c r="G271" s="22" t="s">
        <v>53</v>
      </c>
      <c r="H271" s="22" t="s">
        <v>30</v>
      </c>
      <c r="I271" s="22" t="s">
        <v>494</v>
      </c>
      <c r="J271" s="22" t="s">
        <v>63</v>
      </c>
      <c r="K271" s="519" t="s">
        <v>1340</v>
      </c>
      <c r="L271" s="521" t="s">
        <v>1357</v>
      </c>
      <c r="M271" s="521" t="s">
        <v>1358</v>
      </c>
      <c r="N271" s="521" t="s">
        <v>815</v>
      </c>
      <c r="O271" s="22" t="s">
        <v>495</v>
      </c>
      <c r="P271" s="426">
        <v>2019</v>
      </c>
      <c r="Q271" s="414">
        <f t="shared" ca="1" si="12"/>
        <v>2314097.0415604399</v>
      </c>
      <c r="R271" s="335" t="str">
        <f t="shared" ca="1" si="13"/>
        <v>N/A</v>
      </c>
      <c r="S271" s="335" t="str">
        <f t="shared" ca="1" si="14"/>
        <v>N/A</v>
      </c>
      <c r="T271" s="429" t="s">
        <v>899</v>
      </c>
      <c r="U271" s="22"/>
      <c r="V271" s="24"/>
      <c r="W271" s="21"/>
      <c r="Y271" s="490"/>
    </row>
    <row r="272" spans="1:25" ht="45">
      <c r="A272" s="31">
        <v>269</v>
      </c>
      <c r="B272" s="22" t="s">
        <v>39</v>
      </c>
      <c r="C272" s="22" t="s">
        <v>492</v>
      </c>
      <c r="D272" s="22" t="s">
        <v>493</v>
      </c>
      <c r="E272" s="23" t="s">
        <v>51</v>
      </c>
      <c r="F272" s="22" t="s">
        <v>64</v>
      </c>
      <c r="G272" s="22" t="s">
        <v>53</v>
      </c>
      <c r="H272" s="22" t="s">
        <v>30</v>
      </c>
      <c r="I272" s="22" t="s">
        <v>494</v>
      </c>
      <c r="J272" s="22" t="s">
        <v>64</v>
      </c>
      <c r="K272" s="519" t="s">
        <v>1340</v>
      </c>
      <c r="L272" s="521" t="s">
        <v>1359</v>
      </c>
      <c r="M272" s="521" t="s">
        <v>1360</v>
      </c>
      <c r="N272" s="521" t="s">
        <v>815</v>
      </c>
      <c r="O272" s="22" t="s">
        <v>495</v>
      </c>
      <c r="P272" s="426">
        <v>2019</v>
      </c>
      <c r="Q272" s="414">
        <f t="shared" ca="1" si="12"/>
        <v>1522565.7727726984</v>
      </c>
      <c r="R272" s="335" t="str">
        <f t="shared" ca="1" si="13"/>
        <v>N/A</v>
      </c>
      <c r="S272" s="335" t="str">
        <f t="shared" ca="1" si="14"/>
        <v>N/A</v>
      </c>
      <c r="T272" s="429" t="s">
        <v>899</v>
      </c>
      <c r="U272" s="22"/>
      <c r="V272" s="24"/>
      <c r="W272" s="21"/>
      <c r="Y272" s="490"/>
    </row>
    <row r="273" spans="1:25" ht="45">
      <c r="A273" s="31">
        <v>270</v>
      </c>
      <c r="B273" s="22" t="s">
        <v>39</v>
      </c>
      <c r="C273" s="22" t="s">
        <v>492</v>
      </c>
      <c r="D273" s="22" t="s">
        <v>493</v>
      </c>
      <c r="E273" s="23" t="s">
        <v>51</v>
      </c>
      <c r="F273" s="22" t="s">
        <v>65</v>
      </c>
      <c r="G273" s="22" t="s">
        <v>53</v>
      </c>
      <c r="H273" s="22" t="s">
        <v>30</v>
      </c>
      <c r="I273" s="22" t="s">
        <v>494</v>
      </c>
      <c r="J273" s="22" t="s">
        <v>65</v>
      </c>
      <c r="K273" s="519" t="s">
        <v>1340</v>
      </c>
      <c r="L273" s="521" t="s">
        <v>1361</v>
      </c>
      <c r="M273" s="521" t="s">
        <v>1362</v>
      </c>
      <c r="N273" s="521" t="s">
        <v>815</v>
      </c>
      <c r="O273" s="22" t="s">
        <v>495</v>
      </c>
      <c r="P273" s="426">
        <v>2019</v>
      </c>
      <c r="Q273" s="414">
        <f t="shared" ca="1" si="12"/>
        <v>223515.88543103979</v>
      </c>
      <c r="R273" s="335" t="str">
        <f t="shared" ca="1" si="13"/>
        <v>N/A</v>
      </c>
      <c r="S273" s="335" t="str">
        <f t="shared" ca="1" si="14"/>
        <v>N/A</v>
      </c>
      <c r="T273" s="429" t="s">
        <v>899</v>
      </c>
      <c r="U273" s="22" t="s">
        <v>49</v>
      </c>
      <c r="V273" s="24"/>
      <c r="W273" s="21"/>
      <c r="Y273" s="490"/>
    </row>
    <row r="274" spans="1:25" ht="45">
      <c r="A274" s="31">
        <v>271</v>
      </c>
      <c r="B274" s="22" t="s">
        <v>39</v>
      </c>
      <c r="C274" s="22" t="s">
        <v>492</v>
      </c>
      <c r="D274" s="22" t="s">
        <v>493</v>
      </c>
      <c r="E274" s="23" t="s">
        <v>51</v>
      </c>
      <c r="F274" s="22" t="s">
        <v>66</v>
      </c>
      <c r="G274" s="22" t="s">
        <v>53</v>
      </c>
      <c r="H274" s="22" t="s">
        <v>30</v>
      </c>
      <c r="I274" s="22" t="s">
        <v>494</v>
      </c>
      <c r="J274" s="22" t="s">
        <v>66</v>
      </c>
      <c r="K274" s="519" t="s">
        <v>1340</v>
      </c>
      <c r="L274" s="521" t="s">
        <v>1363</v>
      </c>
      <c r="M274" s="521" t="s">
        <v>1364</v>
      </c>
      <c r="N274" s="521" t="s">
        <v>815</v>
      </c>
      <c r="O274" s="22" t="s">
        <v>495</v>
      </c>
      <c r="P274" s="426">
        <v>2019</v>
      </c>
      <c r="Q274" s="414">
        <f t="shared" ca="1" si="12"/>
        <v>149033.92251357349</v>
      </c>
      <c r="R274" s="335" t="str">
        <f t="shared" ca="1" si="13"/>
        <v>N/A</v>
      </c>
      <c r="S274" s="335" t="str">
        <f t="shared" ca="1" si="14"/>
        <v>N/A</v>
      </c>
      <c r="T274" s="429" t="s">
        <v>899</v>
      </c>
      <c r="U274" s="22" t="s">
        <v>49</v>
      </c>
      <c r="V274" s="24"/>
      <c r="W274" s="21"/>
      <c r="Y274" s="490"/>
    </row>
    <row r="275" spans="1:25" ht="30">
      <c r="A275" s="31">
        <v>272</v>
      </c>
      <c r="B275" s="22" t="s">
        <v>39</v>
      </c>
      <c r="C275" s="22" t="s">
        <v>492</v>
      </c>
      <c r="D275" s="22" t="s">
        <v>496</v>
      </c>
      <c r="E275" s="23" t="s">
        <v>42</v>
      </c>
      <c r="F275" s="22" t="s">
        <v>43</v>
      </c>
      <c r="G275" s="22" t="s">
        <v>44</v>
      </c>
      <c r="H275" s="22" t="s">
        <v>30</v>
      </c>
      <c r="I275" s="22" t="s">
        <v>497</v>
      </c>
      <c r="J275" s="22" t="s">
        <v>46</v>
      </c>
      <c r="K275" s="519" t="s">
        <v>1340</v>
      </c>
      <c r="L275" s="521" t="s">
        <v>1365</v>
      </c>
      <c r="M275" s="521" t="s">
        <v>1366</v>
      </c>
      <c r="N275" s="521" t="s">
        <v>815</v>
      </c>
      <c r="O275" s="22" t="s">
        <v>495</v>
      </c>
      <c r="P275" s="426">
        <v>2019</v>
      </c>
      <c r="Q275" s="414">
        <f t="shared" ca="1" si="12"/>
        <v>199.25870333999731</v>
      </c>
      <c r="R275" s="335" t="str">
        <f t="shared" ca="1" si="13"/>
        <v>N/A</v>
      </c>
      <c r="S275" s="335" t="str">
        <f t="shared" ca="1" si="14"/>
        <v>N/A</v>
      </c>
      <c r="T275" s="429" t="s">
        <v>48</v>
      </c>
      <c r="U275" s="22"/>
      <c r="V275" s="24"/>
      <c r="W275" s="21"/>
      <c r="Y275" s="490"/>
    </row>
    <row r="276" spans="1:25" ht="75">
      <c r="A276" s="31">
        <v>273</v>
      </c>
      <c r="B276" s="22" t="s">
        <v>39</v>
      </c>
      <c r="C276" s="22" t="s">
        <v>492</v>
      </c>
      <c r="D276" s="22" t="s">
        <v>498</v>
      </c>
      <c r="E276" s="23" t="s">
        <v>499</v>
      </c>
      <c r="F276" s="22" t="s">
        <v>142</v>
      </c>
      <c r="G276" s="22" t="s">
        <v>143</v>
      </c>
      <c r="H276" s="22" t="s">
        <v>30</v>
      </c>
      <c r="I276" s="22" t="s">
        <v>500</v>
      </c>
      <c r="J276" s="22" t="s">
        <v>501</v>
      </c>
      <c r="K276" s="519" t="s">
        <v>1340</v>
      </c>
      <c r="L276" s="521" t="s">
        <v>1367</v>
      </c>
      <c r="M276" s="521" t="s">
        <v>1368</v>
      </c>
      <c r="N276" s="521" t="s">
        <v>885</v>
      </c>
      <c r="O276" s="22" t="s">
        <v>495</v>
      </c>
      <c r="P276" s="426">
        <v>2019</v>
      </c>
      <c r="Q276" s="533">
        <f t="shared" ca="1" si="12"/>
        <v>0</v>
      </c>
      <c r="R276" s="335">
        <f t="shared" ca="1" si="13"/>
        <v>0</v>
      </c>
      <c r="S276" s="335">
        <f t="shared" ca="1" si="14"/>
        <v>0</v>
      </c>
      <c r="T276" s="429" t="s">
        <v>502</v>
      </c>
      <c r="U276" s="22" t="s">
        <v>246</v>
      </c>
      <c r="V276" s="24"/>
      <c r="W276" s="21"/>
      <c r="Y276" s="490"/>
    </row>
    <row r="277" spans="1:25" ht="75">
      <c r="A277" s="31">
        <v>274</v>
      </c>
      <c r="B277" s="22" t="s">
        <v>39</v>
      </c>
      <c r="C277" s="22" t="s">
        <v>492</v>
      </c>
      <c r="D277" s="22" t="s">
        <v>498</v>
      </c>
      <c r="E277" s="23" t="s">
        <v>499</v>
      </c>
      <c r="F277" s="22" t="s">
        <v>142</v>
      </c>
      <c r="G277" s="22" t="s">
        <v>143</v>
      </c>
      <c r="H277" s="22" t="s">
        <v>30</v>
      </c>
      <c r="I277" s="22" t="s">
        <v>503</v>
      </c>
      <c r="J277" s="22" t="s">
        <v>504</v>
      </c>
      <c r="K277" s="519" t="s">
        <v>1340</v>
      </c>
      <c r="L277" s="521" t="s">
        <v>1369</v>
      </c>
      <c r="M277" s="521" t="s">
        <v>1370</v>
      </c>
      <c r="N277" s="521" t="s">
        <v>885</v>
      </c>
      <c r="O277" s="22" t="s">
        <v>495</v>
      </c>
      <c r="P277" s="426">
        <v>2019</v>
      </c>
      <c r="Q277" s="533">
        <f t="shared" ca="1" si="12"/>
        <v>4.9019607843137254E-3</v>
      </c>
      <c r="R277" s="335">
        <f t="shared" ca="1" si="13"/>
        <v>0</v>
      </c>
      <c r="S277" s="335">
        <f t="shared" ca="1" si="14"/>
        <v>0</v>
      </c>
      <c r="T277" s="429" t="s">
        <v>502</v>
      </c>
      <c r="U277" s="22" t="s">
        <v>246</v>
      </c>
      <c r="V277" s="24"/>
      <c r="W277" s="21"/>
      <c r="Y277" s="490"/>
    </row>
    <row r="278" spans="1:25" ht="75">
      <c r="A278" s="31">
        <v>275</v>
      </c>
      <c r="B278" s="22" t="s">
        <v>39</v>
      </c>
      <c r="C278" s="22" t="s">
        <v>492</v>
      </c>
      <c r="D278" s="22" t="s">
        <v>498</v>
      </c>
      <c r="E278" s="23" t="s">
        <v>499</v>
      </c>
      <c r="F278" s="22" t="s">
        <v>142</v>
      </c>
      <c r="G278" s="22" t="s">
        <v>143</v>
      </c>
      <c r="H278" s="22" t="s">
        <v>30</v>
      </c>
      <c r="I278" s="22" t="s">
        <v>505</v>
      </c>
      <c r="J278" s="22" t="s">
        <v>506</v>
      </c>
      <c r="K278" s="519" t="s">
        <v>1340</v>
      </c>
      <c r="L278" s="521" t="s">
        <v>1371</v>
      </c>
      <c r="M278" s="521" t="s">
        <v>1372</v>
      </c>
      <c r="N278" s="521" t="s">
        <v>885</v>
      </c>
      <c r="O278" s="22" t="s">
        <v>495</v>
      </c>
      <c r="P278" s="426">
        <v>2019</v>
      </c>
      <c r="Q278" s="533">
        <f t="shared" ca="1" si="12"/>
        <v>1.2432656444260257E-3</v>
      </c>
      <c r="R278" s="335">
        <f t="shared" ca="1" si="13"/>
        <v>0</v>
      </c>
      <c r="S278" s="335">
        <f t="shared" ca="1" si="14"/>
        <v>0</v>
      </c>
      <c r="T278" s="429" t="s">
        <v>502</v>
      </c>
      <c r="U278" s="22" t="s">
        <v>246</v>
      </c>
      <c r="V278" s="24"/>
      <c r="W278" s="21"/>
      <c r="Y278" s="490"/>
    </row>
    <row r="279" spans="1:25" ht="30">
      <c r="A279" s="31">
        <v>276</v>
      </c>
      <c r="B279" s="22" t="s">
        <v>39</v>
      </c>
      <c r="C279" s="22" t="s">
        <v>492</v>
      </c>
      <c r="D279" s="22" t="s">
        <v>507</v>
      </c>
      <c r="E279" s="23" t="s">
        <v>91</v>
      </c>
      <c r="F279" s="22" t="s">
        <v>92</v>
      </c>
      <c r="G279" s="22" t="s">
        <v>93</v>
      </c>
      <c r="H279" s="22" t="s">
        <v>30</v>
      </c>
      <c r="I279" s="22" t="s">
        <v>508</v>
      </c>
      <c r="J279" s="22" t="s">
        <v>92</v>
      </c>
      <c r="K279" s="519" t="s">
        <v>1340</v>
      </c>
      <c r="L279" s="521" t="s">
        <v>1373</v>
      </c>
      <c r="M279" s="521" t="s">
        <v>1374</v>
      </c>
      <c r="N279" s="521" t="s">
        <v>885</v>
      </c>
      <c r="O279" s="22" t="s">
        <v>495</v>
      </c>
      <c r="P279" s="426">
        <v>2019</v>
      </c>
      <c r="Q279" s="414">
        <f t="shared" ca="1" si="12"/>
        <v>15387.456834716677</v>
      </c>
      <c r="R279" s="335">
        <f t="shared" ca="1" si="13"/>
        <v>0</v>
      </c>
      <c r="S279" s="335">
        <f t="shared" ca="1" si="14"/>
        <v>0</v>
      </c>
      <c r="T279" s="429"/>
      <c r="U279" s="22"/>
      <c r="V279" s="24"/>
      <c r="W279" s="21"/>
      <c r="Y279" s="490"/>
    </row>
    <row r="280" spans="1:25" ht="30">
      <c r="A280" s="31">
        <v>277</v>
      </c>
      <c r="B280" s="22" t="s">
        <v>39</v>
      </c>
      <c r="C280" s="22" t="s">
        <v>492</v>
      </c>
      <c r="D280" s="22" t="s">
        <v>507</v>
      </c>
      <c r="E280" s="23" t="s">
        <v>91</v>
      </c>
      <c r="F280" s="22" t="s">
        <v>95</v>
      </c>
      <c r="G280" s="22" t="s">
        <v>93</v>
      </c>
      <c r="H280" s="22" t="s">
        <v>30</v>
      </c>
      <c r="I280" s="22" t="s">
        <v>508</v>
      </c>
      <c r="J280" s="22" t="s">
        <v>95</v>
      </c>
      <c r="K280" s="519" t="s">
        <v>1340</v>
      </c>
      <c r="L280" s="521" t="s">
        <v>1375</v>
      </c>
      <c r="M280" s="521" t="s">
        <v>1376</v>
      </c>
      <c r="N280" s="521" t="s">
        <v>885</v>
      </c>
      <c r="O280" s="22" t="s">
        <v>495</v>
      </c>
      <c r="P280" s="426">
        <v>2019</v>
      </c>
      <c r="Q280" s="414">
        <f t="shared" ca="1" si="12"/>
        <v>0.12480674629784042</v>
      </c>
      <c r="R280" s="335">
        <f t="shared" ca="1" si="13"/>
        <v>0</v>
      </c>
      <c r="S280" s="335">
        <f t="shared" ca="1" si="14"/>
        <v>0</v>
      </c>
      <c r="T280" s="429"/>
      <c r="U280" s="22"/>
      <c r="V280" s="24"/>
      <c r="W280" s="21"/>
      <c r="Y280" s="490"/>
    </row>
    <row r="281" spans="1:25" ht="30">
      <c r="A281" s="31">
        <v>278</v>
      </c>
      <c r="B281" s="22" t="s">
        <v>39</v>
      </c>
      <c r="C281" s="22" t="s">
        <v>492</v>
      </c>
      <c r="D281" s="22" t="s">
        <v>507</v>
      </c>
      <c r="E281" s="23" t="s">
        <v>91</v>
      </c>
      <c r="F281" s="22" t="s">
        <v>96</v>
      </c>
      <c r="G281" s="22" t="s">
        <v>93</v>
      </c>
      <c r="H281" s="22" t="s">
        <v>30</v>
      </c>
      <c r="I281" s="22" t="s">
        <v>508</v>
      </c>
      <c r="J281" s="22" t="s">
        <v>96</v>
      </c>
      <c r="K281" s="519" t="s">
        <v>1340</v>
      </c>
      <c r="L281" s="521" t="s">
        <v>1377</v>
      </c>
      <c r="M281" s="521" t="s">
        <v>1378</v>
      </c>
      <c r="N281" s="521" t="s">
        <v>885</v>
      </c>
      <c r="O281" s="22" t="s">
        <v>495</v>
      </c>
      <c r="P281" s="426">
        <v>2019</v>
      </c>
      <c r="Q281" s="414">
        <f t="shared" ca="1" si="12"/>
        <v>1.7285575259055532</v>
      </c>
      <c r="R281" s="335">
        <f t="shared" ca="1" si="13"/>
        <v>0</v>
      </c>
      <c r="S281" s="335">
        <f t="shared" ca="1" si="14"/>
        <v>0</v>
      </c>
      <c r="T281" s="429" t="s">
        <v>48</v>
      </c>
      <c r="U281" s="22" t="s">
        <v>49</v>
      </c>
      <c r="V281" s="24"/>
      <c r="W281" s="21"/>
      <c r="Y281" s="490"/>
    </row>
    <row r="282" spans="1:25" ht="30">
      <c r="A282" s="31">
        <v>279</v>
      </c>
      <c r="B282" s="22" t="s">
        <v>39</v>
      </c>
      <c r="C282" s="22" t="s">
        <v>492</v>
      </c>
      <c r="D282" s="22" t="s">
        <v>507</v>
      </c>
      <c r="E282" s="23" t="s">
        <v>91</v>
      </c>
      <c r="F282" s="22" t="s">
        <v>97</v>
      </c>
      <c r="G282" s="22" t="s">
        <v>93</v>
      </c>
      <c r="H282" s="22" t="s">
        <v>30</v>
      </c>
      <c r="I282" s="22" t="s">
        <v>508</v>
      </c>
      <c r="J282" s="22" t="s">
        <v>97</v>
      </c>
      <c r="K282" s="519" t="s">
        <v>1340</v>
      </c>
      <c r="L282" s="521" t="s">
        <v>1379</v>
      </c>
      <c r="M282" s="521" t="s">
        <v>1380</v>
      </c>
      <c r="N282" s="521" t="s">
        <v>885</v>
      </c>
      <c r="O282" s="22" t="s">
        <v>495</v>
      </c>
      <c r="P282" s="426">
        <v>2019</v>
      </c>
      <c r="Q282" s="414">
        <f t="shared" ca="1" si="12"/>
        <v>16855.870276583322</v>
      </c>
      <c r="R282" s="335">
        <f t="shared" ca="1" si="13"/>
        <v>0</v>
      </c>
      <c r="S282" s="335">
        <f t="shared" ca="1" si="14"/>
        <v>0</v>
      </c>
      <c r="T282" s="429"/>
      <c r="U282" s="22"/>
      <c r="V282" s="24"/>
      <c r="W282" s="21"/>
      <c r="Y282" s="490"/>
    </row>
    <row r="283" spans="1:25" ht="30">
      <c r="A283" s="31">
        <v>280</v>
      </c>
      <c r="B283" s="22" t="s">
        <v>39</v>
      </c>
      <c r="C283" s="22" t="s">
        <v>492</v>
      </c>
      <c r="D283" s="22" t="s">
        <v>507</v>
      </c>
      <c r="E283" s="23" t="s">
        <v>91</v>
      </c>
      <c r="F283" s="22" t="s">
        <v>98</v>
      </c>
      <c r="G283" s="22" t="s">
        <v>93</v>
      </c>
      <c r="H283" s="22" t="s">
        <v>30</v>
      </c>
      <c r="I283" s="22" t="s">
        <v>508</v>
      </c>
      <c r="J283" s="22" t="s">
        <v>98</v>
      </c>
      <c r="K283" s="519" t="s">
        <v>1340</v>
      </c>
      <c r="L283" s="521" t="s">
        <v>1381</v>
      </c>
      <c r="M283" s="521" t="s">
        <v>1382</v>
      </c>
      <c r="N283" s="521" t="s">
        <v>885</v>
      </c>
      <c r="O283" s="22" t="s">
        <v>495</v>
      </c>
      <c r="P283" s="426">
        <v>2019</v>
      </c>
      <c r="Q283" s="414">
        <f t="shared" ca="1" si="12"/>
        <v>0.13671696030317923</v>
      </c>
      <c r="R283" s="335">
        <f t="shared" ca="1" si="13"/>
        <v>0</v>
      </c>
      <c r="S283" s="335">
        <f t="shared" ca="1" si="14"/>
        <v>0</v>
      </c>
      <c r="T283" s="429"/>
      <c r="U283" s="22"/>
      <c r="V283" s="24"/>
      <c r="W283" s="21"/>
      <c r="Y283" s="490"/>
    </row>
    <row r="284" spans="1:25" ht="30">
      <c r="A284" s="31">
        <v>281</v>
      </c>
      <c r="B284" s="22" t="s">
        <v>39</v>
      </c>
      <c r="C284" s="22" t="s">
        <v>492</v>
      </c>
      <c r="D284" s="22" t="s">
        <v>507</v>
      </c>
      <c r="E284" s="23" t="s">
        <v>91</v>
      </c>
      <c r="F284" s="22" t="s">
        <v>99</v>
      </c>
      <c r="G284" s="22" t="s">
        <v>93</v>
      </c>
      <c r="H284" s="22" t="s">
        <v>30</v>
      </c>
      <c r="I284" s="22" t="s">
        <v>508</v>
      </c>
      <c r="J284" s="22" t="s">
        <v>99</v>
      </c>
      <c r="K284" s="519" t="s">
        <v>1340</v>
      </c>
      <c r="L284" s="521" t="s">
        <v>1383</v>
      </c>
      <c r="M284" s="521" t="s">
        <v>1384</v>
      </c>
      <c r="N284" s="521" t="s">
        <v>885</v>
      </c>
      <c r="O284" s="22" t="s">
        <v>495</v>
      </c>
      <c r="P284" s="426">
        <v>2019</v>
      </c>
      <c r="Q284" s="414">
        <f t="shared" ca="1" si="12"/>
        <v>1.8935124715696592</v>
      </c>
      <c r="R284" s="335">
        <f t="shared" ca="1" si="13"/>
        <v>0</v>
      </c>
      <c r="S284" s="335">
        <f t="shared" ca="1" si="14"/>
        <v>0</v>
      </c>
      <c r="T284" s="429" t="s">
        <v>48</v>
      </c>
      <c r="U284" s="22" t="s">
        <v>49</v>
      </c>
      <c r="V284" s="24"/>
      <c r="W284" s="21"/>
      <c r="Y284" s="490"/>
    </row>
    <row r="285" spans="1:25" s="13" customFormat="1" ht="60">
      <c r="A285" s="31">
        <v>282</v>
      </c>
      <c r="B285" s="22" t="s">
        <v>39</v>
      </c>
      <c r="C285" s="22" t="s">
        <v>509</v>
      </c>
      <c r="D285" s="22" t="s">
        <v>510</v>
      </c>
      <c r="E285" s="23" t="s">
        <v>51</v>
      </c>
      <c r="F285" s="22" t="s">
        <v>511</v>
      </c>
      <c r="G285" s="22" t="s">
        <v>53</v>
      </c>
      <c r="H285" s="22" t="s">
        <v>30</v>
      </c>
      <c r="I285" s="22" t="s">
        <v>512</v>
      </c>
      <c r="J285" s="22" t="s">
        <v>513</v>
      </c>
      <c r="K285" s="519" t="s">
        <v>1385</v>
      </c>
      <c r="L285" s="521" t="s">
        <v>1386</v>
      </c>
      <c r="M285" s="521" t="s">
        <v>1387</v>
      </c>
      <c r="N285" s="521" t="s">
        <v>815</v>
      </c>
      <c r="O285" s="22" t="s">
        <v>514</v>
      </c>
      <c r="P285" s="426">
        <v>2019</v>
      </c>
      <c r="Q285" s="414">
        <f t="shared" ca="1" si="12"/>
        <v>0</v>
      </c>
      <c r="R285" s="335" t="str">
        <f t="shared" ca="1" si="13"/>
        <v>N/A</v>
      </c>
      <c r="S285" s="335" t="str">
        <f t="shared" ca="1" si="14"/>
        <v>N/A</v>
      </c>
      <c r="T285" s="429" t="s">
        <v>515</v>
      </c>
      <c r="U285" s="22" t="s">
        <v>516</v>
      </c>
      <c r="V285" s="24"/>
      <c r="W285" s="21"/>
      <c r="X285" s="427"/>
      <c r="Y285" s="490"/>
    </row>
    <row r="286" spans="1:25" s="13" customFormat="1" ht="60">
      <c r="A286" s="31">
        <v>283</v>
      </c>
      <c r="B286" s="22" t="s">
        <v>39</v>
      </c>
      <c r="C286" s="22" t="s">
        <v>509</v>
      </c>
      <c r="D286" s="22" t="s">
        <v>510</v>
      </c>
      <c r="E286" s="23" t="s">
        <v>51</v>
      </c>
      <c r="F286" s="22" t="s">
        <v>517</v>
      </c>
      <c r="G286" s="22" t="s">
        <v>53</v>
      </c>
      <c r="H286" s="22" t="s">
        <v>30</v>
      </c>
      <c r="I286" s="22" t="s">
        <v>512</v>
      </c>
      <c r="J286" s="22" t="s">
        <v>518</v>
      </c>
      <c r="K286" s="519" t="s">
        <v>1385</v>
      </c>
      <c r="L286" s="521" t="s">
        <v>1388</v>
      </c>
      <c r="M286" s="521" t="s">
        <v>1389</v>
      </c>
      <c r="N286" s="521" t="s">
        <v>815</v>
      </c>
      <c r="O286" s="22" t="s">
        <v>514</v>
      </c>
      <c r="P286" s="426">
        <v>2019</v>
      </c>
      <c r="Q286" s="414">
        <f t="shared" ca="1" si="12"/>
        <v>0</v>
      </c>
      <c r="R286" s="335" t="str">
        <f t="shared" ca="1" si="13"/>
        <v>N/A</v>
      </c>
      <c r="S286" s="335" t="str">
        <f t="shared" ca="1" si="14"/>
        <v>N/A</v>
      </c>
      <c r="T286" s="429" t="s">
        <v>515</v>
      </c>
      <c r="U286" s="22" t="s">
        <v>519</v>
      </c>
      <c r="V286" s="24"/>
      <c r="W286" s="21"/>
      <c r="X286" s="427"/>
      <c r="Y286" s="490"/>
    </row>
    <row r="287" spans="1:25" s="13" customFormat="1" ht="60">
      <c r="A287" s="31">
        <v>284</v>
      </c>
      <c r="B287" s="22" t="s">
        <v>39</v>
      </c>
      <c r="C287" s="22" t="s">
        <v>509</v>
      </c>
      <c r="D287" s="22" t="s">
        <v>510</v>
      </c>
      <c r="E287" s="23" t="s">
        <v>51</v>
      </c>
      <c r="F287" s="22" t="s">
        <v>520</v>
      </c>
      <c r="G287" s="22" t="s">
        <v>53</v>
      </c>
      <c r="H287" s="22" t="s">
        <v>30</v>
      </c>
      <c r="I287" s="22" t="s">
        <v>512</v>
      </c>
      <c r="J287" s="22" t="s">
        <v>521</v>
      </c>
      <c r="K287" s="519" t="s">
        <v>1385</v>
      </c>
      <c r="L287" s="521" t="s">
        <v>1390</v>
      </c>
      <c r="M287" s="521" t="s">
        <v>1391</v>
      </c>
      <c r="N287" s="521" t="s">
        <v>815</v>
      </c>
      <c r="O287" s="22" t="s">
        <v>514</v>
      </c>
      <c r="P287" s="426">
        <v>2019</v>
      </c>
      <c r="Q287" s="414">
        <f t="shared" ca="1" si="12"/>
        <v>0</v>
      </c>
      <c r="R287" s="335" t="str">
        <f t="shared" ca="1" si="13"/>
        <v>N/A</v>
      </c>
      <c r="S287" s="335" t="str">
        <f t="shared" ca="1" si="14"/>
        <v>N/A</v>
      </c>
      <c r="T287" s="429" t="s">
        <v>515</v>
      </c>
      <c r="U287" s="22" t="s">
        <v>516</v>
      </c>
      <c r="V287" s="24"/>
      <c r="W287" s="21"/>
      <c r="X287" s="427"/>
      <c r="Y287" s="490"/>
    </row>
    <row r="288" spans="1:25" s="13" customFormat="1" ht="45">
      <c r="A288" s="31">
        <v>285</v>
      </c>
      <c r="B288" s="22" t="s">
        <v>39</v>
      </c>
      <c r="C288" s="22" t="s">
        <v>509</v>
      </c>
      <c r="D288" s="22" t="s">
        <v>522</v>
      </c>
      <c r="E288" s="23">
        <v>1</v>
      </c>
      <c r="F288" s="22" t="s">
        <v>523</v>
      </c>
      <c r="G288" s="22" t="s">
        <v>524</v>
      </c>
      <c r="H288" s="22" t="s">
        <v>30</v>
      </c>
      <c r="I288" s="22" t="s">
        <v>525</v>
      </c>
      <c r="J288" s="22" t="s">
        <v>525</v>
      </c>
      <c r="K288" s="519" t="s">
        <v>1385</v>
      </c>
      <c r="L288" s="521" t="s">
        <v>1392</v>
      </c>
      <c r="M288" s="521" t="s">
        <v>1393</v>
      </c>
      <c r="N288" s="521" t="s">
        <v>815</v>
      </c>
      <c r="O288" s="22" t="s">
        <v>514</v>
      </c>
      <c r="P288" s="426">
        <v>2019</v>
      </c>
      <c r="Q288" s="414">
        <f t="shared" ca="1" si="12"/>
        <v>0</v>
      </c>
      <c r="R288" s="335" t="str">
        <f t="shared" ca="1" si="13"/>
        <v>N/A</v>
      </c>
      <c r="S288" s="335" t="str">
        <f t="shared" ca="1" si="14"/>
        <v>N/A</v>
      </c>
      <c r="T288" s="429" t="s">
        <v>526</v>
      </c>
      <c r="U288" s="22" t="s">
        <v>527</v>
      </c>
      <c r="V288" s="24"/>
      <c r="W288" s="21"/>
      <c r="X288" s="427"/>
      <c r="Y288" s="490"/>
    </row>
    <row r="289" spans="1:25" s="13" customFormat="1" ht="45">
      <c r="A289" s="31">
        <v>286</v>
      </c>
      <c r="B289" s="22" t="s">
        <v>39</v>
      </c>
      <c r="C289" s="22" t="s">
        <v>509</v>
      </c>
      <c r="D289" s="22" t="s">
        <v>522</v>
      </c>
      <c r="E289" s="23">
        <v>2</v>
      </c>
      <c r="F289" s="22" t="s">
        <v>523</v>
      </c>
      <c r="G289" s="22" t="s">
        <v>524</v>
      </c>
      <c r="H289" s="22" t="s">
        <v>30</v>
      </c>
      <c r="I289" s="22" t="s">
        <v>528</v>
      </c>
      <c r="J289" s="22" t="s">
        <v>528</v>
      </c>
      <c r="K289" s="519" t="s">
        <v>1385</v>
      </c>
      <c r="L289" s="521" t="s">
        <v>1394</v>
      </c>
      <c r="M289" s="521" t="s">
        <v>1395</v>
      </c>
      <c r="N289" s="521" t="s">
        <v>815</v>
      </c>
      <c r="O289" s="22" t="s">
        <v>514</v>
      </c>
      <c r="P289" s="426">
        <v>2019</v>
      </c>
      <c r="Q289" s="414">
        <f t="shared" ca="1" si="12"/>
        <v>0</v>
      </c>
      <c r="R289" s="335" t="str">
        <f t="shared" ca="1" si="13"/>
        <v>N/A</v>
      </c>
      <c r="S289" s="335" t="str">
        <f t="shared" ca="1" si="14"/>
        <v>N/A</v>
      </c>
      <c r="T289" s="429" t="s">
        <v>529</v>
      </c>
      <c r="U289" s="22" t="s">
        <v>527</v>
      </c>
      <c r="V289" s="24"/>
      <c r="W289" s="21"/>
      <c r="X289" s="427"/>
      <c r="Y289" s="490"/>
    </row>
    <row r="290" spans="1:25" s="13" customFormat="1" ht="45">
      <c r="A290" s="31">
        <v>287</v>
      </c>
      <c r="B290" s="22" t="s">
        <v>39</v>
      </c>
      <c r="C290" s="22" t="s">
        <v>509</v>
      </c>
      <c r="D290" s="22" t="s">
        <v>530</v>
      </c>
      <c r="E290" s="23">
        <v>1</v>
      </c>
      <c r="F290" s="22" t="s">
        <v>523</v>
      </c>
      <c r="G290" s="22" t="s">
        <v>531</v>
      </c>
      <c r="H290" s="22" t="s">
        <v>30</v>
      </c>
      <c r="I290" s="22" t="s">
        <v>532</v>
      </c>
      <c r="J290" s="22" t="s">
        <v>532</v>
      </c>
      <c r="K290" s="519" t="s">
        <v>1385</v>
      </c>
      <c r="L290" s="521" t="s">
        <v>1396</v>
      </c>
      <c r="M290" s="521" t="s">
        <v>1397</v>
      </c>
      <c r="N290" s="521" t="s">
        <v>815</v>
      </c>
      <c r="O290" s="22" t="s">
        <v>514</v>
      </c>
      <c r="P290" s="426">
        <v>2019</v>
      </c>
      <c r="Q290" s="414">
        <f t="shared" ca="1" si="12"/>
        <v>0</v>
      </c>
      <c r="R290" s="335" t="str">
        <f t="shared" ca="1" si="13"/>
        <v>N/A</v>
      </c>
      <c r="S290" s="335" t="str">
        <f t="shared" ca="1" si="14"/>
        <v>N/A</v>
      </c>
      <c r="T290" s="429" t="s">
        <v>533</v>
      </c>
      <c r="U290" s="22" t="s">
        <v>534</v>
      </c>
      <c r="V290" s="24"/>
      <c r="W290" s="21"/>
      <c r="X290" s="427"/>
      <c r="Y290" s="490"/>
    </row>
    <row r="291" spans="1:25" ht="30">
      <c r="A291" s="31">
        <v>288</v>
      </c>
      <c r="B291" s="22" t="s">
        <v>39</v>
      </c>
      <c r="C291" s="22" t="s">
        <v>509</v>
      </c>
      <c r="D291" s="22" t="s">
        <v>530</v>
      </c>
      <c r="E291" s="23">
        <v>2</v>
      </c>
      <c r="F291" s="22" t="s">
        <v>523</v>
      </c>
      <c r="G291" s="22" t="s">
        <v>531</v>
      </c>
      <c r="H291" s="22" t="s">
        <v>30</v>
      </c>
      <c r="I291" s="22" t="s">
        <v>535</v>
      </c>
      <c r="J291" s="22" t="s">
        <v>535</v>
      </c>
      <c r="K291" s="519" t="s">
        <v>1385</v>
      </c>
      <c r="L291" s="521" t="s">
        <v>1398</v>
      </c>
      <c r="M291" s="521" t="s">
        <v>1399</v>
      </c>
      <c r="N291" s="521" t="s">
        <v>815</v>
      </c>
      <c r="O291" s="22" t="s">
        <v>514</v>
      </c>
      <c r="P291" s="426">
        <v>2019</v>
      </c>
      <c r="Q291" s="414">
        <f t="shared" ca="1" si="12"/>
        <v>0</v>
      </c>
      <c r="R291" s="335" t="str">
        <f t="shared" ca="1" si="13"/>
        <v>N/A</v>
      </c>
      <c r="S291" s="335" t="str">
        <f t="shared" ca="1" si="14"/>
        <v>N/A</v>
      </c>
      <c r="T291" s="429" t="s">
        <v>529</v>
      </c>
      <c r="U291" s="22" t="s">
        <v>536</v>
      </c>
      <c r="V291" s="24"/>
      <c r="W291" s="21"/>
      <c r="Y291" s="490"/>
    </row>
    <row r="292" spans="1:25" ht="45">
      <c r="A292" s="31">
        <v>289</v>
      </c>
      <c r="B292" s="22" t="s">
        <v>39</v>
      </c>
      <c r="C292" s="22" t="s">
        <v>509</v>
      </c>
      <c r="D292" s="22" t="s">
        <v>537</v>
      </c>
      <c r="E292" s="23">
        <v>1</v>
      </c>
      <c r="F292" s="22" t="s">
        <v>523</v>
      </c>
      <c r="G292" s="22" t="s">
        <v>538</v>
      </c>
      <c r="H292" s="22" t="s">
        <v>30</v>
      </c>
      <c r="I292" s="22" t="s">
        <v>539</v>
      </c>
      <c r="J292" s="22" t="s">
        <v>539</v>
      </c>
      <c r="K292" s="519" t="s">
        <v>1385</v>
      </c>
      <c r="L292" s="521" t="s">
        <v>1400</v>
      </c>
      <c r="M292" s="521" t="s">
        <v>1401</v>
      </c>
      <c r="N292" s="521" t="s">
        <v>815</v>
      </c>
      <c r="O292" s="22" t="s">
        <v>514</v>
      </c>
      <c r="P292" s="426">
        <v>2019</v>
      </c>
      <c r="Q292" s="414">
        <f t="shared" ca="1" si="12"/>
        <v>0</v>
      </c>
      <c r="R292" s="335" t="str">
        <f t="shared" ca="1" si="13"/>
        <v>N/A</v>
      </c>
      <c r="S292" s="335" t="str">
        <f t="shared" ca="1" si="14"/>
        <v>N/A</v>
      </c>
      <c r="T292" s="429" t="s">
        <v>540</v>
      </c>
      <c r="U292" s="22" t="s">
        <v>541</v>
      </c>
      <c r="V292" s="24"/>
      <c r="W292" s="21"/>
      <c r="Y292" s="490"/>
    </row>
    <row r="293" spans="1:25" ht="45">
      <c r="A293" s="31">
        <v>290</v>
      </c>
      <c r="B293" s="22" t="s">
        <v>39</v>
      </c>
      <c r="C293" s="22" t="s">
        <v>509</v>
      </c>
      <c r="D293" s="22" t="s">
        <v>537</v>
      </c>
      <c r="E293" s="23">
        <v>2</v>
      </c>
      <c r="F293" s="22" t="s">
        <v>523</v>
      </c>
      <c r="G293" s="22" t="s">
        <v>538</v>
      </c>
      <c r="H293" s="22" t="s">
        <v>30</v>
      </c>
      <c r="I293" s="22" t="s">
        <v>542</v>
      </c>
      <c r="J293" s="22" t="s">
        <v>542</v>
      </c>
      <c r="K293" s="519" t="s">
        <v>1385</v>
      </c>
      <c r="L293" s="521" t="s">
        <v>1402</v>
      </c>
      <c r="M293" s="521" t="s">
        <v>1403</v>
      </c>
      <c r="N293" s="521" t="s">
        <v>815</v>
      </c>
      <c r="O293" s="22" t="s">
        <v>514</v>
      </c>
      <c r="P293" s="426">
        <v>2019</v>
      </c>
      <c r="Q293" s="414">
        <f t="shared" ca="1" si="12"/>
        <v>0</v>
      </c>
      <c r="R293" s="335" t="str">
        <f t="shared" ca="1" si="13"/>
        <v>N/A</v>
      </c>
      <c r="S293" s="335" t="str">
        <f t="shared" ca="1" si="14"/>
        <v>N/A</v>
      </c>
      <c r="T293" s="429" t="s">
        <v>543</v>
      </c>
      <c r="U293" s="22" t="s">
        <v>544</v>
      </c>
      <c r="V293" s="24"/>
      <c r="W293" s="21"/>
      <c r="Y293" s="490"/>
    </row>
    <row r="294" spans="1:25" ht="75">
      <c r="A294" s="31">
        <v>291</v>
      </c>
      <c r="B294" s="22" t="s">
        <v>39</v>
      </c>
      <c r="C294" s="22" t="s">
        <v>509</v>
      </c>
      <c r="D294" s="22" t="s">
        <v>545</v>
      </c>
      <c r="E294" s="23">
        <v>1</v>
      </c>
      <c r="F294" s="22" t="s">
        <v>523</v>
      </c>
      <c r="G294" s="22" t="s">
        <v>546</v>
      </c>
      <c r="H294" s="22" t="s">
        <v>30</v>
      </c>
      <c r="I294" s="22" t="s">
        <v>547</v>
      </c>
      <c r="J294" s="22" t="s">
        <v>547</v>
      </c>
      <c r="K294" s="519" t="s">
        <v>1385</v>
      </c>
      <c r="L294" s="521" t="s">
        <v>1404</v>
      </c>
      <c r="M294" s="521" t="s">
        <v>1405</v>
      </c>
      <c r="N294" s="521" t="s">
        <v>815</v>
      </c>
      <c r="O294" s="22" t="s">
        <v>514</v>
      </c>
      <c r="P294" s="426">
        <v>2019</v>
      </c>
      <c r="Q294" s="414">
        <f t="shared" ca="1" si="12"/>
        <v>0</v>
      </c>
      <c r="R294" s="335" t="str">
        <f t="shared" ca="1" si="13"/>
        <v>N/A</v>
      </c>
      <c r="S294" s="335" t="str">
        <f t="shared" ca="1" si="14"/>
        <v>N/A</v>
      </c>
      <c r="T294" s="429" t="s">
        <v>548</v>
      </c>
      <c r="U294" s="22" t="s">
        <v>549</v>
      </c>
      <c r="V294" s="24"/>
      <c r="W294" s="21"/>
      <c r="Y294" s="490"/>
    </row>
    <row r="295" spans="1:25" ht="105">
      <c r="A295" s="31">
        <v>292</v>
      </c>
      <c r="B295" s="22" t="s">
        <v>39</v>
      </c>
      <c r="C295" s="22" t="s">
        <v>550</v>
      </c>
      <c r="D295" s="22" t="s">
        <v>551</v>
      </c>
      <c r="E295" s="23">
        <v>1</v>
      </c>
      <c r="F295" s="22" t="s">
        <v>523</v>
      </c>
      <c r="G295" s="22" t="s">
        <v>552</v>
      </c>
      <c r="H295" s="22" t="s">
        <v>30</v>
      </c>
      <c r="I295" s="22" t="s">
        <v>553</v>
      </c>
      <c r="J295" s="22" t="s">
        <v>553</v>
      </c>
      <c r="K295" s="519" t="s">
        <v>1385</v>
      </c>
      <c r="L295" s="521" t="s">
        <v>1406</v>
      </c>
      <c r="M295" s="521" t="s">
        <v>1407</v>
      </c>
      <c r="N295" s="521" t="s">
        <v>815</v>
      </c>
      <c r="O295" s="22" t="s">
        <v>514</v>
      </c>
      <c r="P295" s="426">
        <v>2019</v>
      </c>
      <c r="Q295" s="414">
        <f t="shared" ca="1" si="12"/>
        <v>0</v>
      </c>
      <c r="R295" s="335" t="str">
        <f t="shared" ca="1" si="13"/>
        <v>N/A</v>
      </c>
      <c r="S295" s="335" t="str">
        <f t="shared" ca="1" si="14"/>
        <v>N/A</v>
      </c>
      <c r="T295" s="429" t="s">
        <v>554</v>
      </c>
      <c r="U295" s="22" t="s">
        <v>555</v>
      </c>
      <c r="V295" s="24"/>
      <c r="W295" s="21"/>
      <c r="Y295" s="490"/>
    </row>
    <row r="296" spans="1:25" ht="105">
      <c r="A296" s="31">
        <v>293</v>
      </c>
      <c r="B296" s="22" t="s">
        <v>39</v>
      </c>
      <c r="C296" s="22" t="s">
        <v>550</v>
      </c>
      <c r="D296" s="22" t="s">
        <v>551</v>
      </c>
      <c r="E296" s="23">
        <v>2</v>
      </c>
      <c r="F296" s="22" t="s">
        <v>523</v>
      </c>
      <c r="G296" s="22" t="s">
        <v>552</v>
      </c>
      <c r="H296" s="22" t="s">
        <v>30</v>
      </c>
      <c r="I296" s="22" t="s">
        <v>556</v>
      </c>
      <c r="J296" s="22" t="s">
        <v>556</v>
      </c>
      <c r="K296" s="519" t="s">
        <v>1385</v>
      </c>
      <c r="L296" s="521" t="s">
        <v>1408</v>
      </c>
      <c r="M296" s="521" t="s">
        <v>1409</v>
      </c>
      <c r="N296" s="521" t="s">
        <v>815</v>
      </c>
      <c r="O296" s="22" t="s">
        <v>514</v>
      </c>
      <c r="P296" s="426">
        <v>2019</v>
      </c>
      <c r="Q296" s="414">
        <f t="shared" ca="1" si="12"/>
        <v>0</v>
      </c>
      <c r="R296" s="335" t="str">
        <f t="shared" ca="1" si="13"/>
        <v>N/A</v>
      </c>
      <c r="S296" s="335" t="str">
        <f t="shared" ca="1" si="14"/>
        <v>N/A</v>
      </c>
      <c r="T296" s="429" t="s">
        <v>557</v>
      </c>
      <c r="U296" s="22" t="s">
        <v>558</v>
      </c>
      <c r="V296" s="24"/>
      <c r="W296" s="21"/>
      <c r="Y296" s="490"/>
    </row>
    <row r="297" spans="1:25" ht="75">
      <c r="A297" s="31">
        <v>294</v>
      </c>
      <c r="B297" s="22" t="s">
        <v>39</v>
      </c>
      <c r="C297" s="22" t="s">
        <v>550</v>
      </c>
      <c r="D297" s="22" t="s">
        <v>551</v>
      </c>
      <c r="E297" s="23">
        <v>3</v>
      </c>
      <c r="F297" s="22" t="s">
        <v>559</v>
      </c>
      <c r="G297" s="22" t="s">
        <v>552</v>
      </c>
      <c r="H297" s="22" t="s">
        <v>30</v>
      </c>
      <c r="I297" s="22" t="s">
        <v>560</v>
      </c>
      <c r="J297" s="22" t="s">
        <v>560</v>
      </c>
      <c r="K297" s="519" t="s">
        <v>1385</v>
      </c>
      <c r="L297" s="521" t="s">
        <v>1410</v>
      </c>
      <c r="M297" s="521" t="s">
        <v>1411</v>
      </c>
      <c r="N297" s="521" t="s">
        <v>815</v>
      </c>
      <c r="O297" s="22" t="s">
        <v>514</v>
      </c>
      <c r="P297" s="426">
        <v>2019</v>
      </c>
      <c r="Q297" s="414">
        <f t="shared" ca="1" si="12"/>
        <v>0</v>
      </c>
      <c r="R297" s="335" t="str">
        <f t="shared" ca="1" si="13"/>
        <v>N/A</v>
      </c>
      <c r="S297" s="335" t="str">
        <f t="shared" ca="1" si="14"/>
        <v>N/A</v>
      </c>
      <c r="T297" s="429" t="s">
        <v>561</v>
      </c>
      <c r="U297" s="22" t="s">
        <v>562</v>
      </c>
      <c r="V297" s="24"/>
      <c r="W297" s="21"/>
      <c r="Y297" s="490"/>
    </row>
    <row r="298" spans="1:25" ht="60">
      <c r="A298" s="31">
        <v>295</v>
      </c>
      <c r="B298" s="22" t="s">
        <v>563</v>
      </c>
      <c r="C298" s="22" t="s">
        <v>550</v>
      </c>
      <c r="D298" s="22" t="s">
        <v>564</v>
      </c>
      <c r="E298" s="23">
        <v>1</v>
      </c>
      <c r="F298" s="22" t="s">
        <v>142</v>
      </c>
      <c r="G298" s="22" t="s">
        <v>552</v>
      </c>
      <c r="H298" s="22" t="s">
        <v>30</v>
      </c>
      <c r="I298" s="22" t="s">
        <v>565</v>
      </c>
      <c r="J298" s="22" t="s">
        <v>565</v>
      </c>
      <c r="K298" s="519" t="s">
        <v>1385</v>
      </c>
      <c r="L298" s="521" t="s">
        <v>1412</v>
      </c>
      <c r="M298" s="521" t="s">
        <v>1413</v>
      </c>
      <c r="N298" s="521" t="s">
        <v>815</v>
      </c>
      <c r="O298" s="22" t="s">
        <v>514</v>
      </c>
      <c r="P298" s="426">
        <v>2019</v>
      </c>
      <c r="Q298" s="533">
        <f t="shared" ca="1" si="12"/>
        <v>0</v>
      </c>
      <c r="R298" s="335" t="str">
        <f t="shared" ca="1" si="13"/>
        <v>N/A</v>
      </c>
      <c r="S298" s="335" t="str">
        <f t="shared" ca="1" si="14"/>
        <v>N/A</v>
      </c>
      <c r="T298" s="429" t="s">
        <v>566</v>
      </c>
      <c r="U298" s="22" t="s">
        <v>566</v>
      </c>
      <c r="V298" s="24"/>
      <c r="W298" s="21"/>
      <c r="Y298" s="490"/>
    </row>
    <row r="299" spans="1:25" ht="45">
      <c r="A299" s="31">
        <v>296</v>
      </c>
      <c r="B299" s="22" t="s">
        <v>563</v>
      </c>
      <c r="C299" s="22" t="s">
        <v>550</v>
      </c>
      <c r="D299" s="22" t="s">
        <v>567</v>
      </c>
      <c r="E299" s="23">
        <v>1</v>
      </c>
      <c r="F299" s="22" t="s">
        <v>523</v>
      </c>
      <c r="G299" s="22" t="s">
        <v>552</v>
      </c>
      <c r="H299" s="22" t="s">
        <v>164</v>
      </c>
      <c r="I299" s="22" t="s">
        <v>568</v>
      </c>
      <c r="J299" s="22" t="s">
        <v>568</v>
      </c>
      <c r="K299" s="519" t="s">
        <v>1385</v>
      </c>
      <c r="L299" s="521" t="s">
        <v>1415</v>
      </c>
      <c r="M299" s="521" t="s">
        <v>1416</v>
      </c>
      <c r="N299" s="521" t="s">
        <v>815</v>
      </c>
      <c r="O299" s="22" t="s">
        <v>514</v>
      </c>
      <c r="P299" s="426">
        <v>2019</v>
      </c>
      <c r="Q299" s="414">
        <f t="shared" ca="1" si="12"/>
        <v>0</v>
      </c>
      <c r="R299" s="335" t="str">
        <f t="shared" ca="1" si="13"/>
        <v>N/A</v>
      </c>
      <c r="S299" s="335" t="str">
        <f t="shared" ca="1" si="14"/>
        <v>N/A</v>
      </c>
      <c r="T299" s="429" t="s">
        <v>569</v>
      </c>
      <c r="U299" s="22" t="s">
        <v>569</v>
      </c>
      <c r="V299" s="24"/>
      <c r="W299" s="21"/>
      <c r="Y299" s="490"/>
    </row>
    <row r="300" spans="1:25" ht="45">
      <c r="A300" s="31">
        <v>297</v>
      </c>
      <c r="B300" s="22" t="s">
        <v>563</v>
      </c>
      <c r="C300" s="22" t="s">
        <v>550</v>
      </c>
      <c r="D300" s="22" t="s">
        <v>567</v>
      </c>
      <c r="E300" s="23">
        <v>1</v>
      </c>
      <c r="F300" s="22" t="s">
        <v>142</v>
      </c>
      <c r="G300" s="22" t="s">
        <v>552</v>
      </c>
      <c r="H300" s="22" t="s">
        <v>164</v>
      </c>
      <c r="I300" s="22" t="s">
        <v>568</v>
      </c>
      <c r="J300" s="22" t="s">
        <v>568</v>
      </c>
      <c r="K300" s="519" t="s">
        <v>1385</v>
      </c>
      <c r="L300" s="521" t="s">
        <v>1417</v>
      </c>
      <c r="M300" s="521" t="s">
        <v>1418</v>
      </c>
      <c r="N300" s="521" t="s">
        <v>815</v>
      </c>
      <c r="O300" s="22" t="s">
        <v>514</v>
      </c>
      <c r="P300" s="426">
        <v>2019</v>
      </c>
      <c r="Q300" s="533">
        <f t="shared" ca="1" si="12"/>
        <v>0</v>
      </c>
      <c r="R300" s="335" t="str">
        <f t="shared" ca="1" si="13"/>
        <v>N/A</v>
      </c>
      <c r="S300" s="335" t="str">
        <f t="shared" ca="1" si="14"/>
        <v>N/A</v>
      </c>
      <c r="T300" s="429" t="s">
        <v>569</v>
      </c>
      <c r="U300" s="22" t="s">
        <v>569</v>
      </c>
      <c r="V300" s="24"/>
      <c r="W300" s="21"/>
      <c r="Y300" s="490"/>
    </row>
    <row r="301" spans="1:25" ht="45">
      <c r="A301" s="31">
        <v>298</v>
      </c>
      <c r="B301" s="22" t="s">
        <v>563</v>
      </c>
      <c r="C301" s="22" t="s">
        <v>550</v>
      </c>
      <c r="D301" s="22" t="s">
        <v>567</v>
      </c>
      <c r="E301" s="23">
        <v>2</v>
      </c>
      <c r="F301" s="22" t="s">
        <v>523</v>
      </c>
      <c r="G301" s="22" t="s">
        <v>552</v>
      </c>
      <c r="H301" s="22" t="s">
        <v>164</v>
      </c>
      <c r="I301" s="22" t="s">
        <v>570</v>
      </c>
      <c r="J301" s="22" t="s">
        <v>570</v>
      </c>
      <c r="K301" s="519" t="s">
        <v>1385</v>
      </c>
      <c r="L301" s="521" t="s">
        <v>1419</v>
      </c>
      <c r="M301" s="521" t="s">
        <v>1420</v>
      </c>
      <c r="N301" s="521" t="s">
        <v>815</v>
      </c>
      <c r="O301" s="22" t="s">
        <v>514</v>
      </c>
      <c r="P301" s="426">
        <v>2019</v>
      </c>
      <c r="Q301" s="414">
        <f t="shared" ca="1" si="12"/>
        <v>0</v>
      </c>
      <c r="R301" s="335" t="str">
        <f t="shared" ca="1" si="13"/>
        <v>N/A</v>
      </c>
      <c r="S301" s="335" t="str">
        <f t="shared" ca="1" si="14"/>
        <v>N/A</v>
      </c>
      <c r="T301" s="429" t="s">
        <v>569</v>
      </c>
      <c r="U301" s="22" t="s">
        <v>569</v>
      </c>
      <c r="V301" s="24"/>
      <c r="W301" s="21"/>
      <c r="Y301" s="490"/>
    </row>
    <row r="302" spans="1:25" ht="45">
      <c r="A302" s="31">
        <v>299</v>
      </c>
      <c r="B302" s="22" t="s">
        <v>563</v>
      </c>
      <c r="C302" s="22" t="s">
        <v>550</v>
      </c>
      <c r="D302" s="22" t="s">
        <v>567</v>
      </c>
      <c r="E302" s="23">
        <v>2</v>
      </c>
      <c r="F302" s="22" t="s">
        <v>142</v>
      </c>
      <c r="G302" s="22" t="s">
        <v>552</v>
      </c>
      <c r="H302" s="22" t="s">
        <v>164</v>
      </c>
      <c r="I302" s="22" t="s">
        <v>570</v>
      </c>
      <c r="J302" s="22" t="s">
        <v>570</v>
      </c>
      <c r="K302" s="519" t="s">
        <v>1385</v>
      </c>
      <c r="L302" s="521" t="s">
        <v>1421</v>
      </c>
      <c r="M302" s="521" t="s">
        <v>1422</v>
      </c>
      <c r="N302" s="521" t="s">
        <v>815</v>
      </c>
      <c r="O302" s="22" t="s">
        <v>514</v>
      </c>
      <c r="P302" s="426">
        <v>2019</v>
      </c>
      <c r="Q302" s="533">
        <f t="shared" ca="1" si="12"/>
        <v>0</v>
      </c>
      <c r="R302" s="335" t="str">
        <f t="shared" ca="1" si="13"/>
        <v>N/A</v>
      </c>
      <c r="S302" s="335" t="str">
        <f t="shared" ca="1" si="14"/>
        <v>N/A</v>
      </c>
      <c r="T302" s="429" t="s">
        <v>569</v>
      </c>
      <c r="U302" s="22" t="s">
        <v>569</v>
      </c>
      <c r="V302" s="24"/>
      <c r="W302" s="21"/>
      <c r="Y302" s="490"/>
    </row>
    <row r="303" spans="1:25" ht="45">
      <c r="A303" s="31">
        <v>300</v>
      </c>
      <c r="B303" s="22" t="s">
        <v>563</v>
      </c>
      <c r="C303" s="22" t="s">
        <v>550</v>
      </c>
      <c r="D303" s="22" t="s">
        <v>567</v>
      </c>
      <c r="E303" s="23">
        <v>3</v>
      </c>
      <c r="F303" s="22" t="s">
        <v>523</v>
      </c>
      <c r="G303" s="22" t="s">
        <v>552</v>
      </c>
      <c r="H303" s="22" t="s">
        <v>164</v>
      </c>
      <c r="I303" s="22" t="s">
        <v>571</v>
      </c>
      <c r="J303" s="22" t="s">
        <v>571</v>
      </c>
      <c r="K303" s="519" t="s">
        <v>1385</v>
      </c>
      <c r="L303" s="521" t="s">
        <v>1423</v>
      </c>
      <c r="M303" s="521" t="s">
        <v>1424</v>
      </c>
      <c r="N303" s="521" t="s">
        <v>815</v>
      </c>
      <c r="O303" s="22" t="s">
        <v>514</v>
      </c>
      <c r="P303" s="426">
        <v>2019</v>
      </c>
      <c r="Q303" s="414">
        <f t="shared" ca="1" si="12"/>
        <v>0</v>
      </c>
      <c r="R303" s="335" t="str">
        <f t="shared" ca="1" si="13"/>
        <v>N/A</v>
      </c>
      <c r="S303" s="335" t="str">
        <f t="shared" ca="1" si="14"/>
        <v>N/A</v>
      </c>
      <c r="T303" s="429" t="s">
        <v>569</v>
      </c>
      <c r="U303" s="22" t="s">
        <v>569</v>
      </c>
      <c r="V303" s="24"/>
      <c r="W303" s="21"/>
      <c r="Y303" s="490"/>
    </row>
    <row r="304" spans="1:25" ht="60">
      <c r="A304" s="31">
        <v>301</v>
      </c>
      <c r="B304" s="22" t="s">
        <v>39</v>
      </c>
      <c r="C304" s="22" t="s">
        <v>572</v>
      </c>
      <c r="D304" s="22" t="s">
        <v>573</v>
      </c>
      <c r="E304" s="23">
        <v>1</v>
      </c>
      <c r="F304" s="22" t="s">
        <v>523</v>
      </c>
      <c r="G304" s="22" t="s">
        <v>574</v>
      </c>
      <c r="H304" s="22" t="s">
        <v>30</v>
      </c>
      <c r="I304" s="22" t="s">
        <v>575</v>
      </c>
      <c r="J304" s="22" t="s">
        <v>575</v>
      </c>
      <c r="K304" s="519" t="s">
        <v>1487</v>
      </c>
      <c r="L304" s="521" t="s">
        <v>1426</v>
      </c>
      <c r="M304" s="521" t="s">
        <v>1427</v>
      </c>
      <c r="N304" s="521" t="s">
        <v>815</v>
      </c>
      <c r="O304" s="22" t="s">
        <v>576</v>
      </c>
      <c r="P304" s="426">
        <v>2019</v>
      </c>
      <c r="Q304" s="414">
        <f t="shared" ca="1" si="12"/>
        <v>0</v>
      </c>
      <c r="R304" s="335" t="str">
        <f t="shared" ca="1" si="13"/>
        <v>N/A</v>
      </c>
      <c r="S304" s="335" t="str">
        <f t="shared" ca="1" si="14"/>
        <v>N/A</v>
      </c>
      <c r="T304" s="429" t="s">
        <v>577</v>
      </c>
      <c r="U304" s="22" t="s">
        <v>578</v>
      </c>
      <c r="V304" s="24"/>
      <c r="W304" s="21"/>
      <c r="Y304" s="490"/>
    </row>
    <row r="305" spans="1:25" ht="409.5" customHeight="1">
      <c r="A305" s="100">
        <v>302</v>
      </c>
      <c r="B305" s="101" t="s">
        <v>39</v>
      </c>
      <c r="C305" s="101" t="s">
        <v>572</v>
      </c>
      <c r="D305" s="101" t="s">
        <v>579</v>
      </c>
      <c r="E305" s="411">
        <v>1</v>
      </c>
      <c r="F305" s="101" t="s">
        <v>523</v>
      </c>
      <c r="G305" s="101" t="s">
        <v>580</v>
      </c>
      <c r="H305" s="101" t="s">
        <v>30</v>
      </c>
      <c r="I305" s="101" t="s">
        <v>581</v>
      </c>
      <c r="J305" s="101" t="s">
        <v>581</v>
      </c>
      <c r="K305" s="519" t="s">
        <v>1425</v>
      </c>
      <c r="L305" s="521" t="s">
        <v>1428</v>
      </c>
      <c r="M305" s="521" t="s">
        <v>1429</v>
      </c>
      <c r="N305" s="521" t="s">
        <v>815</v>
      </c>
      <c r="O305" s="101" t="s">
        <v>576</v>
      </c>
      <c r="P305" s="426">
        <v>2019</v>
      </c>
      <c r="Q305" s="530" t="s">
        <v>1488</v>
      </c>
      <c r="R305" s="335" t="str">
        <f t="shared" ca="1" si="13"/>
        <v>N/A</v>
      </c>
      <c r="S305" s="335" t="str">
        <f t="shared" ca="1" si="14"/>
        <v>N/A</v>
      </c>
      <c r="T305" s="429" t="s">
        <v>582</v>
      </c>
      <c r="U305" s="101" t="s">
        <v>583</v>
      </c>
      <c r="V305" s="24"/>
      <c r="W305" s="21"/>
      <c r="Y305" s="490"/>
    </row>
    <row r="306" spans="1:25" ht="180">
      <c r="A306" s="31">
        <v>303</v>
      </c>
      <c r="B306" s="22" t="s">
        <v>39</v>
      </c>
      <c r="C306" s="22" t="s">
        <v>572</v>
      </c>
      <c r="D306" s="22" t="s">
        <v>579</v>
      </c>
      <c r="E306" s="23">
        <v>1</v>
      </c>
      <c r="F306" s="22" t="s">
        <v>584</v>
      </c>
      <c r="G306" s="22" t="s">
        <v>580</v>
      </c>
      <c r="H306" s="22" t="s">
        <v>30</v>
      </c>
      <c r="I306" s="22" t="s">
        <v>585</v>
      </c>
      <c r="J306" s="22" t="s">
        <v>585</v>
      </c>
      <c r="K306" s="519" t="s">
        <v>1425</v>
      </c>
      <c r="L306" s="521" t="s">
        <v>1430</v>
      </c>
      <c r="M306" s="521" t="s">
        <v>1431</v>
      </c>
      <c r="N306" s="521" t="s">
        <v>815</v>
      </c>
      <c r="O306" s="22" t="s">
        <v>576</v>
      </c>
      <c r="P306" s="426">
        <v>2019</v>
      </c>
      <c r="Q306" s="534">
        <f>R306/S306</f>
        <v>8.4998687713246604E-2</v>
      </c>
      <c r="R306" s="335">
        <v>2267</v>
      </c>
      <c r="S306" s="335">
        <v>26671</v>
      </c>
      <c r="T306" s="429" t="s">
        <v>586</v>
      </c>
      <c r="U306" s="22" t="s">
        <v>587</v>
      </c>
      <c r="V306" s="24"/>
      <c r="W306" s="21"/>
      <c r="Y306" s="490"/>
    </row>
    <row r="307" spans="1:25" ht="180">
      <c r="A307" s="31">
        <v>304</v>
      </c>
      <c r="B307" s="22" t="s">
        <v>39</v>
      </c>
      <c r="C307" s="22" t="s">
        <v>572</v>
      </c>
      <c r="D307" s="22" t="s">
        <v>588</v>
      </c>
      <c r="E307" s="23">
        <v>1</v>
      </c>
      <c r="F307" s="22" t="s">
        <v>584</v>
      </c>
      <c r="G307" s="22" t="s">
        <v>589</v>
      </c>
      <c r="H307" s="22" t="s">
        <v>30</v>
      </c>
      <c r="I307" s="22" t="s">
        <v>590</v>
      </c>
      <c r="J307" s="22" t="s">
        <v>590</v>
      </c>
      <c r="K307" s="519" t="s">
        <v>1425</v>
      </c>
      <c r="L307" s="521" t="s">
        <v>1432</v>
      </c>
      <c r="M307" s="521" t="s">
        <v>1433</v>
      </c>
      <c r="N307" s="521" t="s">
        <v>815</v>
      </c>
      <c r="O307" s="22" t="s">
        <v>576</v>
      </c>
      <c r="P307" s="426">
        <v>2019</v>
      </c>
      <c r="Q307" s="534">
        <f>R307/S307</f>
        <v>8.4998687713246604E-2</v>
      </c>
      <c r="R307" s="335">
        <v>2267</v>
      </c>
      <c r="S307" s="335">
        <v>26671</v>
      </c>
      <c r="T307" s="429" t="s">
        <v>591</v>
      </c>
      <c r="U307" s="22" t="s">
        <v>592</v>
      </c>
      <c r="V307" s="24"/>
      <c r="W307" s="21"/>
      <c r="Y307" s="490"/>
    </row>
    <row r="308" spans="1:25" ht="60.95" customHeight="1">
      <c r="A308" s="31">
        <v>305</v>
      </c>
      <c r="B308" s="22" t="s">
        <v>39</v>
      </c>
      <c r="C308" s="22" t="s">
        <v>572</v>
      </c>
      <c r="D308" s="22" t="s">
        <v>588</v>
      </c>
      <c r="E308" s="23">
        <v>1</v>
      </c>
      <c r="F308" s="22" t="s">
        <v>584</v>
      </c>
      <c r="G308" s="22" t="s">
        <v>589</v>
      </c>
      <c r="H308" s="22" t="s">
        <v>30</v>
      </c>
      <c r="I308" s="22" t="s">
        <v>593</v>
      </c>
      <c r="J308" s="22" t="s">
        <v>593</v>
      </c>
      <c r="K308" s="519" t="s">
        <v>1425</v>
      </c>
      <c r="L308" s="521" t="s">
        <v>1434</v>
      </c>
      <c r="M308" s="521" t="s">
        <v>1435</v>
      </c>
      <c r="N308" s="521" t="s">
        <v>815</v>
      </c>
      <c r="O308" s="22" t="s">
        <v>576</v>
      </c>
      <c r="P308" s="69" t="s">
        <v>59</v>
      </c>
      <c r="Q308" s="530" t="s">
        <v>59</v>
      </c>
      <c r="R308" s="335" t="str">
        <f t="shared" ref="R308:R316" ca="1" si="15">IF($N308 = "N","N/A",SUMIF(INDIRECT("'"&amp;K308&amp;"'!i:i"),L308,INDIRECT("'"&amp;K308&amp;"'!i:i")))</f>
        <v>N/A</v>
      </c>
      <c r="S308" s="335" t="str">
        <f t="shared" ref="S308:S316" ca="1" si="16">IF($N308 = "N","N/A",SUMIF(INDIRECT("'"&amp;K308&amp;"'!i:i"),M308,INDIRECT("'"&amp;K308&amp;"'!i:i")))</f>
        <v>N/A</v>
      </c>
      <c r="T308" s="429" t="s">
        <v>594</v>
      </c>
      <c r="U308" s="22" t="s">
        <v>595</v>
      </c>
      <c r="V308" s="24"/>
      <c r="W308" s="21"/>
      <c r="Y308" s="490"/>
    </row>
    <row r="309" spans="1:25" ht="60">
      <c r="A309" s="31">
        <v>306</v>
      </c>
      <c r="B309" s="22" t="s">
        <v>39</v>
      </c>
      <c r="C309" s="22" t="s">
        <v>572</v>
      </c>
      <c r="D309" s="22" t="s">
        <v>596</v>
      </c>
      <c r="E309" s="23">
        <v>1</v>
      </c>
      <c r="F309" s="22" t="s">
        <v>523</v>
      </c>
      <c r="G309" s="22" t="s">
        <v>589</v>
      </c>
      <c r="H309" s="22" t="s">
        <v>164</v>
      </c>
      <c r="I309" s="22" t="s">
        <v>597</v>
      </c>
      <c r="J309" s="22" t="s">
        <v>597</v>
      </c>
      <c r="K309" s="519" t="s">
        <v>1425</v>
      </c>
      <c r="L309" s="521" t="s">
        <v>1436</v>
      </c>
      <c r="M309" s="521" t="s">
        <v>1437</v>
      </c>
      <c r="N309" s="521" t="s">
        <v>815</v>
      </c>
      <c r="O309" s="22" t="s">
        <v>576</v>
      </c>
      <c r="P309" s="69" t="s">
        <v>167</v>
      </c>
      <c r="Q309" s="529" t="s">
        <v>167</v>
      </c>
      <c r="R309" s="335" t="str">
        <f t="shared" ca="1" si="15"/>
        <v>N/A</v>
      </c>
      <c r="S309" s="335" t="str">
        <f t="shared" ca="1" si="16"/>
        <v>N/A</v>
      </c>
      <c r="T309" s="429" t="s">
        <v>598</v>
      </c>
      <c r="U309" s="22" t="s">
        <v>59</v>
      </c>
      <c r="V309" s="24"/>
      <c r="W309" s="21"/>
      <c r="Y309" s="490"/>
    </row>
    <row r="310" spans="1:25" ht="60">
      <c r="A310" s="31">
        <v>307</v>
      </c>
      <c r="B310" s="22" t="s">
        <v>39</v>
      </c>
      <c r="C310" s="22" t="s">
        <v>599</v>
      </c>
      <c r="D310" s="22" t="s">
        <v>600</v>
      </c>
      <c r="E310" s="23">
        <v>1</v>
      </c>
      <c r="F310" s="22" t="s">
        <v>523</v>
      </c>
      <c r="G310" s="22" t="s">
        <v>601</v>
      </c>
      <c r="H310" s="22" t="s">
        <v>30</v>
      </c>
      <c r="I310" s="22" t="s">
        <v>602</v>
      </c>
      <c r="J310" s="22" t="s">
        <v>603</v>
      </c>
      <c r="K310" s="519" t="s">
        <v>1438</v>
      </c>
      <c r="L310" s="521" t="s">
        <v>1439</v>
      </c>
      <c r="M310" s="521" t="s">
        <v>1440</v>
      </c>
      <c r="N310" s="521" t="s">
        <v>815</v>
      </c>
      <c r="O310" s="22" t="s">
        <v>604</v>
      </c>
      <c r="P310" s="69" t="s">
        <v>59</v>
      </c>
      <c r="Q310" s="535" t="s">
        <v>1438</v>
      </c>
      <c r="R310" s="335" t="str">
        <f t="shared" ca="1" si="15"/>
        <v>N/A</v>
      </c>
      <c r="S310" s="335" t="str">
        <f t="shared" ca="1" si="16"/>
        <v>N/A</v>
      </c>
      <c r="T310" s="429" t="s">
        <v>608</v>
      </c>
      <c r="U310" s="22" t="s">
        <v>609</v>
      </c>
      <c r="V310" s="24"/>
      <c r="W310" s="21"/>
      <c r="Y310" s="490"/>
    </row>
    <row r="311" spans="1:25" ht="30">
      <c r="A311" s="31">
        <v>308</v>
      </c>
      <c r="B311" s="22" t="s">
        <v>39</v>
      </c>
      <c r="C311" s="22" t="s">
        <v>599</v>
      </c>
      <c r="D311" s="22" t="s">
        <v>610</v>
      </c>
      <c r="E311" s="23">
        <v>1</v>
      </c>
      <c r="F311" s="22" t="s">
        <v>611</v>
      </c>
      <c r="G311" s="22" t="s">
        <v>601</v>
      </c>
      <c r="H311" s="22" t="s">
        <v>30</v>
      </c>
      <c r="I311" s="22" t="s">
        <v>612</v>
      </c>
      <c r="J311" s="22" t="s">
        <v>613</v>
      </c>
      <c r="K311" s="519" t="s">
        <v>1438</v>
      </c>
      <c r="L311" s="521" t="s">
        <v>1441</v>
      </c>
      <c r="M311" s="521" t="s">
        <v>1442</v>
      </c>
      <c r="N311" s="521" t="s">
        <v>815</v>
      </c>
      <c r="O311" s="22" t="s">
        <v>604</v>
      </c>
      <c r="P311" s="69" t="s">
        <v>59</v>
      </c>
      <c r="Q311" s="529" t="s">
        <v>1438</v>
      </c>
      <c r="R311" s="335" t="str">
        <f t="shared" ca="1" si="15"/>
        <v>N/A</v>
      </c>
      <c r="S311" s="335" t="str">
        <f t="shared" ca="1" si="16"/>
        <v>N/A</v>
      </c>
      <c r="T311" s="429" t="s">
        <v>608</v>
      </c>
      <c r="U311" s="22" t="s">
        <v>614</v>
      </c>
      <c r="V311" s="24"/>
      <c r="W311" s="21"/>
      <c r="Y311" s="490"/>
    </row>
    <row r="312" spans="1:25" ht="45">
      <c r="A312" s="31">
        <v>309</v>
      </c>
      <c r="B312" s="22" t="s">
        <v>39</v>
      </c>
      <c r="C312" s="22" t="s">
        <v>599</v>
      </c>
      <c r="D312" s="22" t="s">
        <v>615</v>
      </c>
      <c r="E312" s="23">
        <v>1</v>
      </c>
      <c r="F312" s="22" t="s">
        <v>616</v>
      </c>
      <c r="G312" s="22" t="s">
        <v>617</v>
      </c>
      <c r="H312" s="22" t="s">
        <v>30</v>
      </c>
      <c r="I312" s="22" t="s">
        <v>618</v>
      </c>
      <c r="J312" s="22" t="s">
        <v>619</v>
      </c>
      <c r="K312" s="519" t="s">
        <v>1438</v>
      </c>
      <c r="L312" s="521" t="s">
        <v>1443</v>
      </c>
      <c r="M312" s="521" t="s">
        <v>1444</v>
      </c>
      <c r="N312" s="521" t="s">
        <v>815</v>
      </c>
      <c r="O312" s="22" t="s">
        <v>604</v>
      </c>
      <c r="P312" s="69" t="s">
        <v>620</v>
      </c>
      <c r="Q312" s="529" t="s">
        <v>1438</v>
      </c>
      <c r="R312" s="335" t="str">
        <f t="shared" ca="1" si="15"/>
        <v>N/A</v>
      </c>
      <c r="S312" s="335" t="str">
        <f t="shared" ca="1" si="16"/>
        <v>N/A</v>
      </c>
      <c r="T312" s="429" t="s">
        <v>608</v>
      </c>
      <c r="U312" s="22" t="s">
        <v>622</v>
      </c>
      <c r="V312" s="24"/>
      <c r="W312" s="21"/>
      <c r="Y312" s="490"/>
    </row>
    <row r="313" spans="1:25" ht="90">
      <c r="A313" s="31">
        <v>310</v>
      </c>
      <c r="B313" s="22" t="s">
        <v>39</v>
      </c>
      <c r="C313" s="22" t="s">
        <v>599</v>
      </c>
      <c r="D313" s="22" t="s">
        <v>623</v>
      </c>
      <c r="E313" s="23">
        <v>1</v>
      </c>
      <c r="F313" s="22" t="s">
        <v>624</v>
      </c>
      <c r="G313" s="22" t="s">
        <v>625</v>
      </c>
      <c r="H313" s="22" t="s">
        <v>30</v>
      </c>
      <c r="I313" s="22" t="s">
        <v>626</v>
      </c>
      <c r="J313" s="22" t="s">
        <v>627</v>
      </c>
      <c r="K313" s="519" t="s">
        <v>1438</v>
      </c>
      <c r="L313" s="521" t="s">
        <v>1445</v>
      </c>
      <c r="M313" s="521" t="s">
        <v>1446</v>
      </c>
      <c r="N313" s="521" t="s">
        <v>815</v>
      </c>
      <c r="O313" s="22" t="s">
        <v>604</v>
      </c>
      <c r="P313" s="69">
        <v>2017</v>
      </c>
      <c r="Q313" s="529" t="s">
        <v>1438</v>
      </c>
      <c r="R313" s="335" t="str">
        <f t="shared" ca="1" si="15"/>
        <v>N/A</v>
      </c>
      <c r="S313" s="335" t="str">
        <f t="shared" ca="1" si="16"/>
        <v>N/A</v>
      </c>
      <c r="T313" s="429" t="s">
        <v>1447</v>
      </c>
      <c r="U313" s="22" t="s">
        <v>630</v>
      </c>
      <c r="V313" s="24"/>
      <c r="W313" s="21"/>
      <c r="Y313" s="490"/>
    </row>
    <row r="314" spans="1:25" ht="90">
      <c r="A314" s="31">
        <v>311</v>
      </c>
      <c r="B314" s="22" t="s">
        <v>39</v>
      </c>
      <c r="C314" s="22" t="s">
        <v>599</v>
      </c>
      <c r="D314" s="22" t="s">
        <v>631</v>
      </c>
      <c r="E314" s="23">
        <v>1</v>
      </c>
      <c r="F314" s="22" t="s">
        <v>624</v>
      </c>
      <c r="G314" s="22" t="s">
        <v>625</v>
      </c>
      <c r="H314" s="22" t="s">
        <v>30</v>
      </c>
      <c r="I314" s="22" t="s">
        <v>632</v>
      </c>
      <c r="J314" s="22" t="s">
        <v>633</v>
      </c>
      <c r="K314" s="519" t="s">
        <v>1438</v>
      </c>
      <c r="L314" s="521" t="s">
        <v>1448</v>
      </c>
      <c r="M314" s="521" t="s">
        <v>1449</v>
      </c>
      <c r="N314" s="521" t="s">
        <v>815</v>
      </c>
      <c r="O314" s="22" t="s">
        <v>604</v>
      </c>
      <c r="P314" s="69" t="s">
        <v>634</v>
      </c>
      <c r="Q314" s="529" t="s">
        <v>1438</v>
      </c>
      <c r="R314" s="335" t="str">
        <f t="shared" ca="1" si="15"/>
        <v>N/A</v>
      </c>
      <c r="S314" s="335" t="str">
        <f t="shared" ca="1" si="16"/>
        <v>N/A</v>
      </c>
      <c r="T314" s="429" t="s">
        <v>1450</v>
      </c>
      <c r="U314" s="22" t="s">
        <v>636</v>
      </c>
      <c r="V314" s="24"/>
      <c r="W314" s="21"/>
      <c r="Y314" s="490"/>
    </row>
    <row r="315" spans="1:25" ht="60">
      <c r="A315" s="31">
        <v>312</v>
      </c>
      <c r="B315" s="22" t="s">
        <v>39</v>
      </c>
      <c r="C315" s="22" t="s">
        <v>637</v>
      </c>
      <c r="D315" s="22" t="s">
        <v>638</v>
      </c>
      <c r="E315" s="23">
        <v>1</v>
      </c>
      <c r="F315" s="22" t="s">
        <v>639</v>
      </c>
      <c r="G315" s="22" t="s">
        <v>640</v>
      </c>
      <c r="H315" s="22" t="s">
        <v>30</v>
      </c>
      <c r="I315" s="22" t="s">
        <v>641</v>
      </c>
      <c r="J315" s="22" t="s">
        <v>642</v>
      </c>
      <c r="K315" s="519" t="s">
        <v>1438</v>
      </c>
      <c r="L315" s="521" t="s">
        <v>1451</v>
      </c>
      <c r="M315" s="521" t="s">
        <v>1452</v>
      </c>
      <c r="N315" s="521" t="s">
        <v>815</v>
      </c>
      <c r="O315" s="22" t="s">
        <v>604</v>
      </c>
      <c r="P315" s="69" t="s">
        <v>59</v>
      </c>
      <c r="Q315" s="529" t="s">
        <v>1438</v>
      </c>
      <c r="R315" s="335" t="str">
        <f t="shared" ca="1" si="15"/>
        <v>N/A</v>
      </c>
      <c r="S315" s="335" t="str">
        <f t="shared" ca="1" si="16"/>
        <v>N/A</v>
      </c>
      <c r="T315" s="429" t="s">
        <v>645</v>
      </c>
      <c r="U315" s="22" t="s">
        <v>646</v>
      </c>
      <c r="V315" s="24"/>
      <c r="W315" s="21"/>
      <c r="Y315" s="490"/>
    </row>
    <row r="316" spans="1:25" ht="105">
      <c r="A316" s="31">
        <v>313</v>
      </c>
      <c r="B316" s="22" t="s">
        <v>39</v>
      </c>
      <c r="C316" s="22" t="s">
        <v>637</v>
      </c>
      <c r="D316" s="22" t="s">
        <v>647</v>
      </c>
      <c r="E316" s="23">
        <v>1</v>
      </c>
      <c r="F316" s="22" t="s">
        <v>639</v>
      </c>
      <c r="G316" s="22" t="s">
        <v>640</v>
      </c>
      <c r="H316" s="22" t="s">
        <v>30</v>
      </c>
      <c r="I316" s="22" t="s">
        <v>648</v>
      </c>
      <c r="J316" s="22" t="s">
        <v>649</v>
      </c>
      <c r="K316" s="519" t="s">
        <v>1438</v>
      </c>
      <c r="L316" s="521" t="s">
        <v>1453</v>
      </c>
      <c r="M316" s="521" t="s">
        <v>1454</v>
      </c>
      <c r="N316" s="521" t="s">
        <v>815</v>
      </c>
      <c r="O316" s="22" t="s">
        <v>604</v>
      </c>
      <c r="P316" s="69" t="s">
        <v>59</v>
      </c>
      <c r="Q316" s="529" t="s">
        <v>1438</v>
      </c>
      <c r="R316" s="335" t="str">
        <f t="shared" ca="1" si="15"/>
        <v>N/A</v>
      </c>
      <c r="S316" s="335" t="str">
        <f t="shared" ca="1" si="16"/>
        <v>N/A</v>
      </c>
      <c r="T316" s="429" t="s">
        <v>608</v>
      </c>
      <c r="U316" s="22" t="s">
        <v>650</v>
      </c>
      <c r="V316" s="24"/>
      <c r="W316" s="21"/>
      <c r="Y316" s="490"/>
    </row>
    <row r="317" spans="1:25" ht="135">
      <c r="A317" s="31">
        <v>314</v>
      </c>
      <c r="B317" s="22" t="s">
        <v>39</v>
      </c>
      <c r="C317" s="22" t="s">
        <v>651</v>
      </c>
      <c r="D317" s="22" t="s">
        <v>652</v>
      </c>
      <c r="E317" s="23">
        <v>1</v>
      </c>
      <c r="F317" s="22" t="s">
        <v>653</v>
      </c>
      <c r="G317" s="22" t="s">
        <v>654</v>
      </c>
      <c r="H317" s="22" t="s">
        <v>30</v>
      </c>
      <c r="I317" s="22" t="s">
        <v>655</v>
      </c>
      <c r="J317" s="22" t="s">
        <v>656</v>
      </c>
      <c r="K317" s="519" t="s">
        <v>1438</v>
      </c>
      <c r="L317" s="521" t="s">
        <v>1455</v>
      </c>
      <c r="M317" s="521" t="s">
        <v>1456</v>
      </c>
      <c r="N317" s="521" t="s">
        <v>815</v>
      </c>
      <c r="O317" s="22" t="s">
        <v>604</v>
      </c>
      <c r="P317" s="69" t="s">
        <v>59</v>
      </c>
      <c r="Q317" s="537" t="s">
        <v>657</v>
      </c>
      <c r="R317" s="335" t="str">
        <f t="shared" ref="R317:R332" ca="1" si="17">IF($N317 = "N","N/A",SUMIF(INDIRECT("'"&amp;K317&amp;"'!i:i"),L317,INDIRECT("'"&amp;K317&amp;"'!n:n")))</f>
        <v>N/A</v>
      </c>
      <c r="S317" s="335" t="str">
        <f t="shared" ref="S317:S332" ca="1" si="18">IF($N317 = "N","N/A",SUMIF(INDIRECT("'"&amp;K317&amp;"'!i:i"),M317,INDIRECT("'"&amp;K317&amp;"'!n:n")))</f>
        <v>N/A</v>
      </c>
      <c r="T317" s="429" t="s">
        <v>658</v>
      </c>
      <c r="U317" s="22" t="s">
        <v>659</v>
      </c>
      <c r="V317" s="24"/>
      <c r="W317" s="21"/>
      <c r="Y317" s="490"/>
    </row>
    <row r="318" spans="1:25" ht="105">
      <c r="A318" s="31">
        <v>315</v>
      </c>
      <c r="B318" s="22" t="s">
        <v>39</v>
      </c>
      <c r="C318" s="22" t="s">
        <v>651</v>
      </c>
      <c r="D318" s="22" t="s">
        <v>660</v>
      </c>
      <c r="E318" s="23">
        <v>1</v>
      </c>
      <c r="F318" s="22" t="s">
        <v>661</v>
      </c>
      <c r="G318" s="22" t="s">
        <v>654</v>
      </c>
      <c r="H318" s="22" t="s">
        <v>30</v>
      </c>
      <c r="I318" s="22" t="s">
        <v>662</v>
      </c>
      <c r="J318" s="22" t="s">
        <v>663</v>
      </c>
      <c r="K318" s="519" t="s">
        <v>1438</v>
      </c>
      <c r="L318" s="521" t="s">
        <v>1457</v>
      </c>
      <c r="M318" s="521" t="s">
        <v>1458</v>
      </c>
      <c r="N318" s="521" t="s">
        <v>815</v>
      </c>
      <c r="O318" s="22" t="s">
        <v>604</v>
      </c>
      <c r="P318" s="69" t="s">
        <v>59</v>
      </c>
      <c r="Q318" s="537" t="s">
        <v>657</v>
      </c>
      <c r="R318" s="335" t="str">
        <f t="shared" ca="1" si="17"/>
        <v>N/A</v>
      </c>
      <c r="S318" s="335" t="str">
        <f t="shared" ca="1" si="18"/>
        <v>N/A</v>
      </c>
      <c r="T318" s="429" t="s">
        <v>664</v>
      </c>
      <c r="U318" s="22" t="s">
        <v>659</v>
      </c>
      <c r="V318" s="24"/>
      <c r="W318" s="21"/>
      <c r="Y318" s="490"/>
    </row>
    <row r="319" spans="1:25" ht="90">
      <c r="A319" s="31">
        <v>316</v>
      </c>
      <c r="B319" s="22" t="s">
        <v>39</v>
      </c>
      <c r="C319" s="22" t="s">
        <v>651</v>
      </c>
      <c r="D319" s="22" t="s">
        <v>665</v>
      </c>
      <c r="E319" s="23">
        <v>1</v>
      </c>
      <c r="F319" s="22" t="s">
        <v>142</v>
      </c>
      <c r="G319" s="22" t="s">
        <v>654</v>
      </c>
      <c r="H319" s="22" t="s">
        <v>30</v>
      </c>
      <c r="I319" s="22" t="s">
        <v>666</v>
      </c>
      <c r="J319" s="22" t="s">
        <v>667</v>
      </c>
      <c r="K319" s="519" t="s">
        <v>1438</v>
      </c>
      <c r="L319" s="521" t="s">
        <v>1459</v>
      </c>
      <c r="M319" s="521" t="s">
        <v>1460</v>
      </c>
      <c r="N319" s="521" t="s">
        <v>815</v>
      </c>
      <c r="O319" s="22" t="s">
        <v>604</v>
      </c>
      <c r="P319" s="69" t="s">
        <v>59</v>
      </c>
      <c r="Q319" s="537" t="s">
        <v>657</v>
      </c>
      <c r="R319" s="335" t="str">
        <f t="shared" ca="1" si="17"/>
        <v>N/A</v>
      </c>
      <c r="S319" s="335" t="str">
        <f t="shared" ca="1" si="18"/>
        <v>N/A</v>
      </c>
      <c r="T319" s="429" t="s">
        <v>668</v>
      </c>
      <c r="U319" s="22" t="s">
        <v>659</v>
      </c>
      <c r="V319" s="24"/>
      <c r="W319" s="21"/>
      <c r="Y319" s="490"/>
    </row>
    <row r="320" spans="1:25" ht="135">
      <c r="A320" s="31">
        <v>317</v>
      </c>
      <c r="B320" s="22" t="s">
        <v>39</v>
      </c>
      <c r="C320" s="22" t="s">
        <v>651</v>
      </c>
      <c r="D320" s="22" t="s">
        <v>669</v>
      </c>
      <c r="E320" s="23">
        <v>1</v>
      </c>
      <c r="F320" s="22" t="s">
        <v>523</v>
      </c>
      <c r="G320" s="22" t="s">
        <v>654</v>
      </c>
      <c r="H320" s="22" t="s">
        <v>30</v>
      </c>
      <c r="I320" s="22" t="s">
        <v>670</v>
      </c>
      <c r="J320" s="22" t="s">
        <v>671</v>
      </c>
      <c r="K320" s="519" t="s">
        <v>1438</v>
      </c>
      <c r="L320" s="521" t="s">
        <v>1461</v>
      </c>
      <c r="M320" s="521" t="s">
        <v>1462</v>
      </c>
      <c r="N320" s="521" t="s">
        <v>815</v>
      </c>
      <c r="O320" s="22" t="s">
        <v>604</v>
      </c>
      <c r="P320" s="69" t="s">
        <v>59</v>
      </c>
      <c r="Q320" s="537" t="s">
        <v>657</v>
      </c>
      <c r="R320" s="335" t="str">
        <f t="shared" ca="1" si="17"/>
        <v>N/A</v>
      </c>
      <c r="S320" s="335" t="str">
        <f t="shared" ca="1" si="18"/>
        <v>N/A</v>
      </c>
      <c r="T320" s="429" t="s">
        <v>672</v>
      </c>
      <c r="U320" s="22" t="s">
        <v>673</v>
      </c>
      <c r="V320" s="24"/>
      <c r="W320" s="21"/>
      <c r="Y320" s="490"/>
    </row>
    <row r="321" spans="1:25" ht="105">
      <c r="A321" s="31">
        <v>318</v>
      </c>
      <c r="B321" s="22" t="s">
        <v>39</v>
      </c>
      <c r="C321" s="22" t="s">
        <v>651</v>
      </c>
      <c r="D321" s="22" t="s">
        <v>674</v>
      </c>
      <c r="E321" s="23">
        <v>1</v>
      </c>
      <c r="F321" s="22" t="s">
        <v>675</v>
      </c>
      <c r="G321" s="22" t="s">
        <v>676</v>
      </c>
      <c r="H321" s="22" t="s">
        <v>30</v>
      </c>
      <c r="I321" s="22" t="s">
        <v>677</v>
      </c>
      <c r="J321" s="22" t="s">
        <v>678</v>
      </c>
      <c r="K321" s="519" t="s">
        <v>1438</v>
      </c>
      <c r="L321" s="521" t="s">
        <v>1463</v>
      </c>
      <c r="M321" s="521" t="s">
        <v>1464</v>
      </c>
      <c r="N321" s="521" t="s">
        <v>815</v>
      </c>
      <c r="O321" s="22" t="s">
        <v>604</v>
      </c>
      <c r="P321" s="69" t="s">
        <v>59</v>
      </c>
      <c r="Q321" s="537" t="s">
        <v>657</v>
      </c>
      <c r="R321" s="335" t="str">
        <f t="shared" ca="1" si="17"/>
        <v>N/A</v>
      </c>
      <c r="S321" s="335" t="str">
        <f t="shared" ca="1" si="18"/>
        <v>N/A</v>
      </c>
      <c r="T321" s="429" t="s">
        <v>679</v>
      </c>
      <c r="U321" s="22" t="s">
        <v>680</v>
      </c>
      <c r="V321" s="24"/>
      <c r="W321" s="21"/>
      <c r="Y321" s="490"/>
    </row>
    <row r="322" spans="1:25" ht="105">
      <c r="A322" s="31">
        <v>319</v>
      </c>
      <c r="B322" s="22" t="s">
        <v>39</v>
      </c>
      <c r="C322" s="22" t="s">
        <v>651</v>
      </c>
      <c r="D322" s="22" t="s">
        <v>681</v>
      </c>
      <c r="E322" s="23">
        <v>1</v>
      </c>
      <c r="F322" s="22" t="s">
        <v>682</v>
      </c>
      <c r="G322" s="22" t="s">
        <v>676</v>
      </c>
      <c r="H322" s="22" t="s">
        <v>30</v>
      </c>
      <c r="I322" s="22" t="s">
        <v>683</v>
      </c>
      <c r="J322" s="22" t="s">
        <v>684</v>
      </c>
      <c r="K322" s="519" t="s">
        <v>1438</v>
      </c>
      <c r="L322" s="521" t="s">
        <v>1465</v>
      </c>
      <c r="M322" s="521" t="s">
        <v>1466</v>
      </c>
      <c r="N322" s="521" t="s">
        <v>815</v>
      </c>
      <c r="O322" s="22" t="s">
        <v>604</v>
      </c>
      <c r="P322" s="69" t="s">
        <v>59</v>
      </c>
      <c r="Q322" s="537" t="s">
        <v>657</v>
      </c>
      <c r="R322" s="335" t="str">
        <f t="shared" ca="1" si="17"/>
        <v>N/A</v>
      </c>
      <c r="S322" s="335" t="str">
        <f t="shared" ca="1" si="18"/>
        <v>N/A</v>
      </c>
      <c r="T322" s="429" t="s">
        <v>679</v>
      </c>
      <c r="U322" s="22" t="s">
        <v>680</v>
      </c>
      <c r="V322" s="24"/>
      <c r="W322" s="21"/>
      <c r="Y322" s="490"/>
    </row>
    <row r="323" spans="1:25" ht="105">
      <c r="A323" s="31">
        <v>320</v>
      </c>
      <c r="B323" s="22" t="s">
        <v>39</v>
      </c>
      <c r="C323" s="22" t="s">
        <v>651</v>
      </c>
      <c r="D323" s="22" t="s">
        <v>685</v>
      </c>
      <c r="E323" s="23">
        <v>1</v>
      </c>
      <c r="F323" s="22" t="s">
        <v>686</v>
      </c>
      <c r="G323" s="22" t="s">
        <v>676</v>
      </c>
      <c r="H323" s="22" t="s">
        <v>30</v>
      </c>
      <c r="I323" s="22" t="s">
        <v>687</v>
      </c>
      <c r="J323" s="22" t="s">
        <v>688</v>
      </c>
      <c r="K323" s="519" t="s">
        <v>1438</v>
      </c>
      <c r="L323" s="521" t="s">
        <v>1467</v>
      </c>
      <c r="M323" s="521" t="s">
        <v>1468</v>
      </c>
      <c r="N323" s="521" t="s">
        <v>815</v>
      </c>
      <c r="O323" s="22" t="s">
        <v>604</v>
      </c>
      <c r="P323" s="69" t="s">
        <v>59</v>
      </c>
      <c r="Q323" s="537" t="s">
        <v>657</v>
      </c>
      <c r="R323" s="335" t="str">
        <f t="shared" ca="1" si="17"/>
        <v>N/A</v>
      </c>
      <c r="S323" s="335" t="str">
        <f t="shared" ca="1" si="18"/>
        <v>N/A</v>
      </c>
      <c r="T323" s="429" t="s">
        <v>679</v>
      </c>
      <c r="U323" s="22" t="s">
        <v>680</v>
      </c>
      <c r="V323" s="24"/>
      <c r="W323" s="21"/>
      <c r="Y323" s="490"/>
    </row>
    <row r="324" spans="1:25" ht="165">
      <c r="A324" s="31">
        <v>321</v>
      </c>
      <c r="B324" s="22" t="s">
        <v>39</v>
      </c>
      <c r="C324" s="22" t="s">
        <v>651</v>
      </c>
      <c r="D324" s="22" t="s">
        <v>689</v>
      </c>
      <c r="E324" s="23">
        <v>1</v>
      </c>
      <c r="F324" s="22" t="s">
        <v>690</v>
      </c>
      <c r="G324" s="22" t="s">
        <v>691</v>
      </c>
      <c r="H324" s="22" t="s">
        <v>30</v>
      </c>
      <c r="I324" s="22" t="s">
        <v>692</v>
      </c>
      <c r="J324" s="22" t="s">
        <v>693</v>
      </c>
      <c r="K324" s="519" t="s">
        <v>1438</v>
      </c>
      <c r="L324" s="521" t="s">
        <v>1469</v>
      </c>
      <c r="M324" s="521" t="s">
        <v>1470</v>
      </c>
      <c r="N324" s="521" t="s">
        <v>815</v>
      </c>
      <c r="O324" s="22" t="s">
        <v>604</v>
      </c>
      <c r="P324" s="69" t="s">
        <v>59</v>
      </c>
      <c r="Q324" s="537" t="s">
        <v>657</v>
      </c>
      <c r="R324" s="335" t="str">
        <f t="shared" ca="1" si="17"/>
        <v>N/A</v>
      </c>
      <c r="S324" s="335" t="str">
        <f t="shared" ca="1" si="18"/>
        <v>N/A</v>
      </c>
      <c r="T324" s="429" t="s">
        <v>694</v>
      </c>
      <c r="U324" s="22" t="s">
        <v>695</v>
      </c>
      <c r="V324" s="24"/>
      <c r="W324" s="21"/>
      <c r="Y324" s="490"/>
    </row>
    <row r="325" spans="1:25" ht="165">
      <c r="A325" s="31">
        <v>322</v>
      </c>
      <c r="B325" s="22" t="s">
        <v>39</v>
      </c>
      <c r="C325" s="22" t="s">
        <v>651</v>
      </c>
      <c r="D325" s="22" t="s">
        <v>696</v>
      </c>
      <c r="E325" s="23">
        <v>1</v>
      </c>
      <c r="F325" s="22" t="s">
        <v>697</v>
      </c>
      <c r="G325" s="22" t="s">
        <v>691</v>
      </c>
      <c r="H325" s="22" t="s">
        <v>30</v>
      </c>
      <c r="I325" s="22" t="s">
        <v>698</v>
      </c>
      <c r="J325" s="22" t="s">
        <v>699</v>
      </c>
      <c r="K325" s="519" t="s">
        <v>1438</v>
      </c>
      <c r="L325" s="521" t="s">
        <v>1471</v>
      </c>
      <c r="M325" s="521" t="s">
        <v>1472</v>
      </c>
      <c r="N325" s="521" t="s">
        <v>815</v>
      </c>
      <c r="O325" s="22" t="s">
        <v>604</v>
      </c>
      <c r="P325" s="69" t="s">
        <v>59</v>
      </c>
      <c r="Q325" s="537" t="s">
        <v>1438</v>
      </c>
      <c r="R325" s="335" t="str">
        <f t="shared" ca="1" si="17"/>
        <v>N/A</v>
      </c>
      <c r="S325" s="335" t="str">
        <f t="shared" ca="1" si="18"/>
        <v>N/A</v>
      </c>
      <c r="T325" s="429" t="s">
        <v>694</v>
      </c>
      <c r="U325" s="22" t="s">
        <v>695</v>
      </c>
      <c r="V325" s="24"/>
      <c r="W325" s="21"/>
      <c r="Y325" s="490"/>
    </row>
    <row r="326" spans="1:25" ht="165">
      <c r="A326" s="31">
        <v>323</v>
      </c>
      <c r="B326" s="22" t="s">
        <v>39</v>
      </c>
      <c r="C326" s="22" t="s">
        <v>651</v>
      </c>
      <c r="D326" s="22" t="s">
        <v>700</v>
      </c>
      <c r="E326" s="23">
        <v>1</v>
      </c>
      <c r="F326" s="22" t="s">
        <v>701</v>
      </c>
      <c r="G326" s="22" t="s">
        <v>691</v>
      </c>
      <c r="H326" s="22" t="s">
        <v>30</v>
      </c>
      <c r="I326" s="22" t="s">
        <v>702</v>
      </c>
      <c r="J326" s="22" t="s">
        <v>703</v>
      </c>
      <c r="K326" s="519" t="s">
        <v>1438</v>
      </c>
      <c r="L326" s="521" t="s">
        <v>1473</v>
      </c>
      <c r="M326" s="521" t="s">
        <v>1474</v>
      </c>
      <c r="N326" s="521" t="s">
        <v>815</v>
      </c>
      <c r="O326" s="22" t="s">
        <v>604</v>
      </c>
      <c r="P326" s="69" t="s">
        <v>59</v>
      </c>
      <c r="Q326" s="537" t="s">
        <v>1438</v>
      </c>
      <c r="R326" s="335" t="str">
        <f t="shared" ca="1" si="17"/>
        <v>N/A</v>
      </c>
      <c r="S326" s="335" t="str">
        <f t="shared" ca="1" si="18"/>
        <v>N/A</v>
      </c>
      <c r="T326" s="429" t="s">
        <v>694</v>
      </c>
      <c r="U326" s="22" t="s">
        <v>695</v>
      </c>
      <c r="V326" s="24"/>
      <c r="W326" s="21"/>
      <c r="Y326" s="490"/>
    </row>
    <row r="327" spans="1:25" ht="165">
      <c r="A327" s="31">
        <v>324</v>
      </c>
      <c r="B327" s="22" t="s">
        <v>39</v>
      </c>
      <c r="C327" s="22" t="s">
        <v>651</v>
      </c>
      <c r="D327" s="22" t="s">
        <v>704</v>
      </c>
      <c r="E327" s="23">
        <v>1</v>
      </c>
      <c r="F327" s="22" t="s">
        <v>705</v>
      </c>
      <c r="G327" s="22" t="s">
        <v>691</v>
      </c>
      <c r="H327" s="22" t="s">
        <v>30</v>
      </c>
      <c r="I327" s="22" t="s">
        <v>706</v>
      </c>
      <c r="J327" s="22" t="s">
        <v>707</v>
      </c>
      <c r="K327" s="519" t="s">
        <v>1438</v>
      </c>
      <c r="L327" s="521" t="s">
        <v>1475</v>
      </c>
      <c r="M327" s="521" t="s">
        <v>1476</v>
      </c>
      <c r="N327" s="521" t="s">
        <v>815</v>
      </c>
      <c r="O327" s="22" t="s">
        <v>604</v>
      </c>
      <c r="P327" s="69" t="s">
        <v>59</v>
      </c>
      <c r="Q327" s="537" t="s">
        <v>1438</v>
      </c>
      <c r="R327" s="335" t="str">
        <f t="shared" ca="1" si="17"/>
        <v>N/A</v>
      </c>
      <c r="S327" s="335" t="str">
        <f t="shared" ca="1" si="18"/>
        <v>N/A</v>
      </c>
      <c r="T327" s="429" t="s">
        <v>694</v>
      </c>
      <c r="U327" s="22" t="s">
        <v>708</v>
      </c>
      <c r="V327" s="24"/>
      <c r="W327" s="21"/>
      <c r="Y327" s="490"/>
    </row>
    <row r="328" spans="1:25" ht="165">
      <c r="A328" s="31">
        <v>325</v>
      </c>
      <c r="B328" s="22" t="s">
        <v>39</v>
      </c>
      <c r="C328" s="22" t="s">
        <v>651</v>
      </c>
      <c r="D328" s="22" t="s">
        <v>709</v>
      </c>
      <c r="E328" s="23">
        <v>1</v>
      </c>
      <c r="F328" s="22" t="s">
        <v>690</v>
      </c>
      <c r="G328" s="22" t="s">
        <v>691</v>
      </c>
      <c r="H328" s="22" t="s">
        <v>30</v>
      </c>
      <c r="I328" s="22" t="s">
        <v>710</v>
      </c>
      <c r="J328" s="22" t="s">
        <v>711</v>
      </c>
      <c r="K328" s="519" t="s">
        <v>1438</v>
      </c>
      <c r="L328" s="521" t="s">
        <v>1477</v>
      </c>
      <c r="M328" s="521" t="s">
        <v>1478</v>
      </c>
      <c r="N328" s="521" t="s">
        <v>815</v>
      </c>
      <c r="O328" s="22" t="s">
        <v>604</v>
      </c>
      <c r="P328" s="69" t="s">
        <v>59</v>
      </c>
      <c r="Q328" s="537" t="s">
        <v>1438</v>
      </c>
      <c r="R328" s="335" t="str">
        <f t="shared" ca="1" si="17"/>
        <v>N/A</v>
      </c>
      <c r="S328" s="335" t="str">
        <f t="shared" ca="1" si="18"/>
        <v>N/A</v>
      </c>
      <c r="T328" s="429" t="s">
        <v>712</v>
      </c>
      <c r="U328" s="22" t="s">
        <v>695</v>
      </c>
      <c r="V328" s="24"/>
      <c r="W328" s="21"/>
      <c r="Y328" s="490"/>
    </row>
    <row r="329" spans="1:25" ht="165">
      <c r="A329" s="31">
        <v>326</v>
      </c>
      <c r="B329" s="22" t="s">
        <v>39</v>
      </c>
      <c r="C329" s="22" t="s">
        <v>651</v>
      </c>
      <c r="D329" s="22" t="s">
        <v>713</v>
      </c>
      <c r="E329" s="23">
        <v>1</v>
      </c>
      <c r="F329" s="22" t="s">
        <v>697</v>
      </c>
      <c r="G329" s="22" t="s">
        <v>691</v>
      </c>
      <c r="H329" s="22" t="s">
        <v>30</v>
      </c>
      <c r="I329" s="22" t="s">
        <v>714</v>
      </c>
      <c r="J329" s="22" t="s">
        <v>715</v>
      </c>
      <c r="K329" s="519" t="s">
        <v>1438</v>
      </c>
      <c r="L329" s="521" t="s">
        <v>1479</v>
      </c>
      <c r="M329" s="521" t="s">
        <v>1480</v>
      </c>
      <c r="N329" s="521" t="s">
        <v>815</v>
      </c>
      <c r="O329" s="22" t="s">
        <v>604</v>
      </c>
      <c r="P329" s="69" t="s">
        <v>59</v>
      </c>
      <c r="Q329" s="537" t="s">
        <v>1438</v>
      </c>
      <c r="R329" s="335" t="str">
        <f t="shared" ca="1" si="17"/>
        <v>N/A</v>
      </c>
      <c r="S329" s="335" t="str">
        <f t="shared" ca="1" si="18"/>
        <v>N/A</v>
      </c>
      <c r="T329" s="429" t="s">
        <v>712</v>
      </c>
      <c r="U329" s="22" t="s">
        <v>695</v>
      </c>
      <c r="V329" s="24"/>
      <c r="W329" s="21"/>
      <c r="Y329" s="490"/>
    </row>
    <row r="330" spans="1:25" ht="165">
      <c r="A330" s="31">
        <v>327</v>
      </c>
      <c r="B330" s="22" t="s">
        <v>39</v>
      </c>
      <c r="C330" s="22" t="s">
        <v>651</v>
      </c>
      <c r="D330" s="22" t="s">
        <v>716</v>
      </c>
      <c r="E330" s="23">
        <v>1</v>
      </c>
      <c r="F330" s="22" t="s">
        <v>701</v>
      </c>
      <c r="G330" s="22" t="s">
        <v>691</v>
      </c>
      <c r="H330" s="22" t="s">
        <v>30</v>
      </c>
      <c r="I330" s="22" t="s">
        <v>717</v>
      </c>
      <c r="J330" s="22" t="s">
        <v>718</v>
      </c>
      <c r="K330" s="519" t="s">
        <v>1438</v>
      </c>
      <c r="L330" s="521" t="s">
        <v>1481</v>
      </c>
      <c r="M330" s="521" t="s">
        <v>1482</v>
      </c>
      <c r="N330" s="521" t="s">
        <v>815</v>
      </c>
      <c r="O330" s="22" t="s">
        <v>604</v>
      </c>
      <c r="P330" s="69" t="s">
        <v>59</v>
      </c>
      <c r="Q330" s="537" t="s">
        <v>1438</v>
      </c>
      <c r="R330" s="335" t="str">
        <f t="shared" ca="1" si="17"/>
        <v>N/A</v>
      </c>
      <c r="S330" s="335" t="str">
        <f t="shared" ca="1" si="18"/>
        <v>N/A</v>
      </c>
      <c r="T330" s="429" t="s">
        <v>712</v>
      </c>
      <c r="U330" s="22" t="s">
        <v>695</v>
      </c>
      <c r="V330" s="24"/>
      <c r="W330" s="21"/>
      <c r="Y330" s="490"/>
    </row>
    <row r="331" spans="1:25" ht="165">
      <c r="A331" s="31">
        <v>328</v>
      </c>
      <c r="B331" s="22" t="s">
        <v>39</v>
      </c>
      <c r="C331" s="22" t="s">
        <v>651</v>
      </c>
      <c r="D331" s="22" t="s">
        <v>719</v>
      </c>
      <c r="E331" s="23">
        <v>1</v>
      </c>
      <c r="F331" s="22" t="s">
        <v>705</v>
      </c>
      <c r="G331" s="22" t="s">
        <v>691</v>
      </c>
      <c r="H331" s="22" t="s">
        <v>30</v>
      </c>
      <c r="I331" s="22" t="s">
        <v>720</v>
      </c>
      <c r="J331" s="22" t="s">
        <v>721</v>
      </c>
      <c r="K331" s="519" t="s">
        <v>1438</v>
      </c>
      <c r="L331" s="521" t="s">
        <v>1483</v>
      </c>
      <c r="M331" s="521" t="s">
        <v>1484</v>
      </c>
      <c r="N331" s="521" t="s">
        <v>815</v>
      </c>
      <c r="O331" s="22" t="s">
        <v>604</v>
      </c>
      <c r="P331" s="69" t="s">
        <v>59</v>
      </c>
      <c r="Q331" s="537" t="s">
        <v>1438</v>
      </c>
      <c r="R331" s="335" t="str">
        <f t="shared" ca="1" si="17"/>
        <v>N/A</v>
      </c>
      <c r="S331" s="335" t="str">
        <f t="shared" ca="1" si="18"/>
        <v>N/A</v>
      </c>
      <c r="T331" s="429" t="s">
        <v>712</v>
      </c>
      <c r="U331" s="22" t="s">
        <v>695</v>
      </c>
      <c r="V331" s="24"/>
      <c r="W331" s="21"/>
      <c r="Y331" s="490"/>
    </row>
    <row r="332" spans="1:25" ht="150">
      <c r="A332" s="32">
        <v>329</v>
      </c>
      <c r="B332" s="25" t="s">
        <v>39</v>
      </c>
      <c r="C332" s="25" t="s">
        <v>722</v>
      </c>
      <c r="D332" s="25" t="s">
        <v>723</v>
      </c>
      <c r="E332" s="26">
        <v>1</v>
      </c>
      <c r="F332" s="25" t="s">
        <v>724</v>
      </c>
      <c r="G332" s="25" t="s">
        <v>725</v>
      </c>
      <c r="H332" s="25" t="s">
        <v>30</v>
      </c>
      <c r="I332" s="25" t="s">
        <v>726</v>
      </c>
      <c r="J332" s="25" t="s">
        <v>727</v>
      </c>
      <c r="K332" s="519" t="s">
        <v>1438</v>
      </c>
      <c r="L332" s="521" t="s">
        <v>1485</v>
      </c>
      <c r="M332" s="521" t="s">
        <v>1486</v>
      </c>
      <c r="N332" s="523" t="s">
        <v>815</v>
      </c>
      <c r="O332" s="25" t="s">
        <v>604</v>
      </c>
      <c r="P332" s="69" t="s">
        <v>59</v>
      </c>
      <c r="Q332" s="538" t="s">
        <v>1438</v>
      </c>
      <c r="R332" s="335" t="str">
        <f t="shared" ca="1" si="17"/>
        <v>N/A</v>
      </c>
      <c r="S332" s="335" t="str">
        <f t="shared" ca="1" si="18"/>
        <v>N/A</v>
      </c>
      <c r="T332" s="27" t="s">
        <v>730</v>
      </c>
      <c r="U332" s="25" t="s">
        <v>731</v>
      </c>
      <c r="V332" s="28"/>
      <c r="W332" s="27"/>
      <c r="Y332" s="490"/>
    </row>
  </sheetData>
  <autoFilter ref="A2:W332" xr:uid="{DBF9CB31-CDA7-429E-AD0F-4469299D3D09}"/>
  <mergeCells count="2">
    <mergeCell ref="A1:A2"/>
    <mergeCell ref="P1:S1"/>
  </mergeCells>
  <printOptions horizontalCentered="1"/>
  <pageMargins left="0.2" right="0.2" top="0.75" bottom="0.75" header="0.3" footer="0.3"/>
  <pageSetup scale="28" fitToHeight="0" orientation="landscape" r:id="rId1"/>
  <headerFooter>
    <oddFooter>&amp;RMay 1, 2019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bf079a2-8838-46e4-a25e-754293e27338">
      <UserInfo>
        <DisplayName>Lisa Mau</DisplayName>
        <AccountId>183</AccountId>
        <AccountType/>
      </UserInfo>
    </SharedWithUsers>
    <_dlc_DocId xmlns="9bf079a2-8838-46e4-a25e-754293e27338">7RCVYNPDDY4V-1124760350-332095</_dlc_DocId>
    <_dlc_DocIdUrl xmlns="9bf079a2-8838-46e4-a25e-754293e27338">
      <Url>https://sempra.sharepoint.com/teams/sdgecp/policyandStrategy/_layouts/15/DocIdRedir.aspx?ID=7RCVYNPDDY4V-1124760350-332095</Url>
      <Description>7RCVYNPDDY4V-1124760350-332095</Description>
    </_dlc_DocIdUrl>
    <TaxCatchAll xmlns="9bf079a2-8838-46e4-a25e-754293e27338" xsi:nil="true"/>
    <MigrationSourceURL xmlns="70a15443-bdab-402e-9ca5-e542ef41682d" xsi:nil="true"/>
    <lcf76f155ced4ddcb4097134ff3c332f xmlns="70a15443-bdab-402e-9ca5-e542ef4168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DEF5E13CC9ADE44A202C9B2CCCCEE80" ma:contentTypeVersion="6274" ma:contentTypeDescription="Create a new document." ma:contentTypeScope="" ma:versionID="2dcb2e215220e8d09134c1b0519eacdd">
  <xsd:schema xmlns:xsd="http://www.w3.org/2001/XMLSchema" xmlns:xs="http://www.w3.org/2001/XMLSchema" xmlns:p="http://schemas.microsoft.com/office/2006/metadata/properties" xmlns:ns2="70a15443-bdab-402e-9ca5-e542ef41682d" xmlns:ns3="9bf079a2-8838-46e4-a25e-754293e27338" targetNamespace="http://schemas.microsoft.com/office/2006/metadata/properties" ma:root="true" ma:fieldsID="fed2d27f5974a388123281f6d5ea7c62" ns2:_="" ns3:_="">
    <xsd:import namespace="70a15443-bdab-402e-9ca5-e542ef41682d"/>
    <xsd:import namespace="9bf079a2-8838-46e4-a25e-754293e273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igrationSourceURL" minOccurs="0"/>
                <xsd:element ref="ns2:MediaServiceDateTaken" minOccurs="0"/>
                <xsd:element ref="ns2:MediaServiceLocation" minOccurs="0"/>
                <xsd:element ref="ns2:MediaServiceAutoKeyPoints" minOccurs="0"/>
                <xsd:element ref="ns2:MediaServiceKeyPoints" minOccurs="0"/>
                <xsd:element ref="ns3:_dlc_DocId" minOccurs="0"/>
                <xsd:element ref="ns3:_dlc_DocIdUrl" minOccurs="0"/>
                <xsd:element ref="ns3:_dlc_DocIdPersistId"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15443-bdab-402e-9ca5-e542ef4168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description="" ma:indexed="true"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igrationSourceURL" ma:index="14" nillable="true" ma:displayName="MigrationSourceURL" ma:internalName="MigrationSourceURL">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27620409-d42f-4c38-b540-a4c1fbfdb8cf}" ma:internalName="TaxCatchAll" ma:showField="CatchAllData" ma:web="9bf079a2-8838-46e4-a25e-754293e273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9F7240-130F-4C90-9728-30E175D43728}">
  <ds:schemaRefs>
    <ds:schemaRef ds:uri="http://purl.org/dc/elements/1.1/"/>
    <ds:schemaRef ds:uri="http://schemas.openxmlformats.org/package/2006/metadata/core-properties"/>
    <ds:schemaRef ds:uri="3325df28-eec4-448a-ae0a-6401eede20a6"/>
    <ds:schemaRef ds:uri="9bf079a2-8838-46e4-a25e-754293e27338"/>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86ACE58-32C5-471D-A052-144F6C02BF02}">
  <ds:schemaRefs>
    <ds:schemaRef ds:uri="http://schemas.microsoft.com/sharepoint/v3/contenttype/forms"/>
  </ds:schemaRefs>
</ds:datastoreItem>
</file>

<file path=customXml/itemProps3.xml><?xml version="1.0" encoding="utf-8"?>
<ds:datastoreItem xmlns:ds="http://schemas.openxmlformats.org/officeDocument/2006/customXml" ds:itemID="{48ADD734-BB42-45FC-983A-56DD06AD7142}">
  <ds:schemaRefs>
    <ds:schemaRef ds:uri="http://schemas.microsoft.com/sharepoint/events"/>
  </ds:schemaRefs>
</ds:datastoreItem>
</file>

<file path=customXml/itemProps4.xml><?xml version="1.0" encoding="utf-8"?>
<ds:datastoreItem xmlns:ds="http://schemas.openxmlformats.org/officeDocument/2006/customXml" ds:itemID="{7DB7FC36-24D1-421A-ACD5-21DACF18B7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33</vt:i4>
      </vt:variant>
    </vt:vector>
  </HeadingPairs>
  <TitlesOfParts>
    <vt:vector size="66" baseType="lpstr">
      <vt:lpstr>Attachment A</vt:lpstr>
      <vt:lpstr>TOC-A</vt:lpstr>
      <vt:lpstr>Pg0_ED</vt:lpstr>
      <vt:lpstr>ED Template</vt:lpstr>
      <vt:lpstr>Targets</vt:lpstr>
      <vt:lpstr>2016_ModelLink</vt:lpstr>
      <vt:lpstr>2017_ModelLink</vt:lpstr>
      <vt:lpstr>2018_ModelLink</vt:lpstr>
      <vt:lpstr>2019_ModelLink</vt:lpstr>
      <vt:lpstr>2020_ModelLink</vt:lpstr>
      <vt:lpstr>2021_Internal_ModelLink</vt:lpstr>
      <vt:lpstr>2021_ModelLink</vt:lpstr>
      <vt:lpstr>Definitions</vt:lpstr>
      <vt:lpstr>Pg1_All</vt:lpstr>
      <vt:lpstr>Pg1_P</vt:lpstr>
      <vt:lpstr>In1_Portfolio</vt:lpstr>
      <vt:lpstr>Pg2_ResSF</vt:lpstr>
      <vt:lpstr>In2_ResSF</vt:lpstr>
      <vt:lpstr>Pg3_ResMF</vt:lpstr>
      <vt:lpstr>In3_ResMF</vt:lpstr>
      <vt:lpstr>Pg4_Com</vt:lpstr>
      <vt:lpstr>In4_Com</vt:lpstr>
      <vt:lpstr>Pg5_Public</vt:lpstr>
      <vt:lpstr>In5_Public</vt:lpstr>
      <vt:lpstr>Pg5_Ind</vt:lpstr>
      <vt:lpstr>In6_Ind</vt:lpstr>
      <vt:lpstr>Pg7_Agr</vt:lpstr>
      <vt:lpstr>In7_Agr</vt:lpstr>
      <vt:lpstr>Pg8_C&amp;S</vt:lpstr>
      <vt:lpstr>In8_CS</vt:lpstr>
      <vt:lpstr>In9_WET</vt:lpstr>
      <vt:lpstr>ETP-Future</vt:lpstr>
      <vt:lpstr>T-9 BP Metrics</vt:lpstr>
      <vt:lpstr>In9_WET!MetricsCS</vt:lpstr>
      <vt:lpstr>MetricsCS</vt:lpstr>
      <vt:lpstr>'2016_ModelLink'!Print_Area</vt:lpstr>
      <vt:lpstr>'2017_ModelLink'!Print_Area</vt:lpstr>
      <vt:lpstr>'2018_ModelLink'!Print_Area</vt:lpstr>
      <vt:lpstr>'2019_ModelLink'!Print_Area</vt:lpstr>
      <vt:lpstr>'2020_ModelLink'!Print_Area</vt:lpstr>
      <vt:lpstr>'2021_Internal_ModelLink'!Print_Area</vt:lpstr>
      <vt:lpstr>'2021_ModelLink'!Print_Area</vt:lpstr>
      <vt:lpstr>'Attachment A'!Print_Area</vt:lpstr>
      <vt:lpstr>Definitions!Print_Area</vt:lpstr>
      <vt:lpstr>'ED Template'!Print_Area</vt:lpstr>
      <vt:lpstr>In8_CS!Print_Area</vt:lpstr>
      <vt:lpstr>In9_WET!Print_Area</vt:lpstr>
      <vt:lpstr>'TOC-A'!Print_Area</vt:lpstr>
      <vt:lpstr>'2016_ModelLink'!Print_Titles</vt:lpstr>
      <vt:lpstr>'2017_ModelLink'!Print_Titles</vt:lpstr>
      <vt:lpstr>'2018_ModelLink'!Print_Titles</vt:lpstr>
      <vt:lpstr>'2019_ModelLink'!Print_Titles</vt:lpstr>
      <vt:lpstr>'2020_ModelLink'!Print_Titles</vt:lpstr>
      <vt:lpstr>'2021_Internal_ModelLink'!Print_Titles</vt:lpstr>
      <vt:lpstr>'2021_ModelLink'!Print_Titles</vt:lpstr>
      <vt:lpstr>'ED Template'!Print_Titles</vt:lpstr>
      <vt:lpstr>In1_Portfolio!Print_Titles</vt:lpstr>
      <vt:lpstr>In2_ResSF!Print_Titles</vt:lpstr>
      <vt:lpstr>In3_ResMF!Print_Titles</vt:lpstr>
      <vt:lpstr>In4_Com!Print_Titles</vt:lpstr>
      <vt:lpstr>In5_Public!Print_Titles</vt:lpstr>
      <vt:lpstr>In6_Ind!Print_Titles</vt:lpstr>
      <vt:lpstr>In7_Agr!Print_Titles</vt:lpstr>
      <vt:lpstr>In8_CS!Print_Titles</vt:lpstr>
      <vt:lpstr>In9_WET!Print_Titles</vt:lpstr>
      <vt:lpstr>'T-9 BP Metrics'!Print_Titles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Standard Configuration</dc:creator>
  <cp:keywords/>
  <dc:description/>
  <cp:lastModifiedBy>Oye, Airi T</cp:lastModifiedBy>
  <cp:revision/>
  <cp:lastPrinted>2020-04-20T16:52:39Z</cp:lastPrinted>
  <dcterms:created xsi:type="dcterms:W3CDTF">2017-06-26T17:58:39Z</dcterms:created>
  <dcterms:modified xsi:type="dcterms:W3CDTF">2022-05-27T20:58:16Z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0x0101000DEF5E13CC9ADE44A202C9B2CCCCEE80</vt:lpwstr>
  </property>
  <property fmtid="{D5CDD505-2E9C-101B-9397-08002B2CF9AE}" pid="3" name="SCEDocumentType">
    <vt:lpwstr/>
  </property>
  <property fmtid="{D5CDD505-2E9C-101B-9397-08002B2CF9AE}" pid="4" name="TaxKeyword">
    <vt:lpwstr/>
  </property>
  <property fmtid="{D5CDD505-2E9C-101B-9397-08002B2CF9AE}" pid="5" name="SCE Handling Classifications">
    <vt:lpwstr/>
  </property>
  <property fmtid="{D5CDD505-2E9C-101B-9397-08002B2CF9AE}" pid="6" name="SCE Access Classification">
    <vt:lpwstr/>
  </property>
  <property fmtid="{D5CDD505-2E9C-101B-9397-08002B2CF9AE}" pid="7" name="SCE Owner">
    <vt:lpwstr/>
  </property>
  <property fmtid="{D5CDD505-2E9C-101B-9397-08002B2CF9AE}" pid="8" name="SharedWithUsers">
    <vt:lpwstr>183;#Lisa Mau</vt:lpwstr>
  </property>
  <property fmtid="{D5CDD505-2E9C-101B-9397-08002B2CF9AE}" pid="9" name="TaxKeywordTaxHTField">
    <vt:lpwstr/>
  </property>
  <property fmtid="{D5CDD505-2E9C-101B-9397-08002B2CF9AE}" pid="10" name="b01666ef1c1d4feda5610ef2152091e3">
    <vt:lpwstr/>
  </property>
  <property fmtid="{D5CDD505-2E9C-101B-9397-08002B2CF9AE}" pid="11" name="cf0f9a78bd504807a2e2623e4631b3fa">
    <vt:lpwstr/>
  </property>
  <property fmtid="{D5CDD505-2E9C-101B-9397-08002B2CF9AE}" pid="12" name="h19982cb4b68468f87fd990f143edc70">
    <vt:lpwstr/>
  </property>
  <property fmtid="{D5CDD505-2E9C-101B-9397-08002B2CF9AE}" pid="13" name="p966c3bd56b4429f8be8750bc2889a10">
    <vt:lpwstr/>
  </property>
  <property fmtid="{D5CDD505-2E9C-101B-9397-08002B2CF9AE}" pid="14" name="TaxCatchAll">
    <vt:lpwstr/>
  </property>
  <property fmtid="{D5CDD505-2E9C-101B-9397-08002B2CF9AE}" pid="15" name="_dlc_DocIdItemGuid">
    <vt:lpwstr>ad4a191d-2f2b-4a04-87af-dfb4d7347fea</vt:lpwstr>
  </property>
</Properties>
</file>