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empra.sharepoint.com/teams/transmissionrevenue/2024/TO6/Formula Rate Mechanism - REDLINE Version/"/>
    </mc:Choice>
  </mc:AlternateContent>
  <xr:revisionPtr revIDLastSave="66" documentId="8_{BB79670B-C130-4C34-9648-D50B6181AFFD}" xr6:coauthVersionLast="47" xr6:coauthVersionMax="47" xr10:uidLastSave="{41ED1C4B-13F0-4FF2-9E6B-65134A5092DE}"/>
  <bookViews>
    <workbookView xWindow="-28920" yWindow="-120" windowWidth="29040" windowHeight="15840" tabRatio="910" activeTab="1" xr2:uid="{E2AB3D54-CA3E-46C8-B83F-4907D07FF2B5}"/>
  </bookViews>
  <sheets>
    <sheet name="BK-1 Retail TRR" sheetId="132" r:id="rId1"/>
    <sheet name="BK-2 ISO TRR" sheetId="133" r:id="rId2"/>
    <sheet name="Stmt AD" sheetId="2" r:id="rId3"/>
    <sheet name="Stmt AE" sheetId="22" r:id="rId4"/>
    <sheet name="Stmt AF" sheetId="34" r:id="rId5"/>
    <sheet name="AF-1" sheetId="152" r:id="rId6"/>
    <sheet name="AF-2" sheetId="151" r:id="rId7"/>
    <sheet name="Stmt AG" sheetId="38" r:id="rId8"/>
    <sheet name="Stmt AH" sheetId="40" r:id="rId9"/>
    <sheet name="Stmt AI" sheetId="45" r:id="rId10"/>
    <sheet name="Stmt AJ" sheetId="46" r:id="rId11"/>
    <sheet name="Stmt AK" sheetId="66" r:id="rId12"/>
    <sheet name="Stmt AL" sheetId="69" r:id="rId13"/>
    <sheet name="Stmt AM" sheetId="72" r:id="rId14"/>
    <sheet name="Stmt AQ" sheetId="74" r:id="rId15"/>
    <sheet name="Stmt AR" sheetId="75" r:id="rId16"/>
    <sheet name="AR-1" sheetId="153" r:id="rId17"/>
    <sheet name="Stmt AT" sheetId="176" r:id="rId18"/>
    <sheet name="AT-1" sheetId="177" r:id="rId19"/>
    <sheet name="Stmt AU" sheetId="77" r:id="rId20"/>
    <sheet name="Stmt AV" sheetId="82" r:id="rId21"/>
    <sheet name="Stmt Misc." sheetId="137" r:id="rId22"/>
    <sheet name="Order 864-1" sheetId="171" r:id="rId23"/>
    <sheet name="Order 864-2" sheetId="172" r:id="rId24"/>
    <sheet name="Order 864-3" sheetId="173" r:id="rId25"/>
    <sheet name="Order 864-4" sheetId="174" r:id="rId26"/>
    <sheet name="True-Up" sheetId="140" r:id="rId27"/>
    <sheet name="Interest TU BP" sheetId="141" r:id="rId28"/>
    <sheet name="Interest TU CY" sheetId="142" r:id="rId29"/>
    <sheet name="Stmt AF Proration" sheetId="157" r:id="rId30"/>
    <sheet name="Summary of HV-LV Splits" sheetId="118" r:id="rId31"/>
  </sheets>
  <externalReferences>
    <externalReference r:id="rId32"/>
  </externalReference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24">'Order 864-3'!$A$1:$P$67</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9">"3HLUHWD7UCRUUESL6DDMKVCIX"</definedName>
    <definedName name="SAPBEXwbID" localSheetId="11">"3HLUHWD7UCRUUESL6DDMKVCIX"</definedName>
    <definedName name="SAPBEXwbID" localSheetId="15">"3OI398WBFRH41IFEVHKOMVZ17"</definedName>
    <definedName name="SAPBEXwbID" localSheetId="17">"3OI398WBFRH41IFEVHKOMVZ17"</definedName>
    <definedName name="SAPBEXwbID" localSheetId="19">"3GYSU24DE0L8OAD9MMA71DS87"</definedName>
    <definedName name="SAPBEXwbID" localSheetId="20">"3OI398WBFRH41IFEVHKOMVZ17"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 i="82" l="1"/>
  <c r="K40" i="82" s="1"/>
  <c r="K41" i="82" s="1"/>
  <c r="K42" i="82" s="1"/>
  <c r="K43" i="82" s="1"/>
  <c r="K44" i="82" s="1"/>
  <c r="K45" i="82" s="1"/>
  <c r="K46" i="82" s="1"/>
  <c r="K47" i="82" s="1"/>
  <c r="K48" i="82" s="1"/>
  <c r="K49" i="82" s="1"/>
  <c r="K50" i="82" s="1"/>
  <c r="K38" i="82"/>
  <c r="K37" i="82"/>
  <c r="E44" i="40"/>
  <c r="E40" i="40"/>
  <c r="I39" i="40"/>
  <c r="I40" i="40" s="1"/>
  <c r="I41" i="40" s="1"/>
  <c r="C16" i="142" l="1"/>
  <c r="M25" i="34" l="1"/>
  <c r="I25" i="34"/>
  <c r="K22" i="133"/>
  <c r="K23" i="133" s="1"/>
  <c r="K24" i="133" s="1"/>
  <c r="K25" i="133" s="1"/>
  <c r="K26" i="133" s="1"/>
  <c r="K27" i="133" s="1"/>
  <c r="K28" i="133" s="1"/>
  <c r="K29" i="133" s="1"/>
  <c r="K30" i="133" s="1"/>
  <c r="K31" i="133" s="1"/>
  <c r="K32" i="133" s="1"/>
  <c r="K33" i="133" s="1"/>
  <c r="K34" i="133" s="1"/>
  <c r="K35" i="133" s="1"/>
  <c r="K36" i="133" s="1"/>
  <c r="K37" i="133" s="1"/>
  <c r="K38" i="133" s="1"/>
  <c r="K39" i="133" s="1"/>
  <c r="K40" i="133" s="1"/>
  <c r="K41" i="133" s="1"/>
  <c r="K42" i="133" s="1"/>
  <c r="K43" i="133" s="1"/>
  <c r="K44" i="133" s="1"/>
  <c r="K21" i="133"/>
  <c r="A56" i="132"/>
  <c r="A57" i="132" s="1"/>
  <c r="A58" i="132" s="1"/>
  <c r="A59" i="132" s="1"/>
  <c r="A60" i="132" s="1"/>
  <c r="A61" i="132" s="1"/>
  <c r="A62" i="132" s="1"/>
  <c r="A63" i="132" s="1"/>
  <c r="A64" i="132" s="1"/>
  <c r="A65" i="132" s="1"/>
  <c r="A66" i="132" s="1"/>
  <c r="A67" i="132" s="1"/>
  <c r="A68" i="132" s="1"/>
  <c r="A69" i="132" s="1"/>
  <c r="A70" i="132" s="1"/>
  <c r="A71" i="132" s="1"/>
  <c r="A72" i="132" s="1"/>
  <c r="A73" i="132" s="1"/>
  <c r="A74" i="132" s="1"/>
  <c r="A75" i="132" s="1"/>
  <c r="A76" i="132" s="1"/>
  <c r="A77" i="132" s="1"/>
  <c r="A78" i="132" s="1"/>
  <c r="A79" i="132" s="1"/>
  <c r="A80" i="132" s="1"/>
  <c r="A81" i="132" s="1"/>
  <c r="A82" i="132" s="1"/>
  <c r="A83" i="132" s="1"/>
  <c r="A84" i="132" s="1"/>
  <c r="A85" i="132" s="1"/>
  <c r="A86" i="132" s="1"/>
  <c r="A87" i="132" s="1"/>
  <c r="A88" i="132" s="1"/>
  <c r="A89" i="132" s="1"/>
  <c r="A90" i="132" s="1"/>
  <c r="A91" i="132" s="1"/>
  <c r="A92" i="132" s="1"/>
  <c r="A93" i="132" s="1"/>
  <c r="I253" i="132" l="1"/>
  <c r="I254" i="132" s="1"/>
  <c r="I255" i="132" s="1"/>
  <c r="I256" i="132" s="1"/>
  <c r="I257" i="132" s="1"/>
  <c r="I258" i="132" s="1"/>
  <c r="I259" i="132" s="1"/>
  <c r="I260" i="132" s="1"/>
  <c r="I261" i="132" s="1"/>
  <c r="I262" i="132" s="1"/>
  <c r="I263" i="132" s="1"/>
  <c r="I264" i="132" s="1"/>
  <c r="I265" i="132" s="1"/>
  <c r="I266" i="132" s="1"/>
  <c r="I267" i="132" s="1"/>
  <c r="I268" i="132" s="1"/>
  <c r="I269" i="132" s="1"/>
  <c r="I270" i="132" s="1"/>
  <c r="I271" i="132" s="1"/>
  <c r="I272" i="132" s="1"/>
  <c r="I273" i="132" s="1"/>
  <c r="I274" i="132" s="1"/>
  <c r="I275" i="132" s="1"/>
  <c r="I276" i="132" s="1"/>
  <c r="I277" i="132" s="1"/>
  <c r="I278" i="132" s="1"/>
  <c r="I279" i="132" s="1"/>
  <c r="I280" i="132" s="1"/>
  <c r="I281" i="132" s="1"/>
  <c r="I282" i="132" s="1"/>
  <c r="I283" i="132" s="1"/>
  <c r="I284" i="132" s="1"/>
  <c r="I285" i="132" s="1"/>
  <c r="I286" i="132" s="1"/>
  <c r="I287" i="132" s="1"/>
  <c r="I288" i="132" s="1"/>
  <c r="I289" i="132" s="1"/>
  <c r="I290" i="132" s="1"/>
  <c r="I291" i="132" s="1"/>
  <c r="I292" i="132" s="1"/>
  <c r="I293" i="132" s="1"/>
  <c r="I294" i="132" s="1"/>
  <c r="I295" i="132" s="1"/>
  <c r="I296" i="132" s="1"/>
  <c r="I297" i="132" s="1"/>
  <c r="I298" i="132" s="1"/>
  <c r="E253" i="132"/>
  <c r="I207" i="132"/>
  <c r="I208" i="132" s="1"/>
  <c r="I209" i="132" s="1"/>
  <c r="I210" i="132" s="1"/>
  <c r="I211" i="132" s="1"/>
  <c r="I212" i="132" s="1"/>
  <c r="I213" i="132" s="1"/>
  <c r="I214" i="132" s="1"/>
  <c r="I215" i="132" s="1"/>
  <c r="I216" i="132" s="1"/>
  <c r="I217" i="132" s="1"/>
  <c r="I218" i="132" s="1"/>
  <c r="I219" i="132" s="1"/>
  <c r="I220" i="132" s="1"/>
  <c r="I221" i="132" s="1"/>
  <c r="I222" i="132" s="1"/>
  <c r="I223" i="132" s="1"/>
  <c r="I224" i="132" s="1"/>
  <c r="I225" i="132" s="1"/>
  <c r="I226" i="132" s="1"/>
  <c r="I227" i="132" s="1"/>
  <c r="I228" i="132" s="1"/>
  <c r="I229" i="132" s="1"/>
  <c r="I230" i="132" s="1"/>
  <c r="I231" i="132" s="1"/>
  <c r="I232" i="132" s="1"/>
  <c r="I233" i="132" s="1"/>
  <c r="I234" i="132" s="1"/>
  <c r="I235" i="132" s="1"/>
  <c r="I236" i="132" s="1"/>
  <c r="I237" i="132" s="1"/>
  <c r="H29" i="118" l="1"/>
  <c r="G29" i="118"/>
  <c r="G16" i="157"/>
  <c r="G17" i="157"/>
  <c r="G18" i="157"/>
  <c r="G19" i="157"/>
  <c r="G20" i="157"/>
  <c r="G21" i="157"/>
  <c r="G22" i="157"/>
  <c r="G23" i="157"/>
  <c r="G24" i="157"/>
  <c r="G25" i="157"/>
  <c r="G15" i="157"/>
  <c r="G14" i="157"/>
  <c r="F27" i="142"/>
  <c r="F26" i="142"/>
  <c r="F25" i="142"/>
  <c r="F24" i="142"/>
  <c r="F23" i="142"/>
  <c r="F22" i="142"/>
  <c r="F21" i="142"/>
  <c r="F20" i="142"/>
  <c r="F19" i="142"/>
  <c r="F18" i="142"/>
  <c r="F17" i="142"/>
  <c r="F16" i="142"/>
  <c r="I45" i="2"/>
  <c r="I20" i="66" l="1"/>
  <c r="I21" i="66" s="1"/>
  <c r="I22" i="66" s="1"/>
  <c r="I23" i="66" s="1"/>
  <c r="I24" i="66" s="1"/>
  <c r="I25" i="66" s="1"/>
  <c r="I26" i="66" s="1"/>
  <c r="I27" i="66" s="1"/>
  <c r="I28" i="66" s="1"/>
  <c r="I29" i="66" s="1"/>
  <c r="I30" i="66" s="1"/>
  <c r="I15" i="152"/>
  <c r="E25" i="45" l="1"/>
  <c r="I37" i="40" l="1"/>
  <c r="E254" i="132"/>
  <c r="K237" i="82"/>
  <c r="K238" i="82" s="1"/>
  <c r="K239" i="82" s="1"/>
  <c r="K240" i="82" s="1"/>
  <c r="K241" i="82" s="1"/>
  <c r="K242" i="82" s="1"/>
  <c r="K243" i="82" s="1"/>
  <c r="K244" i="82" s="1"/>
  <c r="K245" i="82" s="1"/>
  <c r="K246" i="82" s="1"/>
  <c r="K247" i="82" s="1"/>
  <c r="K248" i="82" s="1"/>
  <c r="K249" i="82" s="1"/>
  <c r="K250" i="82" s="1"/>
  <c r="K251" i="82" s="1"/>
  <c r="K252" i="82" s="1"/>
  <c r="K253" i="82" s="1"/>
  <c r="K254" i="82" s="1"/>
  <c r="K255" i="82" s="1"/>
  <c r="K256" i="82" s="1"/>
  <c r="K257" i="82" s="1"/>
  <c r="K258" i="82" s="1"/>
  <c r="K259" i="82" s="1"/>
  <c r="K260" i="82" s="1"/>
  <c r="K261" i="82" s="1"/>
  <c r="K262" i="82" s="1"/>
  <c r="K263" i="82" s="1"/>
  <c r="K264" i="82" s="1"/>
  <c r="K265" i="82" s="1"/>
  <c r="K266" i="82" s="1"/>
  <c r="K267" i="82" s="1"/>
  <c r="K268" i="82" s="1"/>
  <c r="K269" i="82" s="1"/>
  <c r="K270" i="82" s="1"/>
  <c r="K271" i="82" s="1"/>
  <c r="K272" i="82" s="1"/>
  <c r="K273" i="82" s="1"/>
  <c r="K274" i="82" s="1"/>
  <c r="K275" i="82" s="1"/>
  <c r="K276" i="82" s="1"/>
  <c r="K277" i="82" s="1"/>
  <c r="K278" i="82" s="1"/>
  <c r="K279" i="82" s="1"/>
  <c r="K280" i="82" s="1"/>
  <c r="K281" i="82" s="1"/>
  <c r="K282" i="82" s="1"/>
  <c r="K283" i="82" s="1"/>
  <c r="K284" i="82" s="1"/>
  <c r="K285" i="82" s="1"/>
  <c r="K148" i="82"/>
  <c r="K149" i="82" s="1"/>
  <c r="K150" i="82" s="1"/>
  <c r="K151" i="82" s="1"/>
  <c r="K152" i="82" s="1"/>
  <c r="K153" i="82" s="1"/>
  <c r="K154" i="82" s="1"/>
  <c r="K155" i="82" s="1"/>
  <c r="K156" i="82" s="1"/>
  <c r="K157" i="82" s="1"/>
  <c r="K158" i="82" s="1"/>
  <c r="K159" i="82" s="1"/>
  <c r="K160" i="82" s="1"/>
  <c r="K161" i="82" s="1"/>
  <c r="K162" i="82" s="1"/>
  <c r="K163" i="82" s="1"/>
  <c r="K164" i="82" s="1"/>
  <c r="K165" i="82" s="1"/>
  <c r="K166" i="82" s="1"/>
  <c r="K167" i="82" s="1"/>
  <c r="K168" i="82" s="1"/>
  <c r="K169" i="82" s="1"/>
  <c r="K170" i="82" s="1"/>
  <c r="K171" i="82" s="1"/>
  <c r="K172" i="82" s="1"/>
  <c r="K173" i="82" s="1"/>
  <c r="K174" i="82" s="1"/>
  <c r="K175" i="82" s="1"/>
  <c r="K176" i="82" s="1"/>
  <c r="K177" i="82" s="1"/>
  <c r="K178" i="82" s="1"/>
  <c r="K179" i="82" s="1"/>
  <c r="K180" i="82" s="1"/>
  <c r="K181" i="82" s="1"/>
  <c r="K182" i="82" s="1"/>
  <c r="K183" i="82" s="1"/>
  <c r="K184" i="82" s="1"/>
  <c r="K185" i="82" s="1"/>
  <c r="K186" i="82" s="1"/>
  <c r="K187" i="82" s="1"/>
  <c r="K188" i="82" s="1"/>
  <c r="K189" i="82" s="1"/>
  <c r="K190" i="82" s="1"/>
  <c r="K191" i="82" s="1"/>
  <c r="K192" i="82" s="1"/>
  <c r="K193" i="82" s="1"/>
  <c r="K194" i="82" s="1"/>
  <c r="K195" i="82" s="1"/>
  <c r="K196" i="82" s="1"/>
  <c r="K51" i="82"/>
  <c r="K52" i="82" s="1"/>
  <c r="K53" i="82" s="1"/>
  <c r="K54" i="82" s="1"/>
  <c r="K55" i="82" s="1"/>
  <c r="K56" i="82" s="1"/>
  <c r="K57" i="82" s="1"/>
  <c r="K58" i="82" s="1"/>
  <c r="K59" i="82" s="1"/>
  <c r="K60" i="82" s="1"/>
  <c r="K61" i="82" s="1"/>
  <c r="K62" i="82" s="1"/>
  <c r="K63" i="82" s="1"/>
  <c r="K64" i="82" s="1"/>
  <c r="K65" i="82" s="1"/>
  <c r="K66" i="82" s="1"/>
  <c r="K67" i="82" s="1"/>
  <c r="I21" i="40" l="1"/>
  <c r="I22" i="40" s="1"/>
  <c r="I23" i="40" s="1"/>
  <c r="I24" i="40" s="1"/>
  <c r="I38" i="40" l="1"/>
  <c r="I42" i="40" s="1"/>
  <c r="I43" i="40" s="1"/>
  <c r="E14" i="153"/>
  <c r="E13" i="153"/>
  <c r="G15" i="177"/>
  <c r="I16" i="151"/>
  <c r="I15" i="151"/>
  <c r="I44" i="40" l="1"/>
  <c r="I45" i="40" s="1"/>
  <c r="I46" i="40" s="1"/>
  <c r="I47" i="40" s="1"/>
  <c r="I48" i="40" s="1"/>
  <c r="I49" i="40" s="1"/>
  <c r="I50" i="40" s="1"/>
  <c r="I51" i="40" s="1"/>
  <c r="I52" i="40" s="1"/>
  <c r="I53" i="40" s="1"/>
  <c r="I54" i="40" s="1"/>
  <c r="I55" i="40" s="1"/>
  <c r="I56" i="40" s="1"/>
  <c r="I57" i="40" s="1"/>
  <c r="I58" i="40" s="1"/>
  <c r="I59" i="40" s="1"/>
  <c r="I60" i="40" s="1"/>
  <c r="I61" i="40" s="1"/>
  <c r="I62" i="40" s="1"/>
  <c r="I63" i="40" s="1"/>
  <c r="I64" i="40" s="1"/>
  <c r="I65" i="40" s="1"/>
  <c r="I66" i="40" s="1"/>
  <c r="G15" i="153"/>
  <c r="I18" i="153"/>
  <c r="I17" i="153"/>
  <c r="I16" i="153"/>
  <c r="I15" i="153"/>
  <c r="I14" i="153"/>
  <c r="A18" i="153"/>
  <c r="A17" i="153"/>
  <c r="A16" i="153"/>
  <c r="A15" i="153"/>
  <c r="A14" i="153"/>
  <c r="D64" i="173" l="1"/>
  <c r="D65" i="173" s="1"/>
  <c r="D66" i="173" s="1"/>
  <c r="D67" i="173" s="1"/>
  <c r="J63" i="173" l="1"/>
  <c r="J62" i="173"/>
  <c r="D64" i="171" l="1"/>
  <c r="D65" i="171" s="1"/>
  <c r="D66" i="171" s="1"/>
  <c r="D67" i="171" s="1"/>
  <c r="J63" i="171" l="1"/>
  <c r="J62" i="171"/>
  <c r="C25" i="152" l="1"/>
  <c r="L17" i="173" l="1"/>
  <c r="J41" i="171"/>
  <c r="J41" i="173" s="1"/>
  <c r="J37" i="171"/>
  <c r="J37" i="173" s="1"/>
  <c r="J36" i="171"/>
  <c r="J36" i="173" s="1"/>
  <c r="J35" i="171"/>
  <c r="J35" i="173" s="1"/>
  <c r="J31" i="171"/>
  <c r="J31" i="173" s="1"/>
  <c r="J30" i="171"/>
  <c r="J30" i="173" s="1"/>
  <c r="J29" i="171"/>
  <c r="J29" i="173" s="1"/>
  <c r="J28" i="171"/>
  <c r="J27" i="171"/>
  <c r="J27" i="173" s="1"/>
  <c r="J22" i="171"/>
  <c r="J21" i="171"/>
  <c r="J20" i="171"/>
  <c r="J20" i="173" s="1"/>
  <c r="J19" i="171"/>
  <c r="J19" i="173" s="1"/>
  <c r="J18" i="171"/>
  <c r="J18" i="173" s="1"/>
  <c r="J17" i="171"/>
  <c r="J17" i="173" s="1"/>
  <c r="J16" i="171"/>
  <c r="J15" i="171"/>
  <c r="F34" i="174"/>
  <c r="G34" i="174" s="1"/>
  <c r="F33" i="174"/>
  <c r="G33" i="174" s="1"/>
  <c r="F32" i="174"/>
  <c r="G32" i="174" s="1"/>
  <c r="E35" i="174"/>
  <c r="D35" i="174"/>
  <c r="E27" i="174"/>
  <c r="D27" i="174"/>
  <c r="F25" i="174"/>
  <c r="G25" i="174" s="1"/>
  <c r="F24" i="174"/>
  <c r="G24" i="174" s="1"/>
  <c r="F22" i="174"/>
  <c r="G22" i="174" s="1"/>
  <c r="F20" i="174"/>
  <c r="G20" i="174" s="1"/>
  <c r="F19" i="174"/>
  <c r="G19" i="174" s="1"/>
  <c r="F18" i="174"/>
  <c r="G18" i="174" s="1"/>
  <c r="K31" i="171"/>
  <c r="K30" i="171"/>
  <c r="K29" i="171"/>
  <c r="K22" i="171"/>
  <c r="K21" i="171"/>
  <c r="K19" i="171"/>
  <c r="K17" i="171"/>
  <c r="H20" i="172" s="1"/>
  <c r="K16" i="171"/>
  <c r="K15" i="171"/>
  <c r="L31" i="173"/>
  <c r="L30" i="173"/>
  <c r="L21" i="173"/>
  <c r="F32" i="173"/>
  <c r="G32" i="173"/>
  <c r="H32" i="173"/>
  <c r="I32" i="173"/>
  <c r="F24" i="173"/>
  <c r="G24" i="173"/>
  <c r="F34" i="172"/>
  <c r="G34" i="172" s="1"/>
  <c r="F33" i="172"/>
  <c r="G33" i="172" s="1"/>
  <c r="F32" i="172"/>
  <c r="G32" i="172" s="1"/>
  <c r="H25" i="172"/>
  <c r="F25" i="172"/>
  <c r="G25" i="172" s="1"/>
  <c r="F24" i="172"/>
  <c r="G24" i="172" s="1"/>
  <c r="F22" i="172"/>
  <c r="G22" i="172" s="1"/>
  <c r="F20" i="172"/>
  <c r="G20" i="172" s="1"/>
  <c r="F19" i="172"/>
  <c r="G19" i="172" s="1"/>
  <c r="F18" i="172"/>
  <c r="G18" i="172" s="1"/>
  <c r="E35" i="172"/>
  <c r="D35" i="172"/>
  <c r="E27" i="172"/>
  <c r="D27" i="172"/>
  <c r="E32" i="171"/>
  <c r="F32" i="171"/>
  <c r="G32" i="171"/>
  <c r="H32" i="171"/>
  <c r="I32" i="171"/>
  <c r="D32" i="171"/>
  <c r="E24" i="171"/>
  <c r="F24" i="171"/>
  <c r="G24" i="171"/>
  <c r="H24" i="171"/>
  <c r="I24" i="171"/>
  <c r="D24" i="171"/>
  <c r="G267" i="82"/>
  <c r="G257" i="82"/>
  <c r="G230" i="82"/>
  <c r="G178" i="82"/>
  <c r="H18" i="172" l="1"/>
  <c r="H24" i="172"/>
  <c r="I24" i="172" s="1"/>
  <c r="L21" i="171" s="1"/>
  <c r="J32" i="171"/>
  <c r="J38" i="173"/>
  <c r="J24" i="171"/>
  <c r="J38" i="171"/>
  <c r="J28" i="173"/>
  <c r="J32" i="173" s="1"/>
  <c r="G27" i="174"/>
  <c r="F27" i="174"/>
  <c r="H34" i="172"/>
  <c r="I34" i="172" s="1"/>
  <c r="L31" i="171" s="1"/>
  <c r="H33" i="172"/>
  <c r="I33" i="172" s="1"/>
  <c r="L30" i="171" s="1"/>
  <c r="H32" i="172"/>
  <c r="I25" i="172"/>
  <c r="L22" i="171" s="1"/>
  <c r="H22" i="172"/>
  <c r="I22" i="172" s="1"/>
  <c r="L19" i="171" s="1"/>
  <c r="N19" i="171" s="1"/>
  <c r="E19" i="173" s="1"/>
  <c r="H19" i="172"/>
  <c r="I19" i="172" s="1"/>
  <c r="L16" i="171" s="1"/>
  <c r="I18" i="172"/>
  <c r="L15" i="171" s="1"/>
  <c r="I20" i="172"/>
  <c r="L17" i="171" s="1"/>
  <c r="G227" i="82"/>
  <c r="M16" i="171" l="1"/>
  <c r="D16" i="173" s="1"/>
  <c r="M15" i="171"/>
  <c r="E13" i="152" s="1"/>
  <c r="M19" i="171"/>
  <c r="D19" i="173" s="1"/>
  <c r="M17" i="171"/>
  <c r="D17" i="173" s="1"/>
  <c r="N16" i="171"/>
  <c r="E16" i="173" s="1"/>
  <c r="N15" i="171"/>
  <c r="N17" i="171"/>
  <c r="E17" i="173" s="1"/>
  <c r="M22" i="171"/>
  <c r="D22" i="173" s="1"/>
  <c r="N22" i="171"/>
  <c r="E22" i="173" s="1"/>
  <c r="N21" i="171"/>
  <c r="E21" i="173" s="1"/>
  <c r="M21" i="171"/>
  <c r="D21" i="173" s="1"/>
  <c r="J43" i="173"/>
  <c r="J43" i="171"/>
  <c r="J45" i="171" s="1"/>
  <c r="I32" i="172"/>
  <c r="L29" i="171" s="1"/>
  <c r="K19" i="173"/>
  <c r="H22" i="174" s="1"/>
  <c r="I22" i="174" s="1"/>
  <c r="J16" i="173"/>
  <c r="E15" i="173" l="1"/>
  <c r="G13" i="152"/>
  <c r="K17" i="173"/>
  <c r="H20" i="174" s="1"/>
  <c r="I20" i="174" s="1"/>
  <c r="N30" i="171"/>
  <c r="E30" i="173" s="1"/>
  <c r="M31" i="171"/>
  <c r="D31" i="173" s="1"/>
  <c r="M30" i="171"/>
  <c r="D30" i="173" s="1"/>
  <c r="M29" i="171"/>
  <c r="N31" i="171"/>
  <c r="E31" i="173" s="1"/>
  <c r="N29" i="171"/>
  <c r="G28" i="152"/>
  <c r="C28" i="153"/>
  <c r="E28" i="152"/>
  <c r="K16" i="173"/>
  <c r="H19" i="174" s="1"/>
  <c r="I19" i="174" s="1"/>
  <c r="D15" i="173"/>
  <c r="J22" i="173"/>
  <c r="K31" i="173" l="1"/>
  <c r="H34" i="174" s="1"/>
  <c r="I34" i="174" s="1"/>
  <c r="K30" i="173"/>
  <c r="H33" i="174" s="1"/>
  <c r="I33" i="174" s="1"/>
  <c r="K22" i="173"/>
  <c r="H25" i="174" s="1"/>
  <c r="I25" i="174" s="1"/>
  <c r="J21" i="173"/>
  <c r="C13" i="153"/>
  <c r="G13" i="153" s="1"/>
  <c r="J15" i="173"/>
  <c r="E28" i="153"/>
  <c r="H24" i="173"/>
  <c r="I24" i="173"/>
  <c r="D29" i="173"/>
  <c r="E29" i="173"/>
  <c r="K21" i="173"/>
  <c r="H24" i="174" s="1"/>
  <c r="I24" i="174" s="1"/>
  <c r="K15" i="173"/>
  <c r="H18" i="174" s="1"/>
  <c r="C33" i="177"/>
  <c r="H27" i="174" l="1"/>
  <c r="I18" i="174"/>
  <c r="I27" i="174" s="1"/>
  <c r="K29" i="173"/>
  <c r="H32" i="174" s="1"/>
  <c r="I32" i="174" s="1"/>
  <c r="J24" i="173"/>
  <c r="J45"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G44" i="174"/>
  <c r="F44" i="174"/>
  <c r="E41" i="174"/>
  <c r="D41" i="174"/>
  <c r="F40" i="174"/>
  <c r="G40" i="174" s="1"/>
  <c r="F39" i="174"/>
  <c r="G39" i="174" s="1"/>
  <c r="F38" i="174"/>
  <c r="E46" i="174"/>
  <c r="F30" i="174"/>
  <c r="K17" i="174"/>
  <c r="K18" i="174" s="1"/>
  <c r="K19" i="174" s="1"/>
  <c r="K20" i="174" s="1"/>
  <c r="K21" i="174" s="1"/>
  <c r="K22" i="174" s="1"/>
  <c r="K23" i="174" s="1"/>
  <c r="K24" i="174" s="1"/>
  <c r="K25" i="174" s="1"/>
  <c r="K26" i="174" s="1"/>
  <c r="K27" i="174" s="1"/>
  <c r="K28" i="174" s="1"/>
  <c r="K29" i="174" s="1"/>
  <c r="K30" i="174" s="1"/>
  <c r="K31" i="174" s="1"/>
  <c r="K32" i="174" s="1"/>
  <c r="K33" i="174" s="1"/>
  <c r="K34" i="174" s="1"/>
  <c r="K35" i="174" s="1"/>
  <c r="K36" i="174" s="1"/>
  <c r="K37" i="174" s="1"/>
  <c r="K38" i="174" s="1"/>
  <c r="K39" i="174" s="1"/>
  <c r="K40" i="174" s="1"/>
  <c r="K41" i="174" s="1"/>
  <c r="K42" i="174" s="1"/>
  <c r="K43" i="174" s="1"/>
  <c r="K44" i="174" s="1"/>
  <c r="K45" i="174" s="1"/>
  <c r="K46" i="174" s="1"/>
  <c r="K47" i="174" s="1"/>
  <c r="K48" i="174" s="1"/>
  <c r="A17" i="174"/>
  <c r="A18" i="174" s="1"/>
  <c r="A19" i="174" s="1"/>
  <c r="A20" i="174" s="1"/>
  <c r="A21" i="174" s="1"/>
  <c r="A22" i="174" s="1"/>
  <c r="A23" i="174" s="1"/>
  <c r="A24" i="174" s="1"/>
  <c r="A25" i="174" s="1"/>
  <c r="A26" i="174" s="1"/>
  <c r="A27" i="174" s="1"/>
  <c r="A28" i="174" s="1"/>
  <c r="A29" i="174" s="1"/>
  <c r="A30" i="174" s="1"/>
  <c r="A31" i="174" s="1"/>
  <c r="A32" i="174" s="1"/>
  <c r="A33" i="174" s="1"/>
  <c r="A34" i="174" s="1"/>
  <c r="A35" i="174" s="1"/>
  <c r="A36" i="174" s="1"/>
  <c r="A37" i="174" s="1"/>
  <c r="A38" i="174" s="1"/>
  <c r="A39" i="174" s="1"/>
  <c r="A40" i="174" s="1"/>
  <c r="A41" i="174" s="1"/>
  <c r="A42" i="174" s="1"/>
  <c r="A43" i="174" s="1"/>
  <c r="A44" i="174" s="1"/>
  <c r="A45" i="174" s="1"/>
  <c r="A46" i="174" s="1"/>
  <c r="A47" i="174" s="1"/>
  <c r="A48" i="174" s="1"/>
  <c r="I38" i="173"/>
  <c r="C21" i="153" s="1"/>
  <c r="H38" i="173"/>
  <c r="E21" i="153" s="1"/>
  <c r="G38" i="173"/>
  <c r="G43" i="173" s="1"/>
  <c r="F38" i="173"/>
  <c r="P14" i="173"/>
  <c r="P15" i="173" s="1"/>
  <c r="P16" i="173" s="1"/>
  <c r="P17" i="173" s="1"/>
  <c r="P18" i="173" s="1"/>
  <c r="P19" i="173" s="1"/>
  <c r="P20" i="173" s="1"/>
  <c r="P21" i="173" s="1"/>
  <c r="P22" i="173" s="1"/>
  <c r="P23" i="173" s="1"/>
  <c r="P24" i="173" s="1"/>
  <c r="P25" i="173" s="1"/>
  <c r="P26" i="173" s="1"/>
  <c r="P27" i="173" s="1"/>
  <c r="P28" i="173" s="1"/>
  <c r="P29" i="173" s="1"/>
  <c r="P30" i="173" s="1"/>
  <c r="P31" i="173" s="1"/>
  <c r="P32" i="173" s="1"/>
  <c r="P33" i="173" s="1"/>
  <c r="P34" i="173" s="1"/>
  <c r="P35" i="173" s="1"/>
  <c r="P36" i="173" s="1"/>
  <c r="P37" i="173" s="1"/>
  <c r="P38" i="173" s="1"/>
  <c r="P39" i="173" s="1"/>
  <c r="P40" i="173" s="1"/>
  <c r="P41" i="173" s="1"/>
  <c r="P42" i="173" s="1"/>
  <c r="P43" i="173" s="1"/>
  <c r="P44" i="173" s="1"/>
  <c r="P45" i="173" s="1"/>
  <c r="A14" i="173"/>
  <c r="A15" i="173" s="1"/>
  <c r="A16" i="173" s="1"/>
  <c r="A17" i="173" s="1"/>
  <c r="A18" i="173" s="1"/>
  <c r="A19" i="173" s="1"/>
  <c r="A20" i="173" s="1"/>
  <c r="A21" i="173" s="1"/>
  <c r="A22" i="173" s="1"/>
  <c r="A23" i="173" s="1"/>
  <c r="A24" i="173" s="1"/>
  <c r="A25" i="173" s="1"/>
  <c r="A26" i="173" s="1"/>
  <c r="A27" i="173" s="1"/>
  <c r="A28" i="173" s="1"/>
  <c r="A29" i="173" s="1"/>
  <c r="A30" i="173" s="1"/>
  <c r="A31" i="173" s="1"/>
  <c r="A32" i="173" s="1"/>
  <c r="A33" i="173" s="1"/>
  <c r="A34" i="173" s="1"/>
  <c r="A35" i="173" s="1"/>
  <c r="A36" i="173" s="1"/>
  <c r="A37" i="173" s="1"/>
  <c r="A38" i="173" s="1"/>
  <c r="A39" i="173" s="1"/>
  <c r="A40" i="173" s="1"/>
  <c r="A41" i="173" s="1"/>
  <c r="A42" i="173" s="1"/>
  <c r="A43" i="173" s="1"/>
  <c r="A44" i="173" s="1"/>
  <c r="A45" i="173" s="1"/>
  <c r="F44" i="172"/>
  <c r="G44" i="172" s="1"/>
  <c r="E41" i="172"/>
  <c r="D41" i="172"/>
  <c r="F40" i="172"/>
  <c r="G40" i="172" s="1"/>
  <c r="F39" i="172"/>
  <c r="G39" i="172" s="1"/>
  <c r="F38" i="172"/>
  <c r="G38" i="172" s="1"/>
  <c r="F35" i="172"/>
  <c r="F30" i="172"/>
  <c r="G30" i="172" s="1"/>
  <c r="K17" i="172"/>
  <c r="K18" i="172" s="1"/>
  <c r="K19" i="172" s="1"/>
  <c r="K20" i="172" s="1"/>
  <c r="K21" i="172" s="1"/>
  <c r="K22" i="172" s="1"/>
  <c r="K23" i="172" s="1"/>
  <c r="K24" i="172" s="1"/>
  <c r="K25" i="172" s="1"/>
  <c r="K26" i="172" s="1"/>
  <c r="K27" i="172" s="1"/>
  <c r="K28" i="172" s="1"/>
  <c r="K29" i="172" s="1"/>
  <c r="K30" i="172" s="1"/>
  <c r="K31" i="172" s="1"/>
  <c r="K32" i="172" s="1"/>
  <c r="K33" i="172" s="1"/>
  <c r="K34" i="172" s="1"/>
  <c r="K35" i="172" s="1"/>
  <c r="K36" i="172" s="1"/>
  <c r="K37" i="172" s="1"/>
  <c r="K38" i="172" s="1"/>
  <c r="K39" i="172" s="1"/>
  <c r="K40" i="172" s="1"/>
  <c r="K41" i="172" s="1"/>
  <c r="K42" i="172" s="1"/>
  <c r="K43" i="172" s="1"/>
  <c r="K44" i="172" s="1"/>
  <c r="K45" i="172" s="1"/>
  <c r="K46" i="172" s="1"/>
  <c r="K47" i="172" s="1"/>
  <c r="K48" i="172" s="1"/>
  <c r="A17" i="172"/>
  <c r="A18" i="172" s="1"/>
  <c r="A19" i="172" s="1"/>
  <c r="A20" i="172" s="1"/>
  <c r="A21" i="172" s="1"/>
  <c r="A22" i="172" s="1"/>
  <c r="A23" i="172" s="1"/>
  <c r="A24" i="172" s="1"/>
  <c r="A25" i="172" s="1"/>
  <c r="A26" i="172" s="1"/>
  <c r="A27" i="172" s="1"/>
  <c r="A28" i="172" s="1"/>
  <c r="A29" i="172" s="1"/>
  <c r="A30" i="172" s="1"/>
  <c r="A31" i="172" s="1"/>
  <c r="A32" i="172" s="1"/>
  <c r="A33" i="172" s="1"/>
  <c r="A34" i="172" s="1"/>
  <c r="A35" i="172" s="1"/>
  <c r="A36" i="172" s="1"/>
  <c r="A37" i="172" s="1"/>
  <c r="A38" i="172" s="1"/>
  <c r="A39" i="172" s="1"/>
  <c r="A40" i="172" s="1"/>
  <c r="A41" i="172" s="1"/>
  <c r="A42" i="172" s="1"/>
  <c r="A43" i="172" s="1"/>
  <c r="A44" i="172" s="1"/>
  <c r="A45" i="172" s="1"/>
  <c r="A46" i="172" s="1"/>
  <c r="A47" i="172" s="1"/>
  <c r="A48" i="172" s="1"/>
  <c r="K41" i="171"/>
  <c r="I38" i="171"/>
  <c r="H38" i="171"/>
  <c r="G38" i="171"/>
  <c r="F38" i="171"/>
  <c r="E38" i="171"/>
  <c r="D38" i="171"/>
  <c r="K37" i="171"/>
  <c r="K36" i="171"/>
  <c r="K35" i="171"/>
  <c r="K27" i="171"/>
  <c r="P14" i="171"/>
  <c r="P15" i="171" s="1"/>
  <c r="P16" i="171" s="1"/>
  <c r="P17" i="171" s="1"/>
  <c r="P18" i="171" s="1"/>
  <c r="P19" i="171" s="1"/>
  <c r="P20" i="171" s="1"/>
  <c r="P21" i="171" s="1"/>
  <c r="P22" i="171" s="1"/>
  <c r="P23" i="171" s="1"/>
  <c r="P24" i="171" s="1"/>
  <c r="P25" i="171" s="1"/>
  <c r="P26" i="171" s="1"/>
  <c r="P27" i="171" s="1"/>
  <c r="P28" i="171" s="1"/>
  <c r="P29" i="171" s="1"/>
  <c r="P30" i="171" s="1"/>
  <c r="P31" i="171" s="1"/>
  <c r="P32" i="171" s="1"/>
  <c r="P33" i="171" s="1"/>
  <c r="P34" i="171" s="1"/>
  <c r="P35" i="171" s="1"/>
  <c r="P36" i="171" s="1"/>
  <c r="P37" i="171" s="1"/>
  <c r="P38" i="171" s="1"/>
  <c r="P39" i="171" s="1"/>
  <c r="P40" i="171" s="1"/>
  <c r="P41" i="171" s="1"/>
  <c r="P42" i="171" s="1"/>
  <c r="P43" i="171" s="1"/>
  <c r="P44" i="171" s="1"/>
  <c r="P45" i="171" s="1"/>
  <c r="A14" i="171"/>
  <c r="A15" i="171" s="1"/>
  <c r="A16" i="171" s="1"/>
  <c r="A17" i="171" s="1"/>
  <c r="A18" i="171" s="1"/>
  <c r="A19" i="171" s="1"/>
  <c r="A20" i="171" s="1"/>
  <c r="A21" i="171" s="1"/>
  <c r="A22" i="171" s="1"/>
  <c r="A23" i="171" s="1"/>
  <c r="A24" i="171" s="1"/>
  <c r="A25" i="171" s="1"/>
  <c r="A26" i="171" s="1"/>
  <c r="A27" i="171" s="1"/>
  <c r="A28" i="171" s="1"/>
  <c r="A29" i="171" s="1"/>
  <c r="A30" i="171" s="1"/>
  <c r="A31" i="171" s="1"/>
  <c r="A32" i="171" s="1"/>
  <c r="A33" i="171" s="1"/>
  <c r="A34" i="171" s="1"/>
  <c r="A35" i="171" s="1"/>
  <c r="A36" i="171" s="1"/>
  <c r="A37" i="171" s="1"/>
  <c r="A38" i="171" s="1"/>
  <c r="A39" i="171" s="1"/>
  <c r="A40" i="171" s="1"/>
  <c r="A41" i="171" s="1"/>
  <c r="A42" i="171" s="1"/>
  <c r="A43" i="171" s="1"/>
  <c r="A44" i="171" s="1"/>
  <c r="A45" i="171" s="1"/>
  <c r="G30" i="174" l="1"/>
  <c r="G35" i="174" s="1"/>
  <c r="F35" i="174"/>
  <c r="K32" i="171"/>
  <c r="I43" i="173"/>
  <c r="I45" i="173" s="1"/>
  <c r="H43" i="173"/>
  <c r="H45" i="173" s="1"/>
  <c r="G27" i="172"/>
  <c r="F27" i="172"/>
  <c r="K24" i="171"/>
  <c r="D46" i="172"/>
  <c r="D48" i="172" s="1"/>
  <c r="H43" i="171"/>
  <c r="H45" i="171" s="1"/>
  <c r="E46" i="172"/>
  <c r="E48" i="172" s="1"/>
  <c r="F43" i="173"/>
  <c r="F45" i="173" s="1"/>
  <c r="E19" i="176"/>
  <c r="G137" i="82" s="1"/>
  <c r="G35" i="172"/>
  <c r="L15" i="173"/>
  <c r="F41" i="174"/>
  <c r="G38" i="174"/>
  <c r="G41" i="174" s="1"/>
  <c r="H39" i="172"/>
  <c r="I39" i="172" s="1"/>
  <c r="L36" i="171" s="1"/>
  <c r="N36" i="171" s="1"/>
  <c r="F43" i="171"/>
  <c r="F45" i="171" s="1"/>
  <c r="G43" i="171"/>
  <c r="G45" i="171" s="1"/>
  <c r="E43" i="171"/>
  <c r="E45" i="171" s="1"/>
  <c r="I43" i="171"/>
  <c r="I45" i="171" s="1"/>
  <c r="D43" i="171"/>
  <c r="D45" i="171" s="1"/>
  <c r="K38" i="171"/>
  <c r="G41" i="172"/>
  <c r="E48" i="174"/>
  <c r="H38" i="172"/>
  <c r="H40" i="172"/>
  <c r="I40" i="172" s="1"/>
  <c r="L37" i="171" s="1"/>
  <c r="N37" i="171" s="1"/>
  <c r="H30" i="172"/>
  <c r="H35" i="172" s="1"/>
  <c r="G45" i="173"/>
  <c r="D46" i="174"/>
  <c r="D48" i="174" s="1"/>
  <c r="H44" i="172"/>
  <c r="F41" i="172"/>
  <c r="E37" i="173" l="1"/>
  <c r="M37" i="171"/>
  <c r="I24" i="152" s="1"/>
  <c r="M36" i="171"/>
  <c r="F46" i="174"/>
  <c r="L19" i="173"/>
  <c r="L16" i="173"/>
  <c r="M16" i="173" s="1"/>
  <c r="H27" i="172"/>
  <c r="F46" i="172"/>
  <c r="F48" i="172" s="1"/>
  <c r="F48" i="174"/>
  <c r="G46" i="172"/>
  <c r="G48" i="172" s="1"/>
  <c r="K43" i="171"/>
  <c r="K45" i="171" s="1"/>
  <c r="E36" i="173"/>
  <c r="H41" i="172"/>
  <c r="I30" i="172"/>
  <c r="L27" i="171" s="1"/>
  <c r="I38" i="172"/>
  <c r="L35" i="171" s="1"/>
  <c r="G46" i="174"/>
  <c r="G48" i="174" s="1"/>
  <c r="I44" i="172"/>
  <c r="L41" i="171" s="1"/>
  <c r="M15" i="173" l="1"/>
  <c r="N16" i="173"/>
  <c r="D36" i="173"/>
  <c r="I23" i="152"/>
  <c r="K36" i="173"/>
  <c r="N35" i="171"/>
  <c r="M35" i="171"/>
  <c r="N27" i="171"/>
  <c r="E27" i="173" s="1"/>
  <c r="E32" i="173" s="1"/>
  <c r="M27" i="171"/>
  <c r="N41" i="171"/>
  <c r="M41" i="171"/>
  <c r="N19" i="173"/>
  <c r="M19" i="173"/>
  <c r="N15" i="173"/>
  <c r="G13" i="151" s="1"/>
  <c r="N17" i="173"/>
  <c r="M17" i="173"/>
  <c r="L22" i="173"/>
  <c r="I35" i="172"/>
  <c r="L32" i="171"/>
  <c r="L24" i="171"/>
  <c r="I27" i="172"/>
  <c r="G33" i="152"/>
  <c r="E24" i="173"/>
  <c r="L38" i="171"/>
  <c r="H46" i="172"/>
  <c r="H48" i="172" s="1"/>
  <c r="I28" i="152"/>
  <c r="I33" i="152" s="1"/>
  <c r="D37" i="173"/>
  <c r="I41" i="172"/>
  <c r="H39" i="174" l="1"/>
  <c r="I39" i="174" s="1"/>
  <c r="L36" i="173" s="1"/>
  <c r="M36" i="173" s="1"/>
  <c r="E13" i="151"/>
  <c r="E41" i="173"/>
  <c r="N38" i="171"/>
  <c r="G21" i="152" s="1"/>
  <c r="D35" i="173"/>
  <c r="D38" i="173" s="1"/>
  <c r="M38" i="171"/>
  <c r="E21" i="152" s="1"/>
  <c r="E25" i="152" s="1"/>
  <c r="M22" i="173"/>
  <c r="N22" i="173"/>
  <c r="N21" i="173"/>
  <c r="M21" i="173"/>
  <c r="L24" i="173"/>
  <c r="M32" i="171"/>
  <c r="E14" i="152"/>
  <c r="L43" i="171"/>
  <c r="I46" i="172"/>
  <c r="I48" i="172" s="1"/>
  <c r="G14" i="152"/>
  <c r="I22" i="151"/>
  <c r="K37" i="173"/>
  <c r="H40" i="174" s="1"/>
  <c r="I40" i="174" s="1"/>
  <c r="L37" i="173" s="1"/>
  <c r="M24" i="171"/>
  <c r="H62" i="171" s="1"/>
  <c r="K62" i="171" s="1"/>
  <c r="N24" i="171"/>
  <c r="D27" i="173"/>
  <c r="D32" i="173" s="1"/>
  <c r="N36" i="173" l="1"/>
  <c r="I62" i="171"/>
  <c r="L62" i="171" s="1"/>
  <c r="G25" i="152"/>
  <c r="I22" i="152"/>
  <c r="N37" i="173"/>
  <c r="M37" i="173"/>
  <c r="N24" i="173"/>
  <c r="I62" i="173" s="1"/>
  <c r="L62" i="173" s="1"/>
  <c r="M24" i="173"/>
  <c r="H62" i="173" s="1"/>
  <c r="K62" i="173" s="1"/>
  <c r="E28" i="151"/>
  <c r="G28" i="151"/>
  <c r="G33" i="151" s="1"/>
  <c r="I14" i="152"/>
  <c r="N32" i="171"/>
  <c r="G18" i="152"/>
  <c r="I13" i="152"/>
  <c r="D24" i="173"/>
  <c r="D41" i="173"/>
  <c r="K41" i="173" s="1"/>
  <c r="H44" i="174" s="1"/>
  <c r="I44" i="174" s="1"/>
  <c r="L41" i="173" s="1"/>
  <c r="K27" i="173"/>
  <c r="H30" i="174" s="1"/>
  <c r="E35" i="173"/>
  <c r="L45" i="171"/>
  <c r="H35" i="174" l="1"/>
  <c r="I30" i="174"/>
  <c r="K32" i="173"/>
  <c r="M41" i="173"/>
  <c r="N41" i="173"/>
  <c r="I21" i="152"/>
  <c r="I25" i="152" s="1"/>
  <c r="G35" i="152"/>
  <c r="I28" i="151"/>
  <c r="I33" i="151" s="1"/>
  <c r="M43" i="171"/>
  <c r="N43" i="171"/>
  <c r="D43" i="173"/>
  <c r="E38" i="173"/>
  <c r="E43" i="173" s="1"/>
  <c r="E45" i="173" s="1"/>
  <c r="K35" i="173"/>
  <c r="H38" i="174" s="1"/>
  <c r="K24" i="173"/>
  <c r="H41" i="174" l="1"/>
  <c r="I38" i="174"/>
  <c r="L27" i="173"/>
  <c r="I35" i="174"/>
  <c r="L29" i="173" s="1"/>
  <c r="H46" i="174"/>
  <c r="H48" i="174" s="1"/>
  <c r="N45" i="171"/>
  <c r="N46" i="171" s="1"/>
  <c r="I63" i="171"/>
  <c r="L63" i="171" s="1"/>
  <c r="M45" i="171"/>
  <c r="H63" i="171"/>
  <c r="K63" i="171" s="1"/>
  <c r="D45" i="173"/>
  <c r="K38" i="173"/>
  <c r="K43" i="173" s="1"/>
  <c r="M29" i="173" l="1"/>
  <c r="N31" i="173"/>
  <c r="M31" i="173"/>
  <c r="N29" i="173"/>
  <c r="N30" i="173"/>
  <c r="M30" i="173"/>
  <c r="L32" i="173"/>
  <c r="M27" i="173"/>
  <c r="N27" i="173"/>
  <c r="L35" i="173"/>
  <c r="I41" i="174"/>
  <c r="I46" i="174" s="1"/>
  <c r="I48" i="174" s="1"/>
  <c r="K45" i="173"/>
  <c r="M32" i="173" l="1"/>
  <c r="E14" i="151"/>
  <c r="L38" i="173"/>
  <c r="L43" i="173" s="1"/>
  <c r="L45" i="173" s="1"/>
  <c r="M35" i="173"/>
  <c r="M38" i="173" s="1"/>
  <c r="M43" i="173" s="1"/>
  <c r="N35" i="173"/>
  <c r="N38" i="173" s="1"/>
  <c r="N43" i="173" s="1"/>
  <c r="N32" i="173"/>
  <c r="G14" i="151"/>
  <c r="G18" i="151" s="1"/>
  <c r="G21" i="151"/>
  <c r="G25" i="151" s="1"/>
  <c r="G35" i="151" s="1"/>
  <c r="I13" i="151"/>
  <c r="M45" i="173" l="1"/>
  <c r="H63" i="173"/>
  <c r="K63" i="173" s="1"/>
  <c r="N45" i="173"/>
  <c r="I63" i="173"/>
  <c r="L63" i="173" s="1"/>
  <c r="I14" i="151"/>
  <c r="N46" i="173"/>
  <c r="E21" i="151"/>
  <c r="E25" i="151" s="1"/>
  <c r="I21" i="151" l="1"/>
  <c r="E16" i="14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G23" i="140"/>
  <c r="F23" i="140"/>
  <c r="C23" i="140"/>
  <c r="C34" i="140" s="1"/>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N23" i="140" s="1"/>
  <c r="N24" i="140" s="1"/>
  <c r="N25" i="140" s="1"/>
  <c r="N26" i="140" s="1"/>
  <c r="N27" i="140" s="1"/>
  <c r="N28" i="140" s="1"/>
  <c r="N29" i="140" s="1"/>
  <c r="N30" i="140" s="1"/>
  <c r="N31" i="140" s="1"/>
  <c r="N32" i="140" s="1"/>
  <c r="N33" i="140" s="1"/>
  <c r="N34" i="140" s="1"/>
  <c r="N35" i="140" s="1"/>
  <c r="H34" i="140" l="1"/>
  <c r="H25" i="140"/>
  <c r="H29" i="140"/>
  <c r="H24" i="140"/>
  <c r="H33" i="140"/>
  <c r="H26" i="140"/>
  <c r="H32" i="140"/>
  <c r="H27" i="140"/>
  <c r="C29" i="140"/>
  <c r="H30" i="140"/>
  <c r="H23" i="140"/>
  <c r="C25" i="140"/>
  <c r="H28" i="140"/>
  <c r="H31" i="140"/>
  <c r="C16" i="141"/>
  <c r="G16" i="141"/>
  <c r="H16" i="141" s="1"/>
  <c r="C33" i="140"/>
  <c r="C24" i="140"/>
  <c r="C28" i="140"/>
  <c r="C32" i="140"/>
  <c r="C27" i="140"/>
  <c r="C31" i="140"/>
  <c r="C26" i="140"/>
  <c r="C30" i="140"/>
  <c r="H35" i="140" l="1"/>
  <c r="C17" i="141"/>
  <c r="C21" i="141"/>
  <c r="C25" i="141"/>
  <c r="C18" i="141"/>
  <c r="C22" i="141"/>
  <c r="C26" i="141"/>
  <c r="C19" i="141"/>
  <c r="C23" i="141"/>
  <c r="C27" i="141"/>
  <c r="C20" i="141"/>
  <c r="C24" i="141"/>
  <c r="F17" i="141"/>
  <c r="G17" i="141" l="1"/>
  <c r="H17" i="141" l="1"/>
  <c r="F18" i="141" l="1"/>
  <c r="G18" i="141" l="1"/>
  <c r="H18" i="141" l="1"/>
  <c r="F19" i="141" l="1"/>
  <c r="G19" i="141"/>
  <c r="H19" i="141" l="1"/>
  <c r="F20" i="141" l="1"/>
  <c r="G20" i="141"/>
  <c r="H20" i="141" l="1"/>
  <c r="F21" i="141" l="1"/>
  <c r="G21" i="141" l="1"/>
  <c r="H21" i="141" s="1"/>
  <c r="F22" i="141" l="1"/>
  <c r="G22" i="141" l="1"/>
  <c r="H22" i="141" s="1"/>
  <c r="F23" i="141" l="1"/>
  <c r="G23" i="141"/>
  <c r="H23" i="141" l="1"/>
  <c r="F24" i="141" l="1"/>
  <c r="G24" i="141"/>
  <c r="H24" i="141" l="1"/>
  <c r="F25" i="141" l="1"/>
  <c r="G25" i="141" l="1"/>
  <c r="H25" i="141" s="1"/>
  <c r="F26" i="141" l="1"/>
  <c r="G26" i="141" l="1"/>
  <c r="H26" i="141" s="1"/>
  <c r="F27" i="141" l="1"/>
  <c r="G27" i="141"/>
  <c r="G28" i="141" s="1"/>
  <c r="H27" i="141" l="1"/>
  <c r="B5" i="133" l="1"/>
  <c r="B5" i="22"/>
  <c r="G13" i="157" l="1"/>
  <c r="F13" i="157"/>
  <c r="F14" i="157" s="1"/>
  <c r="D16" i="142"/>
  <c r="E101" i="82"/>
  <c r="E64" i="82"/>
  <c r="E51" i="82"/>
  <c r="G38" i="82"/>
  <c r="G41" i="82" s="1"/>
  <c r="G32" i="82"/>
  <c r="G25" i="82"/>
  <c r="G17" i="82"/>
  <c r="C33" i="153"/>
  <c r="E33" i="153"/>
  <c r="G28" i="153"/>
  <c r="C25" i="153"/>
  <c r="E25" i="153"/>
  <c r="G21" i="153"/>
  <c r="G17" i="153"/>
  <c r="G16" i="153"/>
  <c r="G14" i="153"/>
  <c r="E18" i="153"/>
  <c r="C18" i="153"/>
  <c r="E13" i="74"/>
  <c r="E27" i="69"/>
  <c r="E34" i="69" s="1"/>
  <c r="E15" i="66"/>
  <c r="E23" i="45"/>
  <c r="C33" i="151"/>
  <c r="E33" i="151"/>
  <c r="C25" i="151"/>
  <c r="I25" i="151"/>
  <c r="E18" i="151"/>
  <c r="C18" i="151"/>
  <c r="E33" i="152"/>
  <c r="C33" i="152"/>
  <c r="E18" i="152"/>
  <c r="C18" i="152"/>
  <c r="G27" i="82" l="1"/>
  <c r="C35" i="153"/>
  <c r="E35" i="153"/>
  <c r="E35" i="151"/>
  <c r="M46" i="173" s="1"/>
  <c r="C35" i="152"/>
  <c r="C35" i="151"/>
  <c r="E35" i="152"/>
  <c r="M46" i="171" s="1"/>
  <c r="F15" i="157"/>
  <c r="G18" i="153"/>
  <c r="E14" i="75" l="1"/>
  <c r="F16" i="157"/>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263" i="132"/>
  <c r="H264" i="132" s="1"/>
  <c r="H265" i="132" s="1"/>
  <c r="H266" i="132" s="1"/>
  <c r="H267" i="132" s="1"/>
  <c r="H268" i="132" s="1"/>
  <c r="H270" i="132" s="1"/>
  <c r="H271" i="132" s="1"/>
  <c r="H272" i="132" s="1"/>
  <c r="H273" i="132" s="1"/>
  <c r="H274" i="132" s="1"/>
  <c r="H275" i="132" s="1"/>
  <c r="H276" i="132" s="1"/>
  <c r="H277" i="132" s="1"/>
  <c r="H278" i="132" s="1"/>
  <c r="H279" i="132" s="1"/>
  <c r="H280" i="132" s="1"/>
  <c r="H281" i="132" s="1"/>
  <c r="H282" i="132" s="1"/>
  <c r="H283" i="132" s="1"/>
  <c r="H284" i="132" s="1"/>
  <c r="H285" i="132" s="1"/>
  <c r="H286" i="132" s="1"/>
  <c r="H287" i="132" s="1"/>
  <c r="H288" i="132" s="1"/>
  <c r="H289" i="132" s="1"/>
  <c r="H290" i="132" s="1"/>
  <c r="H291" i="132" s="1"/>
  <c r="H292" i="132" s="1"/>
  <c r="H293" i="132" s="1"/>
  <c r="H294" i="132" s="1"/>
  <c r="H295" i="132" s="1"/>
  <c r="H296" i="132" s="1"/>
  <c r="H297" i="132" s="1"/>
  <c r="H298" i="132" s="1"/>
  <c r="H217" i="132"/>
  <c r="H218" i="132" s="1"/>
  <c r="H219" i="132" s="1"/>
  <c r="H220" i="132" s="1"/>
  <c r="H221" i="132" s="1"/>
  <c r="H222" i="132" s="1"/>
  <c r="H224" i="132" s="1"/>
  <c r="H225" i="132" s="1"/>
  <c r="H226" i="132" s="1"/>
  <c r="H227" i="132" s="1"/>
  <c r="H228" i="132" s="1"/>
  <c r="H229" i="132" s="1"/>
  <c r="H230" i="132" s="1"/>
  <c r="H231" i="132" s="1"/>
  <c r="H232" i="132" s="1"/>
  <c r="H233" i="132" s="1"/>
  <c r="H234" i="132" s="1"/>
  <c r="H235" i="132" s="1"/>
  <c r="H236" i="132" s="1"/>
  <c r="H237" i="132" s="1"/>
  <c r="H315" i="132"/>
  <c r="H316" i="132" s="1"/>
  <c r="H317" i="132" s="1"/>
  <c r="H318" i="132" s="1"/>
  <c r="H319" i="132" s="1"/>
  <c r="H320" i="132" s="1"/>
  <c r="H321" i="132" s="1"/>
  <c r="H322" i="132" s="1"/>
  <c r="H323" i="132" s="1"/>
  <c r="H324" i="132" s="1"/>
  <c r="H325" i="132" s="1"/>
  <c r="H326" i="132" s="1"/>
  <c r="H327" i="132" s="1"/>
  <c r="H328" i="132" s="1"/>
  <c r="H329" i="132" s="1"/>
  <c r="H330" i="132" s="1"/>
  <c r="H331" i="132" s="1"/>
  <c r="H332" i="132" s="1"/>
  <c r="H333" i="132" s="1"/>
  <c r="H334" i="132" s="1"/>
  <c r="H335" i="132" s="1"/>
  <c r="H336" i="132" s="1"/>
  <c r="H337" i="132" s="1"/>
  <c r="H338" i="132" s="1"/>
  <c r="H339" i="132" s="1"/>
  <c r="A316" i="132"/>
  <c r="A317" i="132" s="1"/>
  <c r="A318" i="132" s="1"/>
  <c r="A319" i="132" s="1"/>
  <c r="A320" i="132" s="1"/>
  <c r="A321" i="132" s="1"/>
  <c r="A322" i="132" s="1"/>
  <c r="A323" i="132" s="1"/>
  <c r="A264" i="132"/>
  <c r="A265" i="132" s="1"/>
  <c r="A266" i="132" s="1"/>
  <c r="A267" i="132" s="1"/>
  <c r="A268" i="132" s="1"/>
  <c r="A270" i="132" s="1"/>
  <c r="A271" i="132" s="1"/>
  <c r="A272" i="132" s="1"/>
  <c r="A273" i="132" s="1"/>
  <c r="A274" i="132" s="1"/>
  <c r="A275" i="132" s="1"/>
  <c r="A276" i="132" s="1"/>
  <c r="A277" i="132" s="1"/>
  <c r="A278" i="132" s="1"/>
  <c r="A279" i="132" s="1"/>
  <c r="A280" i="132" s="1"/>
  <c r="A281" i="132" s="1"/>
  <c r="A282" i="132" s="1"/>
  <c r="A283" i="132" s="1"/>
  <c r="A284" i="132" s="1"/>
  <c r="A285" i="132" s="1"/>
  <c r="A286" i="132" s="1"/>
  <c r="A287" i="132" s="1"/>
  <c r="A288" i="132" s="1"/>
  <c r="A289" i="132" s="1"/>
  <c r="A290" i="132" s="1"/>
  <c r="A291" i="132" s="1"/>
  <c r="A292" i="132" s="1"/>
  <c r="A293" i="132" s="1"/>
  <c r="A294" i="132" s="1"/>
  <c r="A295" i="132" s="1"/>
  <c r="A296" i="132" s="1"/>
  <c r="A297" i="132" s="1"/>
  <c r="A298" i="132" s="1"/>
  <c r="H165" i="132"/>
  <c r="H166" i="132" s="1"/>
  <c r="H167" i="132" s="1"/>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89" i="132" s="1"/>
  <c r="H111" i="132"/>
  <c r="H112" i="132" s="1"/>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149" i="132" s="1"/>
  <c r="H55" i="132"/>
  <c r="H56" i="132" s="1"/>
  <c r="H57" i="132" s="1"/>
  <c r="H58" i="132" s="1"/>
  <c r="H59" i="132" s="1"/>
  <c r="H60" i="132" s="1"/>
  <c r="H61" i="132" s="1"/>
  <c r="H62" i="132" s="1"/>
  <c r="H63" i="132" s="1"/>
  <c r="H64" i="132" s="1"/>
  <c r="H65" i="132" s="1"/>
  <c r="H66" i="132" s="1"/>
  <c r="H67" i="132" s="1"/>
  <c r="H68" i="132" s="1"/>
  <c r="H69" i="132" s="1"/>
  <c r="H70" i="132" s="1"/>
  <c r="H71" i="132" s="1"/>
  <c r="H72" i="132" s="1"/>
  <c r="H73" i="132" s="1"/>
  <c r="H74" i="132" s="1"/>
  <c r="H75" i="132" s="1"/>
  <c r="H76" i="132" s="1"/>
  <c r="H77" i="132" s="1"/>
  <c r="H78" i="132" s="1"/>
  <c r="H79" i="132" s="1"/>
  <c r="H80" i="132" s="1"/>
  <c r="H81" i="132" s="1"/>
  <c r="H82" i="132" s="1"/>
  <c r="H83" i="132" s="1"/>
  <c r="H84" i="132" s="1"/>
  <c r="H85" i="132" s="1"/>
  <c r="H86" i="132" s="1"/>
  <c r="H87" i="132" s="1"/>
  <c r="H88" i="132" s="1"/>
  <c r="H89" i="132" s="1"/>
  <c r="H90" i="132" s="1"/>
  <c r="H91" i="132" s="1"/>
  <c r="H92" i="132" s="1"/>
  <c r="H93"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H34" i="132" s="1"/>
  <c r="H35" i="132" s="1"/>
  <c r="H36" i="132" s="1"/>
  <c r="H37" i="132" s="1"/>
  <c r="H38" i="132" s="1"/>
  <c r="H39" i="132" s="1"/>
  <c r="H40" i="132" s="1"/>
  <c r="A218" i="132"/>
  <c r="A219" i="132" s="1"/>
  <c r="A220" i="132" s="1"/>
  <c r="A221" i="132" s="1"/>
  <c r="A222" i="132" s="1"/>
  <c r="A224" i="132" s="1"/>
  <c r="A225" i="132" s="1"/>
  <c r="A226" i="132" s="1"/>
  <c r="A227" i="132" s="1"/>
  <c r="A228" i="132" s="1"/>
  <c r="A229" i="132" s="1"/>
  <c r="A230" i="132" s="1"/>
  <c r="A231" i="132" s="1"/>
  <c r="A232" i="132" s="1"/>
  <c r="A233" i="132" s="1"/>
  <c r="A234" i="132" s="1"/>
  <c r="A235" i="132" s="1"/>
  <c r="A236" i="132" s="1"/>
  <c r="A237" i="132" s="1"/>
  <c r="A166" i="132"/>
  <c r="A167" i="132" s="1"/>
  <c r="A168" i="132" s="1"/>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89" i="132" s="1"/>
  <c r="A112" i="132"/>
  <c r="A113" i="132" s="1"/>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49"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A34" i="132" s="1"/>
  <c r="A35" i="132" s="1"/>
  <c r="A36" i="132" s="1"/>
  <c r="A37" i="132" s="1"/>
  <c r="A38" i="132" s="1"/>
  <c r="A39" i="132" s="1"/>
  <c r="A40" i="132" s="1"/>
  <c r="B49" i="132"/>
  <c r="G270" i="82"/>
  <c r="J81" i="82"/>
  <c r="C100" i="82"/>
  <c r="C63" i="82"/>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G217" i="82"/>
  <c r="J209" i="82"/>
  <c r="J210" i="82" s="1"/>
  <c r="J211" i="82" s="1"/>
  <c r="J212" i="82" s="1"/>
  <c r="J213" i="82" s="1"/>
  <c r="J214" i="82" s="1"/>
  <c r="J215" i="82" s="1"/>
  <c r="J216" i="82" s="1"/>
  <c r="J217" i="82" s="1"/>
  <c r="J218" i="82" s="1"/>
  <c r="J219" i="82" s="1"/>
  <c r="J220" i="82" s="1"/>
  <c r="J221" i="82" s="1"/>
  <c r="J222" i="82" s="1"/>
  <c r="J223" i="82" s="1"/>
  <c r="J224" i="82" s="1"/>
  <c r="J225" i="82" s="1"/>
  <c r="A209" i="82"/>
  <c r="A210" i="82" s="1"/>
  <c r="A211" i="82" s="1"/>
  <c r="A212" i="82" s="1"/>
  <c r="A213" i="82" s="1"/>
  <c r="A214" i="82" s="1"/>
  <c r="A215" i="82" s="1"/>
  <c r="A216" i="82" s="1"/>
  <c r="A217" i="82" s="1"/>
  <c r="A218" i="82" s="1"/>
  <c r="A219" i="82" s="1"/>
  <c r="A220" i="82" s="1"/>
  <c r="A221" i="82" s="1"/>
  <c r="A222" i="82" s="1"/>
  <c r="A223" i="82" s="1"/>
  <c r="A224" i="82" s="1"/>
  <c r="A225" i="82" s="1"/>
  <c r="J120" i="82"/>
  <c r="J121" i="82" s="1"/>
  <c r="J122" i="82" s="1"/>
  <c r="J123" i="82" s="1"/>
  <c r="J124" i="82" s="1"/>
  <c r="J125" i="82" s="1"/>
  <c r="J126" i="82" s="1"/>
  <c r="J127" i="82" s="1"/>
  <c r="J128" i="82" s="1"/>
  <c r="J129" i="82" s="1"/>
  <c r="J130" i="82" s="1"/>
  <c r="J131" i="82" s="1"/>
  <c r="J132" i="82" s="1"/>
  <c r="J133" i="82" s="1"/>
  <c r="J134" i="82" s="1"/>
  <c r="J135" i="82" s="1"/>
  <c r="J136" i="82" s="1"/>
  <c r="A120" i="82"/>
  <c r="A121" i="82" s="1"/>
  <c r="A122" i="82" s="1"/>
  <c r="A123" i="82" s="1"/>
  <c r="A124" i="82" s="1"/>
  <c r="A125" i="82" s="1"/>
  <c r="A126" i="82" s="1"/>
  <c r="A127" i="82" s="1"/>
  <c r="A128" i="82" s="1"/>
  <c r="A129" i="82" s="1"/>
  <c r="A130" i="82" s="1"/>
  <c r="A131" i="82" s="1"/>
  <c r="A132" i="82" s="1"/>
  <c r="A133" i="82" s="1"/>
  <c r="A134" i="82" s="1"/>
  <c r="A135" i="82" s="1"/>
  <c r="A136" i="82" s="1"/>
  <c r="E88" i="82"/>
  <c r="C87" i="82"/>
  <c r="C50" i="82"/>
  <c r="C99" i="82"/>
  <c r="A12" i="82"/>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A38" i="82" s="1"/>
  <c r="A39" i="82" s="1"/>
  <c r="A40" i="82" s="1"/>
  <c r="A41" i="82" s="1"/>
  <c r="A42" i="82" s="1"/>
  <c r="A43" i="82" s="1"/>
  <c r="A44" i="82" s="1"/>
  <c r="A45" i="82" s="1"/>
  <c r="A46" i="82" s="1"/>
  <c r="A47" i="82" s="1"/>
  <c r="A48" i="82" s="1"/>
  <c r="A49" i="82" s="1"/>
  <c r="A50" i="82" s="1"/>
  <c r="A51" i="82" s="1"/>
  <c r="A52" i="82" s="1"/>
  <c r="A53" i="82" s="1"/>
  <c r="A54" i="82" s="1"/>
  <c r="A55" i="82" s="1"/>
  <c r="A56" i="82" s="1"/>
  <c r="A57" i="82" s="1"/>
  <c r="A58" i="82" s="1"/>
  <c r="A59" i="82" s="1"/>
  <c r="A60" i="82" s="1"/>
  <c r="A61" i="82" s="1"/>
  <c r="A62" i="82" s="1"/>
  <c r="A63" i="82" s="1"/>
  <c r="A64" i="82" s="1"/>
  <c r="A65" i="82" s="1"/>
  <c r="A66" i="82" s="1"/>
  <c r="A67" i="82" s="1"/>
  <c r="J11" i="82"/>
  <c r="J12" i="82" s="1"/>
  <c r="J13" i="82" s="1"/>
  <c r="J14" i="82" s="1"/>
  <c r="J15" i="82" s="1"/>
  <c r="J16" i="82" s="1"/>
  <c r="J17" i="82" s="1"/>
  <c r="J18" i="82" s="1"/>
  <c r="J19" i="82" s="1"/>
  <c r="J20" i="82" s="1"/>
  <c r="J21" i="82" s="1"/>
  <c r="J22" i="82" s="1"/>
  <c r="J23" i="82" s="1"/>
  <c r="J24" i="82" s="1"/>
  <c r="J25" i="82" s="1"/>
  <c r="J26" i="82" s="1"/>
  <c r="J27" i="82" s="1"/>
  <c r="J28" i="82" s="1"/>
  <c r="J29" i="82" s="1"/>
  <c r="J30" i="82" s="1"/>
  <c r="J31" i="82" s="1"/>
  <c r="J32" i="82" s="1"/>
  <c r="J33" i="82" s="1"/>
  <c r="J34" i="82" s="1"/>
  <c r="J35" i="82" s="1"/>
  <c r="J38" i="82" s="1"/>
  <c r="J39" i="82" s="1"/>
  <c r="J40" i="82" s="1"/>
  <c r="J41" i="82" s="1"/>
  <c r="J42" i="82" s="1"/>
  <c r="J43" i="82" s="1"/>
  <c r="J44" i="82" s="1"/>
  <c r="J45" i="82" s="1"/>
  <c r="J46" i="82" s="1"/>
  <c r="J47" i="82" s="1"/>
  <c r="J48" i="82" s="1"/>
  <c r="J49" i="82" s="1"/>
  <c r="J50" i="82" s="1"/>
  <c r="J51" i="82" s="1"/>
  <c r="J52" i="82" s="1"/>
  <c r="J53" i="82" s="1"/>
  <c r="J54" i="82" s="1"/>
  <c r="J55" i="82" s="1"/>
  <c r="J56" i="82" s="1"/>
  <c r="J57" i="82" s="1"/>
  <c r="J58" i="82" s="1"/>
  <c r="J59" i="82" s="1"/>
  <c r="J60" i="82" s="1"/>
  <c r="J61" i="82" s="1"/>
  <c r="J62" i="82" s="1"/>
  <c r="J63" i="82" s="1"/>
  <c r="J64" i="82" s="1"/>
  <c r="J65" i="82" s="1"/>
  <c r="J66" i="82" s="1"/>
  <c r="J67" i="82" s="1"/>
  <c r="B5" i="82"/>
  <c r="B75" i="82" s="1"/>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A19" i="153" s="1"/>
  <c r="A20" i="153" s="1"/>
  <c r="A21" i="153" s="1"/>
  <c r="A22" i="153" s="1"/>
  <c r="A23" i="153" s="1"/>
  <c r="A24" i="153" s="1"/>
  <c r="A25" i="153" s="1"/>
  <c r="A26" i="153" s="1"/>
  <c r="A27" i="153" s="1"/>
  <c r="A28" i="153" s="1"/>
  <c r="A29" i="153" s="1"/>
  <c r="A30" i="153" s="1"/>
  <c r="A31" i="153" s="1"/>
  <c r="A32" i="153" s="1"/>
  <c r="A33" i="153" s="1"/>
  <c r="A34" i="153" s="1"/>
  <c r="A35" i="153" s="1"/>
  <c r="I12" i="153"/>
  <c r="I13" i="153" s="1"/>
  <c r="I19" i="153" s="1"/>
  <c r="I20" i="153" s="1"/>
  <c r="I21" i="153" s="1"/>
  <c r="I22" i="153" s="1"/>
  <c r="I23" i="153" s="1"/>
  <c r="I24" i="153" s="1"/>
  <c r="I25" i="153" s="1"/>
  <c r="I26" i="153" s="1"/>
  <c r="I27" i="153" s="1"/>
  <c r="I28" i="153" s="1"/>
  <c r="I29" i="153" s="1"/>
  <c r="I30" i="153" s="1"/>
  <c r="I31" i="153" s="1"/>
  <c r="I32" i="153" s="1"/>
  <c r="I33" i="153" s="1"/>
  <c r="I34" i="153" s="1"/>
  <c r="I35" i="153" s="1"/>
  <c r="A11" i="75"/>
  <c r="A12" i="75" s="1"/>
  <c r="A13" i="75" s="1"/>
  <c r="A14" i="75" s="1"/>
  <c r="A15" i="75" s="1"/>
  <c r="A16" i="75" s="1"/>
  <c r="A17" i="75" s="1"/>
  <c r="A18" i="75" s="1"/>
  <c r="A19" i="75" s="1"/>
  <c r="B5" i="75"/>
  <c r="A11" i="74"/>
  <c r="B5" i="74"/>
  <c r="E149" i="132"/>
  <c r="H11" i="72"/>
  <c r="B5" i="72"/>
  <c r="A12" i="69"/>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J11" i="69"/>
  <c r="J12" i="69" s="1"/>
  <c r="J13" i="69" s="1"/>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J38" i="69" s="1"/>
  <c r="J39" i="69" s="1"/>
  <c r="J40" i="69" s="1"/>
  <c r="J41" i="69" s="1"/>
  <c r="J42" i="69" s="1"/>
  <c r="J43" i="69" s="1"/>
  <c r="J44" i="69" s="1"/>
  <c r="B5" i="69"/>
  <c r="A12" i="66"/>
  <c r="A13" i="66" s="1"/>
  <c r="A14" i="66" s="1"/>
  <c r="A15" i="66" s="1"/>
  <c r="A16" i="66" s="1"/>
  <c r="A17" i="66" s="1"/>
  <c r="A18" i="66" s="1"/>
  <c r="A19" i="66" s="1"/>
  <c r="A20" i="66" s="1"/>
  <c r="A21" i="66" s="1"/>
  <c r="A22" i="66" s="1"/>
  <c r="A23" i="66" s="1"/>
  <c r="A24" i="66" s="1"/>
  <c r="A25" i="66" s="1"/>
  <c r="A26" i="66" s="1"/>
  <c r="A27" i="66" s="1"/>
  <c r="A28" i="66" s="1"/>
  <c r="A29" i="66" s="1"/>
  <c r="A30" i="66" s="1"/>
  <c r="H11" i="66"/>
  <c r="H12" i="66" s="1"/>
  <c r="H13" i="66" s="1"/>
  <c r="H14" i="66" s="1"/>
  <c r="H15" i="66" s="1"/>
  <c r="H16" i="66" s="1"/>
  <c r="H17" i="66" s="1"/>
  <c r="H18" i="66" s="1"/>
  <c r="H19" i="66" s="1"/>
  <c r="H20" i="66" s="1"/>
  <c r="H21" i="66" s="1"/>
  <c r="H22" i="66" s="1"/>
  <c r="H23" i="66" s="1"/>
  <c r="H24" i="66" s="1"/>
  <c r="H25" i="66" s="1"/>
  <c r="H26" i="66" s="1"/>
  <c r="H27" i="66" s="1"/>
  <c r="H28" i="66" s="1"/>
  <c r="H29" i="66" s="1"/>
  <c r="H30" i="66" s="1"/>
  <c r="B5" i="66"/>
  <c r="E55" i="132"/>
  <c r="E20" i="132"/>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24" i="69"/>
  <c r="E32" i="69" s="1"/>
  <c r="E36" i="69" s="1"/>
  <c r="A12" i="40"/>
  <c r="A13"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7" i="40" s="1"/>
  <c r="A38" i="40" s="1"/>
  <c r="A40" i="40" s="1"/>
  <c r="A41" i="40" s="1"/>
  <c r="A42" i="40" s="1"/>
  <c r="A43"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s="1"/>
  <c r="H11" i="40"/>
  <c r="H12" i="40" s="1"/>
  <c r="H13" i="40" s="1"/>
  <c r="H15" i="40" s="1"/>
  <c r="H16" i="40" s="1"/>
  <c r="H17" i="40" s="1"/>
  <c r="H18" i="40" s="1"/>
  <c r="H19" i="40" s="1"/>
  <c r="H20" i="40" s="1"/>
  <c r="H21" i="40" s="1"/>
  <c r="H22" i="40" s="1"/>
  <c r="H23" i="40" s="1"/>
  <c r="H24" i="40" s="1"/>
  <c r="H25" i="40" s="1"/>
  <c r="H26" i="40" s="1"/>
  <c r="H27" i="40" s="1"/>
  <c r="H28" i="40" s="1"/>
  <c r="H29" i="40" s="1"/>
  <c r="H30" i="40" s="1"/>
  <c r="H31" i="40" s="1"/>
  <c r="H32" i="40" s="1"/>
  <c r="H33" i="40" s="1"/>
  <c r="H34" i="40" s="1"/>
  <c r="H35" i="40" s="1"/>
  <c r="H37" i="40" s="1"/>
  <c r="H38" i="40" s="1"/>
  <c r="H40" i="40" s="1"/>
  <c r="H41" i="40" s="1"/>
  <c r="H42" i="40" s="1"/>
  <c r="H43" i="40" s="1"/>
  <c r="H45" i="40" s="1"/>
  <c r="H46" i="40" s="1"/>
  <c r="H47" i="40" s="1"/>
  <c r="H48" i="40" s="1"/>
  <c r="H49" i="40" s="1"/>
  <c r="H50" i="40" s="1"/>
  <c r="H51" i="40" s="1"/>
  <c r="H52" i="40" s="1"/>
  <c r="H53" i="40" s="1"/>
  <c r="H54" i="40" s="1"/>
  <c r="H55" i="40" s="1"/>
  <c r="H56" i="40" s="1"/>
  <c r="H57" i="40" s="1"/>
  <c r="H58" i="40" s="1"/>
  <c r="H59" i="40" s="1"/>
  <c r="H60" i="40" s="1"/>
  <c r="H61" i="40" s="1"/>
  <c r="H62" i="40" s="1"/>
  <c r="H63" i="40" s="1"/>
  <c r="H64" i="40" s="1"/>
  <c r="B5" i="40"/>
  <c r="E119" i="132"/>
  <c r="A11" i="38"/>
  <c r="H11" i="38" s="1"/>
  <c r="B5" i="38"/>
  <c r="G15" i="34"/>
  <c r="A13" i="151"/>
  <c r="K12" i="151"/>
  <c r="K13" i="151" s="1"/>
  <c r="A13" i="152"/>
  <c r="K12" i="152"/>
  <c r="K13" i="152" s="1"/>
  <c r="K14" i="152" s="1"/>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E188" i="13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E187" i="132"/>
  <c r="E166" i="132"/>
  <c r="E57" i="40"/>
  <c r="E55" i="40"/>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J11" i="133"/>
  <c r="J12" i="133" s="1"/>
  <c r="J13" i="133" s="1"/>
  <c r="J14" i="133" s="1"/>
  <c r="J15" i="133" s="1"/>
  <c r="B243" i="132"/>
  <c r="E278" i="132"/>
  <c r="B159" i="132"/>
  <c r="E145" i="132"/>
  <c r="E134" i="132"/>
  <c r="E120" i="132"/>
  <c r="B105" i="132"/>
  <c r="E68" i="132"/>
  <c r="E38" i="132"/>
  <c r="E37" i="132"/>
  <c r="E35" i="132"/>
  <c r="E15" i="132"/>
  <c r="E13" i="133" s="1"/>
  <c r="D19" i="142"/>
  <c r="D27" i="142"/>
  <c r="A12" i="74"/>
  <c r="A13" i="74" s="1"/>
  <c r="H11" i="74"/>
  <c r="H12" i="74" s="1"/>
  <c r="H13" i="74" s="1"/>
  <c r="D23" i="142"/>
  <c r="C18" i="142"/>
  <c r="C49" i="82"/>
  <c r="C62" i="82"/>
  <c r="C101" i="82"/>
  <c r="E86" i="82"/>
  <c r="E50" i="82"/>
  <c r="G13" i="34"/>
  <c r="E28" i="66"/>
  <c r="E30" i="66" s="1"/>
  <c r="E41" i="40"/>
  <c r="E66" i="40" s="1"/>
  <c r="I33" i="2"/>
  <c r="I19" i="22"/>
  <c r="C86" i="82"/>
  <c r="E87" i="82"/>
  <c r="D20" i="142"/>
  <c r="D24" i="142"/>
  <c r="D17" i="142"/>
  <c r="D21" i="142"/>
  <c r="D25" i="142"/>
  <c r="D18" i="142"/>
  <c r="D22" i="142"/>
  <c r="C51" i="82"/>
  <c r="C64" i="82"/>
  <c r="C88" i="82"/>
  <c r="J82" i="82"/>
  <c r="J83" i="82" s="1"/>
  <c r="J84" i="82" s="1"/>
  <c r="J85" i="82" s="1"/>
  <c r="J86" i="82" s="1"/>
  <c r="J87" i="82" s="1"/>
  <c r="J88" i="82" s="1"/>
  <c r="J89" i="82" s="1"/>
  <c r="J90" i="82" s="1"/>
  <c r="J91" i="82" s="1"/>
  <c r="J92" i="82" s="1"/>
  <c r="J93" i="82" s="1"/>
  <c r="J94" i="82" s="1"/>
  <c r="J95" i="82" s="1"/>
  <c r="J96" i="82" s="1"/>
  <c r="J97" i="82" s="1"/>
  <c r="J98" i="82" s="1"/>
  <c r="J99" i="82" s="1"/>
  <c r="J100" i="82" s="1"/>
  <c r="J101" i="82" s="1"/>
  <c r="J102" i="82" s="1"/>
  <c r="J103" i="82" s="1"/>
  <c r="J104" i="82" s="1"/>
  <c r="A82" i="82"/>
  <c r="A83" i="82" s="1"/>
  <c r="A84" i="82" s="1"/>
  <c r="A85" i="82" s="1"/>
  <c r="A86" i="82" s="1"/>
  <c r="A87" i="82" s="1"/>
  <c r="A88" i="82" s="1"/>
  <c r="A89" i="82" s="1"/>
  <c r="A90" i="82" s="1"/>
  <c r="A91" i="82" s="1"/>
  <c r="A92" i="82" s="1"/>
  <c r="A93" i="82" s="1"/>
  <c r="A94" i="82" s="1"/>
  <c r="A95" i="82" s="1"/>
  <c r="A96" i="82" s="1"/>
  <c r="A97" i="82" s="1"/>
  <c r="A98" i="82" s="1"/>
  <c r="A99" i="82" s="1"/>
  <c r="A100" i="82" s="1"/>
  <c r="A101" i="82" s="1"/>
  <c r="A102" i="82" s="1"/>
  <c r="A103" i="82" s="1"/>
  <c r="A104" i="82" s="1"/>
  <c r="K15" i="152" l="1"/>
  <c r="K16" i="152" s="1"/>
  <c r="K17" i="152" s="1"/>
  <c r="J16" i="133"/>
  <c r="J17" i="133" s="1"/>
  <c r="J18" i="133" s="1"/>
  <c r="J19" i="133" s="1"/>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J43" i="133" s="1"/>
  <c r="J44" i="133" s="1"/>
  <c r="A16" i="133"/>
  <c r="A17" i="133" s="1"/>
  <c r="A18" i="133" s="1"/>
  <c r="A19" i="133" s="1"/>
  <c r="A22" i="133" s="1"/>
  <c r="A23" i="133" s="1"/>
  <c r="A24" i="133" s="1"/>
  <c r="A25" i="133" s="1"/>
  <c r="A26" i="133" s="1"/>
  <c r="A27" i="133" s="1"/>
  <c r="A28" i="133" s="1"/>
  <c r="A29" i="133" s="1"/>
  <c r="A30" i="133" s="1"/>
  <c r="A31" i="133" s="1"/>
  <c r="A32" i="133" s="1"/>
  <c r="A33" i="133" s="1"/>
  <c r="A34" i="133" s="1"/>
  <c r="A35" i="133" s="1"/>
  <c r="A36" i="133" s="1"/>
  <c r="A37" i="133" s="1"/>
  <c r="A38" i="133" s="1"/>
  <c r="A39" i="133" s="1"/>
  <c r="A40" i="133" s="1"/>
  <c r="A41" i="133" s="1"/>
  <c r="A42" i="133" s="1"/>
  <c r="A43" i="133" s="1"/>
  <c r="A44" i="133" s="1"/>
  <c r="I21" i="34"/>
  <c r="E125" i="132" s="1"/>
  <c r="C24" i="142"/>
  <c r="K14" i="151"/>
  <c r="K15" i="151" s="1"/>
  <c r="A14" i="151"/>
  <c r="A15" i="151" s="1"/>
  <c r="A14" i="152"/>
  <c r="A15" i="152" s="1"/>
  <c r="A16" i="152" s="1"/>
  <c r="A226" i="82"/>
  <c r="A227" i="82" s="1"/>
  <c r="A228" i="82" s="1"/>
  <c r="A229" i="82" s="1"/>
  <c r="A230" i="82" s="1"/>
  <c r="A231" i="82" s="1"/>
  <c r="A232" i="82" s="1"/>
  <c r="A233" i="82" s="1"/>
  <c r="A234" i="82" s="1"/>
  <c r="A235" i="82" s="1"/>
  <c r="A240" i="82" s="1"/>
  <c r="A241" i="82" s="1"/>
  <c r="A244" i="82" s="1"/>
  <c r="A245" i="82" s="1"/>
  <c r="A246" i="82" s="1"/>
  <c r="A247" i="82" s="1"/>
  <c r="A248" i="82" s="1"/>
  <c r="A249" i="82" s="1"/>
  <c r="A250" i="82" s="1"/>
  <c r="A251" i="82" s="1"/>
  <c r="A252" i="82" s="1"/>
  <c r="A253" i="82" s="1"/>
  <c r="A254" i="82" s="1"/>
  <c r="A255" i="82" s="1"/>
  <c r="A256" i="82" s="1"/>
  <c r="A257" i="82" s="1"/>
  <c r="A258" i="82" s="1"/>
  <c r="A259" i="82" s="1"/>
  <c r="A260" i="82" s="1"/>
  <c r="A261" i="82" s="1"/>
  <c r="A262" i="82" s="1"/>
  <c r="A263" i="82" s="1"/>
  <c r="A264" i="82" s="1"/>
  <c r="A265" i="82" s="1"/>
  <c r="J226" i="82"/>
  <c r="J227" i="82" s="1"/>
  <c r="J228" i="82" s="1"/>
  <c r="J229" i="82" s="1"/>
  <c r="J230" i="82" s="1"/>
  <c r="J231" i="82" s="1"/>
  <c r="J232" i="82" s="1"/>
  <c r="J233" i="82" s="1"/>
  <c r="J234" i="82" s="1"/>
  <c r="J235" i="82" s="1"/>
  <c r="J240" i="82" s="1"/>
  <c r="J241" i="82" s="1"/>
  <c r="J244" i="82" s="1"/>
  <c r="J245" i="82" s="1"/>
  <c r="J246" i="82" s="1"/>
  <c r="J247" i="82" s="1"/>
  <c r="J248" i="82" s="1"/>
  <c r="J249" i="82" s="1"/>
  <c r="J250" i="82" s="1"/>
  <c r="J251" i="82" s="1"/>
  <c r="J252" i="82" s="1"/>
  <c r="J253" i="82" s="1"/>
  <c r="J254" i="82" s="1"/>
  <c r="J255" i="82" s="1"/>
  <c r="J256" i="82" s="1"/>
  <c r="J257" i="82" s="1"/>
  <c r="J258" i="82" s="1"/>
  <c r="J259" i="82" s="1"/>
  <c r="J260" i="82" s="1"/>
  <c r="J261" i="82" s="1"/>
  <c r="J262" i="82" s="1"/>
  <c r="J263" i="82" s="1"/>
  <c r="J264" i="82" s="1"/>
  <c r="J265" i="82" s="1"/>
  <c r="C27" i="142"/>
  <c r="I27" i="2"/>
  <c r="E60" i="40" s="1"/>
  <c r="C17" i="142"/>
  <c r="I35" i="2"/>
  <c r="E48" i="40" s="1"/>
  <c r="E54" i="40" s="1"/>
  <c r="C20" i="142"/>
  <c r="J137" i="82"/>
  <c r="J138" i="82" s="1"/>
  <c r="J139" i="82" s="1"/>
  <c r="J140" i="82" s="1"/>
  <c r="J141" i="82" s="1"/>
  <c r="J142" i="82" s="1"/>
  <c r="J143" i="82" s="1"/>
  <c r="J144" i="82" s="1"/>
  <c r="J145" i="82" s="1"/>
  <c r="J146" i="82" s="1"/>
  <c r="J151" i="82" s="1"/>
  <c r="J152" i="82" s="1"/>
  <c r="J155" i="82" s="1"/>
  <c r="J156" i="82" s="1"/>
  <c r="J157" i="82" s="1"/>
  <c r="J158" i="82" s="1"/>
  <c r="J159" i="82" s="1"/>
  <c r="J160" i="82" s="1"/>
  <c r="J161" i="82" s="1"/>
  <c r="J162" i="82" s="1"/>
  <c r="J163" i="82" s="1"/>
  <c r="J164" i="82" s="1"/>
  <c r="J165" i="82" s="1"/>
  <c r="J166" i="82" s="1"/>
  <c r="J167" i="82" s="1"/>
  <c r="J168" i="82" s="1"/>
  <c r="J169" i="82" s="1"/>
  <c r="J170" i="82" s="1"/>
  <c r="J171" i="82" s="1"/>
  <c r="J172" i="82" s="1"/>
  <c r="J173" i="82" s="1"/>
  <c r="J174" i="82" s="1"/>
  <c r="J175" i="82" s="1"/>
  <c r="J176" i="82" s="1"/>
  <c r="J177" i="82" s="1"/>
  <c r="J178" i="82" s="1"/>
  <c r="J179" i="82" s="1"/>
  <c r="J180" i="82" s="1"/>
  <c r="J181" i="82" s="1"/>
  <c r="J182" i="82" s="1"/>
  <c r="J183" i="82" s="1"/>
  <c r="J184" i="82" s="1"/>
  <c r="J185" i="82" s="1"/>
  <c r="J186" i="82" s="1"/>
  <c r="J191" i="82" s="1"/>
  <c r="J192" i="82" s="1"/>
  <c r="J195" i="82" s="1"/>
  <c r="J196" i="82" s="1"/>
  <c r="A137" i="82"/>
  <c r="A138" i="82" s="1"/>
  <c r="A139" i="82" s="1"/>
  <c r="A140" i="82" s="1"/>
  <c r="A141" i="82" s="1"/>
  <c r="A142" i="82" s="1"/>
  <c r="A143" i="82" s="1"/>
  <c r="A144" i="82" s="1"/>
  <c r="A145" i="82" s="1"/>
  <c r="A146" i="82" s="1"/>
  <c r="A151" i="82" s="1"/>
  <c r="A152"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A183" i="82" s="1"/>
  <c r="A184" i="82" s="1"/>
  <c r="A185" i="82" s="1"/>
  <c r="A186" i="82" s="1"/>
  <c r="A191" i="82" s="1"/>
  <c r="A192" i="82" s="1"/>
  <c r="A195" i="82" s="1"/>
  <c r="A196" i="82" s="1"/>
  <c r="E20" i="118"/>
  <c r="E221" i="132"/>
  <c r="E267" i="132"/>
  <c r="I25" i="2"/>
  <c r="I37" i="2" s="1"/>
  <c r="E167" i="132" s="1"/>
  <c r="A324" i="132"/>
  <c r="A325" i="132" s="1"/>
  <c r="A326" i="132" s="1"/>
  <c r="A327" i="132" s="1"/>
  <c r="A328" i="132" s="1"/>
  <c r="A329" i="132" s="1"/>
  <c r="A330" i="132" s="1"/>
  <c r="A331" i="132" s="1"/>
  <c r="A332" i="132" s="1"/>
  <c r="A333" i="132" s="1"/>
  <c r="A334" i="132" s="1"/>
  <c r="A335" i="132" s="1"/>
  <c r="A336" i="132" s="1"/>
  <c r="A337" i="132" s="1"/>
  <c r="A338" i="132" s="1"/>
  <c r="A339" i="132" s="1"/>
  <c r="E121" i="132"/>
  <c r="I13" i="22"/>
  <c r="I21" i="22" s="1"/>
  <c r="E174" i="132" s="1"/>
  <c r="I23" i="34"/>
  <c r="E146" i="132" s="1"/>
  <c r="E147" i="132" s="1"/>
  <c r="E70" i="132" s="1"/>
  <c r="B113" i="82"/>
  <c r="B202" i="82"/>
  <c r="E85" i="132"/>
  <c r="C24" i="118"/>
  <c r="E18" i="118"/>
  <c r="C22" i="142"/>
  <c r="C19" i="142"/>
  <c r="H11" i="75"/>
  <c r="H12" i="75" s="1"/>
  <c r="H13" i="75" s="1"/>
  <c r="H14" i="75" s="1"/>
  <c r="H15" i="75" s="1"/>
  <c r="H16" i="75" s="1"/>
  <c r="H17" i="75" s="1"/>
  <c r="H18" i="75" s="1"/>
  <c r="H19" i="75" s="1"/>
  <c r="I19" i="2"/>
  <c r="E58" i="40" s="1"/>
  <c r="I15" i="22"/>
  <c r="I23" i="22" s="1"/>
  <c r="E175" i="132" s="1"/>
  <c r="I19" i="34"/>
  <c r="E141" i="132" s="1"/>
  <c r="I18" i="151"/>
  <c r="I35" i="151" s="1"/>
  <c r="D24" i="118"/>
  <c r="E222" i="132"/>
  <c r="E20" i="40"/>
  <c r="E22" i="118"/>
  <c r="F17" i="157"/>
  <c r="I29" i="2"/>
  <c r="E61" i="40" s="1"/>
  <c r="C23" i="142"/>
  <c r="E268" i="132"/>
  <c r="E220" i="132"/>
  <c r="E266" i="132"/>
  <c r="C102" i="82"/>
  <c r="D101" i="82" s="1"/>
  <c r="C52" i="82"/>
  <c r="D49" i="82" s="1"/>
  <c r="C89" i="82"/>
  <c r="D87" i="82" s="1"/>
  <c r="C65" i="82"/>
  <c r="D64" i="82" s="1"/>
  <c r="C25" i="142"/>
  <c r="C26" i="142"/>
  <c r="C21" i="142"/>
  <c r="G33" i="153"/>
  <c r="E16" i="75" s="1"/>
  <c r="G25" i="153"/>
  <c r="E81" i="132"/>
  <c r="E24" i="132"/>
  <c r="I18" i="152"/>
  <c r="E15" i="34"/>
  <c r="I15" i="34" s="1"/>
  <c r="E13" i="34"/>
  <c r="I13" i="34" s="1"/>
  <c r="E189" i="132"/>
  <c r="E140" i="132" s="1"/>
  <c r="I17" i="22"/>
  <c r="I25" i="22" s="1"/>
  <c r="E176" i="132" s="1"/>
  <c r="E13" i="118"/>
  <c r="D15" i="118"/>
  <c r="E11" i="118"/>
  <c r="C15" i="118"/>
  <c r="E49" i="82"/>
  <c r="E23" i="77"/>
  <c r="E36" i="132" s="1"/>
  <c r="E37" i="40"/>
  <c r="E42" i="40" s="1"/>
  <c r="E173" i="132"/>
  <c r="G138" i="82"/>
  <c r="E19" i="46"/>
  <c r="D99" i="82" l="1"/>
  <c r="D88" i="82"/>
  <c r="D86" i="82"/>
  <c r="G86" i="82" s="1"/>
  <c r="D100" i="82"/>
  <c r="G100" i="82" s="1"/>
  <c r="D50" i="82"/>
  <c r="G50" i="82" s="1"/>
  <c r="D62" i="82"/>
  <c r="G88" i="82"/>
  <c r="D63" i="82"/>
  <c r="G63" i="82" s="1"/>
  <c r="D51" i="82"/>
  <c r="G51" i="82" s="1"/>
  <c r="C26" i="118"/>
  <c r="I39" i="2"/>
  <c r="E62" i="40"/>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K18" i="152"/>
  <c r="K19" i="152" s="1"/>
  <c r="K20" i="152" s="1"/>
  <c r="K21" i="152" s="1"/>
  <c r="K22" i="152" s="1"/>
  <c r="K23" i="152" s="1"/>
  <c r="K24" i="152" s="1"/>
  <c r="K25" i="152" s="1"/>
  <c r="K26" i="152" s="1"/>
  <c r="K27" i="152" s="1"/>
  <c r="K28" i="152" s="1"/>
  <c r="K29" i="152" s="1"/>
  <c r="K30" i="152" s="1"/>
  <c r="K31" i="152" s="1"/>
  <c r="K32" i="152" s="1"/>
  <c r="K33" i="152" s="1"/>
  <c r="K34" i="152" s="1"/>
  <c r="K35" i="152" s="1"/>
  <c r="E74" i="132"/>
  <c r="J266" i="82"/>
  <c r="J267" i="82" s="1"/>
  <c r="J268" i="82" s="1"/>
  <c r="J269" i="82" s="1"/>
  <c r="J270" i="82" s="1"/>
  <c r="J271" i="82" s="1"/>
  <c r="J272" i="82" s="1"/>
  <c r="J273" i="82" s="1"/>
  <c r="J274" i="82" s="1"/>
  <c r="J275" i="82" s="1"/>
  <c r="J280" i="82" s="1"/>
  <c r="J281" i="82" s="1"/>
  <c r="J284" i="82" s="1"/>
  <c r="J285" i="82" s="1"/>
  <c r="A266" i="82"/>
  <c r="A267" i="82" s="1"/>
  <c r="A268" i="82" s="1"/>
  <c r="A269" i="82" s="1"/>
  <c r="A270" i="82" s="1"/>
  <c r="A271" i="82" s="1"/>
  <c r="A272" i="82" s="1"/>
  <c r="A273" i="82" s="1"/>
  <c r="A274" i="82" s="1"/>
  <c r="A275" i="82" s="1"/>
  <c r="A280" i="82" s="1"/>
  <c r="A281" i="82" s="1"/>
  <c r="A284" i="82" s="1"/>
  <c r="A285" i="82" s="1"/>
  <c r="I27" i="22"/>
  <c r="D26" i="118"/>
  <c r="E24" i="118"/>
  <c r="E15" i="75"/>
  <c r="E17" i="75" s="1"/>
  <c r="G35" i="153"/>
  <c r="E142" i="132"/>
  <c r="E62" i="132" s="1"/>
  <c r="G99" i="82"/>
  <c r="I35" i="152"/>
  <c r="G11" i="34"/>
  <c r="G17" i="34" s="1"/>
  <c r="E11" i="34"/>
  <c r="I31" i="2"/>
  <c r="I41" i="2"/>
  <c r="F18" i="157"/>
  <c r="H41" i="133"/>
  <c r="G101" i="82"/>
  <c r="G104" i="82" s="1"/>
  <c r="G253" i="82" s="1"/>
  <c r="G265" i="82" s="1"/>
  <c r="G87" i="82"/>
  <c r="E21" i="46"/>
  <c r="E25" i="46"/>
  <c r="E23" i="46"/>
  <c r="E22" i="69"/>
  <c r="E11" i="132"/>
  <c r="I13" i="157"/>
  <c r="E180" i="132"/>
  <c r="E112" i="132" s="1"/>
  <c r="E15" i="118"/>
  <c r="E181" i="132"/>
  <c r="E177" i="132"/>
  <c r="G49" i="82"/>
  <c r="G91" i="82" l="1"/>
  <c r="G213" i="82" s="1"/>
  <c r="G225" i="82" s="1"/>
  <c r="I43" i="2"/>
  <c r="E26" i="118"/>
  <c r="D89" i="82"/>
  <c r="D102" i="82"/>
  <c r="E50" i="40"/>
  <c r="E168" i="132"/>
  <c r="G256" i="82"/>
  <c r="G54" i="82"/>
  <c r="G124" i="82" s="1"/>
  <c r="G136" i="82" s="1"/>
  <c r="G13" i="69"/>
  <c r="G19" i="69" s="1"/>
  <c r="E130" i="132" s="1"/>
  <c r="G41" i="133"/>
  <c r="E169" i="132"/>
  <c r="E58" i="132"/>
  <c r="G216" i="82"/>
  <c r="I11" i="34"/>
  <c r="I17" i="34" s="1"/>
  <c r="E124" i="132" s="1"/>
  <c r="E126" i="132" s="1"/>
  <c r="E207" i="132" s="1"/>
  <c r="E17" i="34"/>
  <c r="H14" i="157"/>
  <c r="I14" i="157" s="1"/>
  <c r="H17" i="157"/>
  <c r="H15" i="157"/>
  <c r="H16" i="157"/>
  <c r="E51" i="40"/>
  <c r="E19" i="75"/>
  <c r="G125" i="82" s="1"/>
  <c r="F19" i="157"/>
  <c r="D52" i="82"/>
  <c r="G52" i="82"/>
  <c r="G152" i="82" s="1"/>
  <c r="G102" i="82"/>
  <c r="G281" i="82" s="1"/>
  <c r="G89" i="82"/>
  <c r="G241" i="82" s="1"/>
  <c r="G64" i="82"/>
  <c r="G67" i="82" s="1"/>
  <c r="G164" i="82" s="1"/>
  <c r="D65" i="82"/>
  <c r="G62" i="82"/>
  <c r="E27" i="46"/>
  <c r="E18" i="132" s="1"/>
  <c r="E264" i="132"/>
  <c r="E218" i="132"/>
  <c r="E135" i="132"/>
  <c r="E113" i="132"/>
  <c r="G268" i="82" l="1"/>
  <c r="G283" i="82"/>
  <c r="G176" i="82"/>
  <c r="G243" i="82"/>
  <c r="E52" i="40"/>
  <c r="G259" i="82"/>
  <c r="G269" i="82" s="1"/>
  <c r="E183" i="132"/>
  <c r="E115" i="132" s="1"/>
  <c r="E182" i="132"/>
  <c r="E114" i="132" s="1"/>
  <c r="G15" i="69"/>
  <c r="E129" i="132" s="1"/>
  <c r="E170" i="132"/>
  <c r="G219" i="82"/>
  <c r="G229" i="82" s="1"/>
  <c r="G228" i="82"/>
  <c r="E28" i="133"/>
  <c r="H18" i="157"/>
  <c r="D14" i="157"/>
  <c r="D15" i="157" s="1"/>
  <c r="D16" i="157" s="1"/>
  <c r="D17" i="157" s="1"/>
  <c r="D18" i="157" s="1"/>
  <c r="D19" i="157" s="1"/>
  <c r="D20" i="157" s="1"/>
  <c r="D21" i="157" s="1"/>
  <c r="D22" i="157" s="1"/>
  <c r="D23" i="157" s="1"/>
  <c r="D24" i="157" s="1"/>
  <c r="D25" i="157" s="1"/>
  <c r="I15" i="157"/>
  <c r="I16" i="157" s="1"/>
  <c r="I17" i="157" s="1"/>
  <c r="H19" i="157"/>
  <c r="F20" i="157"/>
  <c r="G65" i="82"/>
  <c r="G192" i="82" s="1"/>
  <c r="H15" i="118"/>
  <c r="I11" i="118"/>
  <c r="E64" i="40" l="1"/>
  <c r="E21" i="66" s="1"/>
  <c r="E23" i="66" s="1"/>
  <c r="E22" i="132" s="1"/>
  <c r="G277" i="82"/>
  <c r="E116" i="132"/>
  <c r="E184" i="132"/>
  <c r="E226" i="132" s="1"/>
  <c r="G237" i="82"/>
  <c r="G272" i="82"/>
  <c r="G232" i="82"/>
  <c r="I18" i="157"/>
  <c r="I19" i="157" s="1"/>
  <c r="H20" i="157"/>
  <c r="F21" i="157"/>
  <c r="I13" i="118"/>
  <c r="I15" i="118" s="1"/>
  <c r="H24" i="118"/>
  <c r="H26" i="118" s="1"/>
  <c r="I22" i="118"/>
  <c r="I20" i="118"/>
  <c r="E43" i="40" l="1"/>
  <c r="E45" i="40" s="1"/>
  <c r="E23" i="69" s="1"/>
  <c r="E25" i="69" s="1"/>
  <c r="E29" i="69" s="1"/>
  <c r="E131" i="132" s="1"/>
  <c r="E132" i="132" s="1"/>
  <c r="E137" i="132" s="1"/>
  <c r="G275" i="82"/>
  <c r="G285" i="82" s="1"/>
  <c r="E61" i="132" s="1"/>
  <c r="E63" i="132" s="1"/>
  <c r="G278" i="82"/>
  <c r="G279" i="82" s="1"/>
  <c r="E272" i="132"/>
  <c r="G235" i="82"/>
  <c r="G245" i="82" s="1"/>
  <c r="E57" i="132" s="1"/>
  <c r="E59" i="132" s="1"/>
  <c r="E65" i="132" s="1"/>
  <c r="G238" i="82"/>
  <c r="G239" i="82" s="1"/>
  <c r="E13" i="132"/>
  <c r="E265" i="132" s="1"/>
  <c r="I20" i="157"/>
  <c r="H21" i="157"/>
  <c r="F22" i="157"/>
  <c r="G15" i="118"/>
  <c r="G24" i="118"/>
  <c r="I18" i="118"/>
  <c r="I24" i="118" s="1"/>
  <c r="I26" i="118" s="1"/>
  <c r="E230" i="132"/>
  <c r="E286" i="132"/>
  <c r="E292" i="132"/>
  <c r="E206" i="132" l="1"/>
  <c r="E209" i="132" s="1"/>
  <c r="E252" i="132"/>
  <c r="E255" i="132" s="1"/>
  <c r="E16" i="132"/>
  <c r="E25" i="132" s="1"/>
  <c r="E219" i="132"/>
  <c r="G26" i="118"/>
  <c r="G127" i="82"/>
  <c r="E32" i="132"/>
  <c r="I21" i="157"/>
  <c r="F23" i="157"/>
  <c r="H22" i="157"/>
  <c r="E28" i="132"/>
  <c r="G167" i="82"/>
  <c r="G194" i="82" s="1"/>
  <c r="E233" i="132"/>
  <c r="E235" i="132" s="1"/>
  <c r="E276" i="132"/>
  <c r="G170" i="82" l="1"/>
  <c r="G188" i="82" s="1"/>
  <c r="G130" i="82"/>
  <c r="G154" i="82"/>
  <c r="I22" i="157"/>
  <c r="H23" i="157"/>
  <c r="F24" i="157"/>
  <c r="G139" i="82"/>
  <c r="G179" i="82"/>
  <c r="I29" i="118"/>
  <c r="H32" i="133"/>
  <c r="E279" i="132"/>
  <c r="E281" i="132" s="1"/>
  <c r="E76" i="132"/>
  <c r="G180" i="82" l="1"/>
  <c r="G183" i="82"/>
  <c r="G189" i="82" s="1"/>
  <c r="G190" i="82" s="1"/>
  <c r="G143" i="82"/>
  <c r="G140" i="82"/>
  <c r="G148" i="82"/>
  <c r="I23" i="157"/>
  <c r="H24" i="157"/>
  <c r="F25" i="157"/>
  <c r="H25" i="157" s="1"/>
  <c r="G32" i="133"/>
  <c r="G186" i="82" l="1"/>
  <c r="G196" i="82" s="1"/>
  <c r="E294" i="132" s="1"/>
  <c r="E296" i="132" s="1"/>
  <c r="G146" i="82"/>
  <c r="G156" i="82" s="1"/>
  <c r="G149" i="82"/>
  <c r="G150" i="82" s="1"/>
  <c r="I24" i="157"/>
  <c r="I25" i="157" s="1"/>
  <c r="E32" i="133"/>
  <c r="E86" i="132" l="1"/>
  <c r="E87" i="132" s="1"/>
  <c r="E31" i="132"/>
  <c r="E33" i="132" s="1"/>
  <c r="E42" i="69"/>
  <c r="E44" i="69" s="1"/>
  <c r="E17" i="133" s="1"/>
  <c r="E257" i="132"/>
  <c r="E288" i="132"/>
  <c r="E290" i="132" s="1"/>
  <c r="E38" i="69"/>
  <c r="E40" i="69" s="1"/>
  <c r="E15" i="133" s="1"/>
  <c r="E211" i="132"/>
  <c r="E213" i="132" s="1"/>
  <c r="E71" i="132"/>
  <c r="E72" i="132" s="1"/>
  <c r="E78" i="132" s="1"/>
  <c r="E27" i="132"/>
  <c r="E82" i="132"/>
  <c r="E83" i="132" s="1"/>
  <c r="E89" i="132" s="1"/>
  <c r="E259" i="132" l="1"/>
  <c r="E29" i="132"/>
  <c r="E91" i="132"/>
  <c r="E318" i="132" s="1"/>
  <c r="E298" i="132"/>
  <c r="E328" i="132" s="1"/>
  <c r="E40" i="132" l="1"/>
  <c r="E217" i="132" s="1"/>
  <c r="E260" i="132"/>
  <c r="E261" i="132" s="1"/>
  <c r="E269" i="132" s="1"/>
  <c r="E214" i="132"/>
  <c r="E215" i="132" s="1"/>
  <c r="E223" i="132" s="1"/>
  <c r="E93" i="132" l="1"/>
  <c r="E316" i="132"/>
  <c r="E224" i="132"/>
  <c r="E228" i="132" s="1"/>
  <c r="E237" i="132" s="1"/>
  <c r="E324" i="132" s="1"/>
  <c r="E263" i="132"/>
  <c r="E270" i="132" s="1"/>
  <c r="E274" i="132" s="1"/>
  <c r="E283" i="132" s="1"/>
  <c r="E326" i="132" s="1"/>
  <c r="E33" i="133" s="1"/>
  <c r="E16" i="142"/>
  <c r="H33" i="133" l="1"/>
  <c r="G33" i="133"/>
  <c r="H16" i="142"/>
  <c r="E11" i="140" l="1"/>
  <c r="E12" i="140"/>
  <c r="G16" i="142"/>
  <c r="I16" i="142" s="1"/>
  <c r="E17" i="142" s="1"/>
  <c r="E13" i="140" l="1"/>
  <c r="D34" i="140" s="1"/>
  <c r="I34" i="140" s="1"/>
  <c r="H17" i="142"/>
  <c r="D31" i="140" l="1"/>
  <c r="I31" i="140" s="1"/>
  <c r="D25" i="140"/>
  <c r="I25" i="140" s="1"/>
  <c r="D33" i="140"/>
  <c r="I33" i="140" s="1"/>
  <c r="D26" i="140"/>
  <c r="I26" i="140" s="1"/>
  <c r="D30" i="140"/>
  <c r="I30" i="140" s="1"/>
  <c r="D24" i="140"/>
  <c r="I24" i="140" s="1"/>
  <c r="D32" i="140"/>
  <c r="I32" i="140" s="1"/>
  <c r="D28" i="140"/>
  <c r="I28" i="140" s="1"/>
  <c r="D29" i="140"/>
  <c r="I29" i="140" s="1"/>
  <c r="D23" i="140"/>
  <c r="D27" i="140"/>
  <c r="I27" i="140" s="1"/>
  <c r="G17" i="142"/>
  <c r="D35" i="140" l="1"/>
  <c r="I23" i="140"/>
  <c r="L23" i="140" s="1"/>
  <c r="I17" i="142"/>
  <c r="E18" i="142" s="1"/>
  <c r="H18" i="142" s="1"/>
  <c r="I35" i="140" l="1"/>
  <c r="K23" i="140"/>
  <c r="M23"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K24" i="140" l="1"/>
  <c r="L24" i="140" s="1"/>
  <c r="M24" i="140" s="1"/>
  <c r="H26" i="142"/>
  <c r="G26" i="142" s="1"/>
  <c r="I26" i="142" s="1"/>
  <c r="E27" i="142" s="1"/>
  <c r="K25" i="140" l="1"/>
  <c r="L25" i="140" s="1"/>
  <c r="M25" i="140" s="1"/>
  <c r="H27" i="142"/>
  <c r="H28" i="142" s="1"/>
  <c r="K26" i="140" l="1"/>
  <c r="L26" i="140" s="1"/>
  <c r="M26" i="140" s="1"/>
  <c r="G27" i="142"/>
  <c r="I27" i="142" s="1"/>
  <c r="D31" i="142"/>
  <c r="E322" i="132" s="1"/>
  <c r="K27" i="140" l="1"/>
  <c r="L27" i="140" s="1"/>
  <c r="M27" i="140" s="1"/>
  <c r="K28" i="140" l="1"/>
  <c r="L28" i="140" s="1"/>
  <c r="M28" i="140" s="1"/>
  <c r="K29" i="140" s="1"/>
  <c r="L29" i="140" s="1"/>
  <c r="M29" i="140" s="1"/>
  <c r="K30" i="140" s="1"/>
  <c r="L30" i="140" s="1"/>
  <c r="M30" i="140" s="1"/>
  <c r="K31" i="140" l="1"/>
  <c r="L31" i="140" s="1"/>
  <c r="M31" i="140" s="1"/>
  <c r="K32" i="140" l="1"/>
  <c r="L32" i="140" s="1"/>
  <c r="M32" i="140" l="1"/>
  <c r="K33" i="140" l="1"/>
  <c r="L33" i="140" s="1"/>
  <c r="M33" i="140" s="1"/>
  <c r="K34" i="140" l="1"/>
  <c r="L34" i="140" s="1"/>
  <c r="L35" i="140" s="1"/>
  <c r="M34" i="140" l="1"/>
  <c r="E320" i="132" l="1"/>
  <c r="E330" i="132" s="1"/>
  <c r="D30" i="142"/>
  <c r="D32" i="142" s="1"/>
  <c r="E332" i="132" l="1"/>
  <c r="E11" i="133"/>
  <c r="E333" i="132"/>
  <c r="E23" i="133" l="1"/>
  <c r="E29" i="133" s="1"/>
  <c r="E335" i="132"/>
  <c r="E339" i="132" s="1"/>
  <c r="G29" i="133" l="1"/>
  <c r="G37" i="133" s="1"/>
  <c r="G38" i="133" s="1"/>
  <c r="H29" i="133"/>
  <c r="H37" i="133" s="1"/>
  <c r="H38" i="133" s="1"/>
  <c r="H39" i="133" s="1"/>
  <c r="H44" i="133" s="1"/>
  <c r="E37" i="133"/>
  <c r="G39" i="133" l="1"/>
  <c r="G44" i="133" s="1"/>
  <c r="E38" i="133"/>
  <c r="E39" i="133" s="1"/>
  <c r="E44" i="133" s="1"/>
</calcChain>
</file>

<file path=xl/sharedStrings.xml><?xml version="1.0" encoding="utf-8"?>
<sst xmlns="http://schemas.openxmlformats.org/spreadsheetml/2006/main" count="2391" uniqueCount="1204">
  <si>
    <t>Cost of Plant</t>
  </si>
  <si>
    <t>($1,000)</t>
  </si>
  <si>
    <t>Line</t>
  </si>
  <si>
    <t>(a)</t>
  </si>
  <si>
    <t>(b)</t>
  </si>
  <si>
    <t>(c) = [(a)+(b)]/2</t>
  </si>
  <si>
    <t>Average Balance</t>
  </si>
  <si>
    <t>Reference</t>
  </si>
  <si>
    <t xml:space="preserve"> </t>
  </si>
  <si>
    <t xml:space="preserve">     Total Plant in Service </t>
  </si>
  <si>
    <t>Transmission Wages and Salaries Allocation Factor</t>
  </si>
  <si>
    <t>Transmission Related Electric Miscellaneous Intangible Plant</t>
  </si>
  <si>
    <t>Transmission Related General Plant</t>
  </si>
  <si>
    <t xml:space="preserve">Transmission Related Common Plant </t>
  </si>
  <si>
    <t xml:space="preserve">     Transmission Related Total Plant in Service </t>
  </si>
  <si>
    <t>Used to allocate all elements of working capital, other than working cash.</t>
  </si>
  <si>
    <t>SAN DIEGO GAS &amp; ELECTRIC COMPANY</t>
  </si>
  <si>
    <t>Month</t>
  </si>
  <si>
    <t>No.</t>
  </si>
  <si>
    <t>Balance</t>
  </si>
  <si>
    <t>Total</t>
  </si>
  <si>
    <t>May</t>
  </si>
  <si>
    <t>Description</t>
  </si>
  <si>
    <t xml:space="preserve">     Total Transmission Related Depreciation Reserve</t>
  </si>
  <si>
    <t>Transmission Related Common Plant Depreciation Reserve</t>
  </si>
  <si>
    <t>Transmission Related General Plant Depreciation Reserve</t>
  </si>
  <si>
    <t>Transmission Related Electric Misc. Intangible Plant Amortization Reserve</t>
  </si>
  <si>
    <t>Accumulated Depreciation and Amortization</t>
  </si>
  <si>
    <t>Deferred Credits</t>
  </si>
  <si>
    <t>Incentive Transmission Plant ADIT</t>
  </si>
  <si>
    <t>Transmission Plant Abandoned ADIT</t>
  </si>
  <si>
    <t>Incentive Transmission Plant Abandoned Project Cost ADIT</t>
  </si>
  <si>
    <t>Specified Plant Account (Other than Plant in Service) and Deferred Debits</t>
  </si>
  <si>
    <t>1</t>
  </si>
  <si>
    <t>The balances for Transmission Plant Held for Future Use are derived based on a 13-month average balance.</t>
  </si>
  <si>
    <t>Transmission Plant</t>
  </si>
  <si>
    <t>Operation and Maintenance Expenses</t>
  </si>
  <si>
    <t>Amounts</t>
  </si>
  <si>
    <t>Derivation of Transmission Operation and Maintenance Expense:</t>
  </si>
  <si>
    <t>Total Transmission O&amp;M Expense</t>
  </si>
  <si>
    <t xml:space="preserve">   Other Transmission O&amp;M Exclusion Adjustments </t>
  </si>
  <si>
    <t>Derivation of Administrative and General Expense:</t>
  </si>
  <si>
    <t>Total Administrative &amp; General Expense</t>
  </si>
  <si>
    <t xml:space="preserve">   CPUC Intervenor Funding Expense - Distribution</t>
  </si>
  <si>
    <t xml:space="preserve">   CPUC reimbursement fees</t>
  </si>
  <si>
    <t xml:space="preserve">   Litigation expenses - Litigation Cost Memorandum Account (LCMA)</t>
  </si>
  <si>
    <t xml:space="preserve">   CPUC energy efficiency programs</t>
  </si>
  <si>
    <t xml:space="preserve">   Hazardous substances - Hazardous Substance Cleanup Cost Account</t>
  </si>
  <si>
    <t xml:space="preserve">   Other A&amp;G Exclusion Adjustments</t>
  </si>
  <si>
    <t>Total Adjusted A&amp;G Expenses Excluding Property Insurance</t>
  </si>
  <si>
    <t>Transmission Related Administrative &amp; General Expenses</t>
  </si>
  <si>
    <t>Derivation of Transmission Plant Property Insurance Allocation Factor:</t>
  </si>
  <si>
    <t>Transmission Plant &amp; Incentive Transmission Plant</t>
  </si>
  <si>
    <t>Shall be Zero</t>
  </si>
  <si>
    <t xml:space="preserve">     Total Transmission Related Investment in Plant</t>
  </si>
  <si>
    <t>Total Transmission Plant &amp; Incentive Transmission Plant</t>
  </si>
  <si>
    <t>Total Steam Production Plant</t>
  </si>
  <si>
    <t>Total Nuclear Production Plant</t>
  </si>
  <si>
    <t>Total Other Production Plant</t>
  </si>
  <si>
    <t>Total Distribution Plant</t>
  </si>
  <si>
    <t>Total General Plant</t>
  </si>
  <si>
    <t>Total Common Plant</t>
  </si>
  <si>
    <t xml:space="preserve">     Total Plant in Service Excluding SONGS</t>
  </si>
  <si>
    <t>Property Insurance Allocated to Transmission, General, and Common Plant</t>
  </si>
  <si>
    <t>CPUC Intervenor Funding Expense - Transmission</t>
  </si>
  <si>
    <t>Production Wages &amp; Salaries (Includes Steam &amp; Other Power Supply)</t>
  </si>
  <si>
    <t>Transmission Wages &amp; Salaries</t>
  </si>
  <si>
    <t>Distribution Wages &amp; Salaries</t>
  </si>
  <si>
    <t>Customer Accounts Wages &amp; Salaries</t>
  </si>
  <si>
    <t>Customer Services and Informational Wages &amp; Salaries</t>
  </si>
  <si>
    <t>Sales Wages &amp; Salaries</t>
  </si>
  <si>
    <t>Net</t>
  </si>
  <si>
    <t>Rate</t>
  </si>
  <si>
    <t>Composite Depreciation Rate</t>
  </si>
  <si>
    <t>Year</t>
  </si>
  <si>
    <t>Amortization</t>
  </si>
  <si>
    <t>Taxes Other Than Income Taxes</t>
  </si>
  <si>
    <t>Net Property Taxes</t>
  </si>
  <si>
    <t>Transmission Related Property Taxes Expense</t>
  </si>
  <si>
    <t>Transmission Related Payroll Taxes Expense</t>
  </si>
  <si>
    <t>Working Capital</t>
  </si>
  <si>
    <t>Working</t>
  </si>
  <si>
    <t>Cash</t>
  </si>
  <si>
    <t>Transmission Plant Allocation Factor</t>
  </si>
  <si>
    <t>C. Derivation of Transmission Related Cash Working Capital - Retail:</t>
  </si>
  <si>
    <t>FERC Method = 1/8 of O&amp;M Expense</t>
  </si>
  <si>
    <t>D. Adj. to Back Out CPUC Intervenor Funding Exp. Embedded in Retail Working Cash:</t>
  </si>
  <si>
    <t>Adj. to Transmission Related Cash Working Capital - Wholesale Customers</t>
  </si>
  <si>
    <t>The balances for Materials &amp; Supplies and Prepayments are derived based on a 13-month average balance.</t>
  </si>
  <si>
    <t>Construction Work In Progress (CWIP)</t>
  </si>
  <si>
    <t>Federal Income Tax Deductions, Other Than Interest</t>
  </si>
  <si>
    <t xml:space="preserve">South Georgia Income Tax Adjustment </t>
  </si>
  <si>
    <t>Federal Tax Adjustments</t>
  </si>
  <si>
    <t>Revenue Credits</t>
  </si>
  <si>
    <t>(453) Sales of Water and Water Power</t>
  </si>
  <si>
    <t>(455) Interdepartmental Rents</t>
  </si>
  <si>
    <t>(411.6 &amp; 411.7) Gain or Loss From Sale of Plant Held for Future Use</t>
  </si>
  <si>
    <t>Statement AU</t>
  </si>
  <si>
    <t>(c)</t>
  </si>
  <si>
    <t>(d)</t>
  </si>
  <si>
    <t>(e)</t>
  </si>
  <si>
    <t>Statement AV</t>
  </si>
  <si>
    <t>Cost of Capital and Fair Rate of Return</t>
  </si>
  <si>
    <t>Long-Term Debt Component - Denominator:</t>
  </si>
  <si>
    <t>Long-Term Debt Component - Numerator:</t>
  </si>
  <si>
    <t>Cost of Long-Term Debt:</t>
  </si>
  <si>
    <t>Preferred Equity Component:</t>
  </si>
  <si>
    <t>Common Equity Component:</t>
  </si>
  <si>
    <t>(d) = (b) x (c)</t>
  </si>
  <si>
    <t>Cap. Struct.</t>
  </si>
  <si>
    <t>Weighted</t>
  </si>
  <si>
    <t>Weighted Cost of Capital:</t>
  </si>
  <si>
    <t>Ratio</t>
  </si>
  <si>
    <t>Cost of Capital</t>
  </si>
  <si>
    <t>Long-Term Debt</t>
  </si>
  <si>
    <t>Preferred Equity</t>
  </si>
  <si>
    <t>Common Equity</t>
  </si>
  <si>
    <t>Where:</t>
  </si>
  <si>
    <t xml:space="preserve">     A = Sum of Preferred Stock and Return on Equity Component</t>
  </si>
  <si>
    <t xml:space="preserve">     C = Equity AFUDC Component of Transmission Depreciation Expense</t>
  </si>
  <si>
    <t xml:space="preserve">     D = Transmission Rate Base</t>
  </si>
  <si>
    <t>Federal Income Tax Rate</t>
  </si>
  <si>
    <t>B. State Income Tax Component:</t>
  </si>
  <si>
    <t>State Income Tax Rate</t>
  </si>
  <si>
    <t>C. Total Federal &amp; State Income Tax Rate:</t>
  </si>
  <si>
    <t>Cost of</t>
  </si>
  <si>
    <t>Capital</t>
  </si>
  <si>
    <t>Cost of Equity Component (Preferred &amp; Common):</t>
  </si>
  <si>
    <t>Incentive Cost of Equity Component (Preferred &amp; Common):</t>
  </si>
  <si>
    <t>Amount is based upon December 31 balances.</t>
  </si>
  <si>
    <t>Federal Income Tax Expense</t>
  </si>
  <si>
    <t xml:space="preserve">     FT = Federal Income Tax Expense</t>
  </si>
  <si>
    <t>State Income Tax Expense</t>
  </si>
  <si>
    <t>D. Total Weighted Cost of Capital:</t>
  </si>
  <si>
    <t>Shall be Zero for Incentive ROE Projects</t>
  </si>
  <si>
    <t xml:space="preserve">Federal Income Tax Expense </t>
  </si>
  <si>
    <t>D. Total Incentive Weighted Cost of Capital:</t>
  </si>
  <si>
    <t>Depreciation and Amortization Expense</t>
  </si>
  <si>
    <t>Electric Miscellaneous Intangible Plant Amortization Expense</t>
  </si>
  <si>
    <t xml:space="preserve">General Plant Depreciation Expense </t>
  </si>
  <si>
    <t xml:space="preserve">Common Plant Depreciation Expense </t>
  </si>
  <si>
    <t>Transmission Related Electric Misc. Intangible Plant Amortization Expense</t>
  </si>
  <si>
    <t>Transmission Related General Plant Depreciation Expense</t>
  </si>
  <si>
    <t>Transmission Related Common Plant Depreciation Expense</t>
  </si>
  <si>
    <t>Incentive Transmission Plant Depreciation Expense</t>
  </si>
  <si>
    <t>Transmission Plant Abandoned Project Cost Amortization Expense</t>
  </si>
  <si>
    <t>Incentive Transmission Plant Abandoned Project Cost Amortization Expense</t>
  </si>
  <si>
    <t>Less: SONGS Property Taxes</t>
  </si>
  <si>
    <t>Wages and Salaries</t>
  </si>
  <si>
    <t>HV</t>
  </si>
  <si>
    <t>LV</t>
  </si>
  <si>
    <t>Unweighted</t>
  </si>
  <si>
    <t>Wtd-HV</t>
  </si>
  <si>
    <t>Wtd-LV</t>
  </si>
  <si>
    <t>Gross</t>
  </si>
  <si>
    <t>Non-Incentive Projects:</t>
  </si>
  <si>
    <t>Forecast Period - Transmission Plant Additions</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</si>
  <si>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</si>
  <si>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</si>
  <si>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</si>
  <si>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</si>
  <si>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</si>
  <si>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</si>
  <si>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 xml:space="preserve">     Sub-Total Incentive Projects Forecast Plant Additions</t>
  </si>
  <si>
    <t>Net Transmission Plant:</t>
  </si>
  <si>
    <t>Transmission Related Common Plant</t>
  </si>
  <si>
    <t xml:space="preserve">     Total Net Transmission Plant</t>
  </si>
  <si>
    <t>Rate Base Additions:</t>
  </si>
  <si>
    <t>Transmission Plant Held for Future Use</t>
  </si>
  <si>
    <t>Transmission Plant Abandoned Project Cost</t>
  </si>
  <si>
    <t xml:space="preserve">     Total Rate Base Additions</t>
  </si>
  <si>
    <t>Rate Base Reductions:</t>
  </si>
  <si>
    <t>Transmission Plant Abandoned Accum. Def. Inc. Taxes</t>
  </si>
  <si>
    <t xml:space="preserve">     Total Rate Base Reductions</t>
  </si>
  <si>
    <t>Working Capital:</t>
  </si>
  <si>
    <t xml:space="preserve">Transmission Related Materials and Supplies </t>
  </si>
  <si>
    <t>Transmission Related Prepayments</t>
  </si>
  <si>
    <t>Transmission Related Cash Working Capital</t>
  </si>
  <si>
    <t>Other Regulatory Assets/Liabilities</t>
  </si>
  <si>
    <t>Statement BK-1</t>
  </si>
  <si>
    <r>
      <t xml:space="preserve">Derivation of End Use Prior Year Revenue Requirements (PYRR </t>
    </r>
    <r>
      <rPr>
        <b/>
        <vertAlign val="subscript"/>
        <sz val="12"/>
        <rFont val="Times New Roman"/>
        <family val="1"/>
      </rPr>
      <t>EU</t>
    </r>
    <r>
      <rPr>
        <b/>
        <sz val="12"/>
        <rFont val="Times New Roman"/>
        <family val="1"/>
      </rPr>
      <t>)</t>
    </r>
  </si>
  <si>
    <t>A. Revenues:</t>
  </si>
  <si>
    <t>Transmission Operation &amp; Maintenance Expense</t>
  </si>
  <si>
    <t>Transmission Related A&amp;G Expense</t>
  </si>
  <si>
    <t xml:space="preserve">     Total O&amp;M Expenses</t>
  </si>
  <si>
    <t>Transmission, General, Common Plant Depn. Exp., and Electric Misc. Intangible Plant Amort. Exp.</t>
  </si>
  <si>
    <t xml:space="preserve">     Sub-Total Expense</t>
  </si>
  <si>
    <t>Transmission Rate Base</t>
  </si>
  <si>
    <t>Transmission Related Revenue Credits</t>
  </si>
  <si>
    <t>(Gains)/Losses from Sale of Plant Held for Future Use</t>
  </si>
  <si>
    <r>
      <t xml:space="preserve">End of Prior Year Revenues (PYRR </t>
    </r>
    <r>
      <rPr>
        <vertAlign val="subscript"/>
        <sz val="12"/>
        <rFont val="Times New Roman"/>
        <family val="1"/>
      </rPr>
      <t>EU</t>
    </r>
    <r>
      <rPr>
        <sz val="12"/>
        <rFont val="Times New Roman"/>
        <family val="1"/>
      </rPr>
      <t>) Excluding FF&amp;U</t>
    </r>
  </si>
  <si>
    <t>Total Incentive ROE Project Transmission Rate Base</t>
  </si>
  <si>
    <t>Total Incentive Transmission Plant Abandoned Project Cost Rate Base</t>
  </si>
  <si>
    <t>Blank lines that show up in the Formula Rate Spreadsheet will not be populated with any numbers absent a Section 205 filing to approve the blank lines.</t>
  </si>
  <si>
    <t>A. Transmission Rate Base:</t>
  </si>
  <si>
    <t xml:space="preserve">Incentive Transmission Plant Accum. Def. Income Taxes </t>
  </si>
  <si>
    <t xml:space="preserve">     Total Incentive ROE Project Transmission Rate Base</t>
  </si>
  <si>
    <t>Incentive Transmission Plant Abandoned Project Cost</t>
  </si>
  <si>
    <t>Incentive Transmission Plant Abandoned Project Cost Accum. Def. Inc. Taxes</t>
  </si>
  <si>
    <t>A. Transmission Plant:</t>
  </si>
  <si>
    <t>Gross Transmission Plant:</t>
  </si>
  <si>
    <t>Transmission Related Electric Misc. Intangible Plant</t>
  </si>
  <si>
    <t xml:space="preserve">     Total Gross Transmission Plant</t>
  </si>
  <si>
    <t>Transmission Related Depreciation Reserve:</t>
  </si>
  <si>
    <t xml:space="preserve">Transmission Plant Depreciation Reserve </t>
  </si>
  <si>
    <t>Transmission Related General Plant Depr Reserve</t>
  </si>
  <si>
    <t>Transmission Related Common Plant Depr Reserve</t>
  </si>
  <si>
    <t xml:space="preserve">     Total Net Incentive Transmission Plant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</si>
  <si>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</si>
  <si>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</si>
  <si>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</si>
  <si>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</si>
  <si>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</si>
  <si>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</si>
  <si>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50% of Transmission Related A&amp;G Expense</t>
  </si>
  <si>
    <r>
      <t xml:space="preserve">Annual Fix Charge Rate (AFCR </t>
    </r>
    <r>
      <rPr>
        <vertAlign val="subscript"/>
        <sz val="12"/>
        <rFont val="Times New Roman"/>
        <family val="1"/>
      </rPr>
      <t>EU</t>
    </r>
    <r>
      <rPr>
        <sz val="12"/>
        <rFont val="Times New Roman"/>
        <family val="1"/>
      </rPr>
      <t>)</t>
    </r>
  </si>
  <si>
    <t xml:space="preserve">Weighted Forecast Plant Additions </t>
  </si>
  <si>
    <t>Forecast Period Capital Addition Revenue Requirements</t>
  </si>
  <si>
    <t>CAPITAL PROJECTS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</si>
  <si>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</si>
  <si>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</si>
  <si>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</si>
  <si>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t xml:space="preserve">Incentive Weighted Forecast Plant Additions </t>
  </si>
  <si>
    <t>B. Derivation of Incentive Forecast Transmission CWIP Revenues:</t>
  </si>
  <si>
    <t xml:space="preserve">Incentive Weighted Forecast Transmission Construction Work In Progress </t>
  </si>
  <si>
    <t>Incentive Transmission Forecast CWIP Projects Revenue Requirements</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</si>
  <si>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</si>
  <si>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</si>
  <si>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</si>
  <si>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</si>
  <si>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</si>
  <si>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Retail Interest True-Up Adjustment</t>
  </si>
  <si>
    <r>
      <t xml:space="preserve">Forecast Period Incentive Capital Additions Revenue Requirements (FC </t>
    </r>
    <r>
      <rPr>
        <vertAlign val="subscript"/>
        <sz val="12"/>
        <rFont val="Times New Roman"/>
        <family val="1"/>
      </rPr>
      <t>EU-IR-ROE</t>
    </r>
    <r>
      <rPr>
        <sz val="12"/>
        <rFont val="Times New Roman"/>
        <family val="1"/>
      </rPr>
      <t>)</t>
    </r>
  </si>
  <si>
    <t>Transmission Related Municipal Franchise Fees Expenses</t>
  </si>
  <si>
    <t>Transmission Related Uncollectible Expense</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</si>
  <si>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</si>
  <si>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</si>
  <si>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A. Derivation of Revenues Related With Total Transmission Facilities:</t>
  </si>
  <si>
    <t xml:space="preserve">1. Percent Split Between HV &amp; LV for Recorded Non-Incentive &amp; Incentive </t>
  </si>
  <si>
    <t>High Voltage</t>
  </si>
  <si>
    <t>Low Voltage</t>
  </si>
  <si>
    <t xml:space="preserve">    Gross Transmission Plant Facilities and Incentive CWIP:</t>
  </si>
  <si>
    <t>C. Summary of CAISO Transmission Facilities by</t>
  </si>
  <si>
    <t xml:space="preserve"> High Voltage and Low Voltage Classification:</t>
  </si>
  <si>
    <t xml:space="preserve">Base franchise fees are applicable to all SDG&amp;E customers. </t>
  </si>
  <si>
    <t xml:space="preserve"> Abandoned Projects</t>
  </si>
  <si>
    <t>Page; Line; Col.</t>
  </si>
  <si>
    <t>SDG&amp;E Records</t>
  </si>
  <si>
    <t>FERC Form 1</t>
  </si>
  <si>
    <t xml:space="preserve">Miscellaneous Statement </t>
  </si>
  <si>
    <t>FERC Account 283</t>
  </si>
  <si>
    <t xml:space="preserve">STATEMENT AF </t>
  </si>
  <si>
    <t>Account 190</t>
  </si>
  <si>
    <t>Account 282</t>
  </si>
  <si>
    <t>Account 283</t>
  </si>
  <si>
    <t>ACCUMULATED DEFERRED INCOME TAXES - ELECTRIC TRANSMISSION</t>
  </si>
  <si>
    <t>450.1; Sch. Pg. 214; 46; d</t>
  </si>
  <si>
    <t>112; 18; c</t>
  </si>
  <si>
    <t>450.1; Sch. Pg. 274; 2; b and k</t>
  </si>
  <si>
    <t>321; 112; b</t>
  </si>
  <si>
    <t>323; 197; b</t>
  </si>
  <si>
    <t>354; 20; b</t>
  </si>
  <si>
    <t>354; 21; b</t>
  </si>
  <si>
    <t>354; 23; b</t>
  </si>
  <si>
    <t>354; 24; b</t>
  </si>
  <si>
    <t>354; 25; b</t>
  </si>
  <si>
    <t>354; 26; b</t>
  </si>
  <si>
    <t>450.1; Sch. Pg. 262; 2; i</t>
  </si>
  <si>
    <t>263; 2; i</t>
  </si>
  <si>
    <t>450.1; Sch. Pg. 266; 8; f</t>
  </si>
  <si>
    <t>300; 18; b</t>
  </si>
  <si>
    <t>300; 20; b</t>
  </si>
  <si>
    <t>112; 19; c</t>
  </si>
  <si>
    <t>112; 21; c</t>
  </si>
  <si>
    <t>112; 22; c</t>
  </si>
  <si>
    <t>112; 23; c</t>
  </si>
  <si>
    <t>117; 62; c</t>
  </si>
  <si>
    <t>117; 63; c</t>
  </si>
  <si>
    <t>117; 64; c</t>
  </si>
  <si>
    <t>117; 65; c</t>
  </si>
  <si>
    <t>117; 66; c</t>
  </si>
  <si>
    <t>112; 3; c</t>
  </si>
  <si>
    <t>118; 29; c</t>
  </si>
  <si>
    <t>112; 16; c</t>
  </si>
  <si>
    <t>112; 12; c</t>
  </si>
  <si>
    <t>112; 15; c</t>
  </si>
  <si>
    <t xml:space="preserve">   General Advertising Expenses </t>
  </si>
  <si>
    <t>Retail BTRR Excluding FF&amp;U</t>
  </si>
  <si>
    <r>
      <t xml:space="preserve">Transmission Facilities (BTRR </t>
    </r>
    <r>
      <rPr>
        <vertAlign val="subscript"/>
        <sz val="12"/>
        <rFont val="Times New Roman"/>
        <family val="1"/>
      </rPr>
      <t>CAISO</t>
    </r>
    <r>
      <rPr>
        <sz val="12"/>
        <rFont val="Times New Roman"/>
        <family val="1"/>
      </rPr>
      <t>) Excluding Franchise Fees</t>
    </r>
  </si>
  <si>
    <t>336; 1; f</t>
  </si>
  <si>
    <t>336; 10; f</t>
  </si>
  <si>
    <t>336; 11; f</t>
  </si>
  <si>
    <t>450.1; Sch. Pg. 227; 12; c</t>
  </si>
  <si>
    <t>450.1; Sch. Pg. 110; 57; c</t>
  </si>
  <si>
    <r>
      <t xml:space="preserve">B. Subtotal BTRR </t>
    </r>
    <r>
      <rPr>
        <b/>
        <u/>
        <vertAlign val="subscript"/>
        <sz val="12"/>
        <rFont val="Times New Roman"/>
        <family val="1"/>
      </rPr>
      <t>EU</t>
    </r>
    <r>
      <rPr>
        <b/>
        <u/>
        <sz val="12"/>
        <rFont val="Times New Roman"/>
        <family val="1"/>
      </rPr>
      <t xml:space="preserve"> Excluding FF&amp;U:</t>
    </r>
  </si>
  <si>
    <t xml:space="preserve">   Franchise Requirements</t>
  </si>
  <si>
    <t>Calculations:</t>
  </si>
  <si>
    <t>Cumulative</t>
  </si>
  <si>
    <t>Monthly</t>
  </si>
  <si>
    <t>in Revenue</t>
  </si>
  <si>
    <t>Interest</t>
  </si>
  <si>
    <t>True Up</t>
  </si>
  <si>
    <t>Revenues</t>
  </si>
  <si>
    <t>with Interest</t>
  </si>
  <si>
    <t>January</t>
  </si>
  <si>
    <t>February</t>
  </si>
  <si>
    <t>March</t>
  </si>
  <si>
    <t>April</t>
  </si>
  <si>
    <t xml:space="preserve">June </t>
  </si>
  <si>
    <t>July</t>
  </si>
  <si>
    <t>August</t>
  </si>
  <si>
    <t>September</t>
  </si>
  <si>
    <t>October</t>
  </si>
  <si>
    <t>November</t>
  </si>
  <si>
    <t>December</t>
  </si>
  <si>
    <t>Prior Cycle</t>
  </si>
  <si>
    <t>Beginning</t>
  </si>
  <si>
    <t>Ending</t>
  </si>
  <si>
    <t>Principal</t>
  </si>
  <si>
    <t>June</t>
  </si>
  <si>
    <t>True Up Adjustment</t>
  </si>
  <si>
    <t>263; 10, 18, 19, 20;  i</t>
  </si>
  <si>
    <t>Less: CPUC Intervenor Funding Expense - Transmission</t>
  </si>
  <si>
    <t>Less: South Georgia Income Tax Adjustment</t>
  </si>
  <si>
    <t>(c) = (a) + (b)</t>
  </si>
  <si>
    <t>(f) = (d) + (e)</t>
  </si>
  <si>
    <t>Unamortized Premium on Long-Term Debt (Acct 225)</t>
  </si>
  <si>
    <t>Less: Unamortized Discount on Long-Term Debt-Debit (Acct 226)</t>
  </si>
  <si>
    <t>Proprietary Capital</t>
  </si>
  <si>
    <t>(454) Rent from Electric Property</t>
  </si>
  <si>
    <t>(456) Other Electric Revenues</t>
  </si>
  <si>
    <t>13-Months</t>
  </si>
  <si>
    <t>Transmission Plant Depreciation Expense</t>
  </si>
  <si>
    <t>Total of Federal Income Tax Deductions, Other Than Interest</t>
  </si>
  <si>
    <t>Net of Incentive Transmission Plant Depreciation Expense.</t>
  </si>
  <si>
    <t>The balances for Electric Miscellaneous Intangible, Distribution, General and Common plant are derived based on a simple average balance using beginning and ending year balances.</t>
  </si>
  <si>
    <t>Total Prior Year Revenues (PYRR) or Base Period Revenue is for 12 months ending the applicable cycle base period.</t>
  </si>
  <si>
    <r>
      <t xml:space="preserve">Transmission Plant Held for Future Use </t>
    </r>
    <r>
      <rPr>
        <b/>
        <vertAlign val="superscript"/>
        <sz val="12"/>
        <rFont val="Times New Roman"/>
        <family val="1"/>
      </rPr>
      <t>1</t>
    </r>
  </si>
  <si>
    <r>
      <t xml:space="preserve">C. Subtotal Retail BTRR </t>
    </r>
    <r>
      <rPr>
        <b/>
        <u/>
        <vertAlign val="subscript"/>
        <sz val="12"/>
        <rFont val="Times New Roman"/>
        <family val="1"/>
      </rPr>
      <t>EU</t>
    </r>
    <r>
      <rPr>
        <b/>
        <u/>
        <sz val="12"/>
        <rFont val="Times New Roman"/>
        <family val="1"/>
      </rPr>
      <t xml:space="preserve"> With FF&amp;U:</t>
    </r>
  </si>
  <si>
    <r>
      <t xml:space="preserve">E. 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</si>
  <si>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</si>
  <si>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The amounts stated above are ratemaking utility plant in service and a result of implementing the “Seven-Element Adjustment Factor” which reflects transfers between core electric functional areas.</t>
  </si>
  <si>
    <t>Cost Adjustment Workpapers</t>
  </si>
  <si>
    <t>Franchise Fees</t>
  </si>
  <si>
    <t>Uncollectible Expense</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</si>
  <si>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</si>
  <si>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</si>
  <si>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</si>
  <si>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</si>
  <si>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</si>
  <si>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</si>
  <si>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</si>
  <si>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</si>
  <si>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</si>
  <si>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</si>
  <si>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FERC Account 190</t>
  </si>
  <si>
    <t xml:space="preserve">   Injuries &amp; Damages</t>
  </si>
  <si>
    <t>Bonds (Acct 221)</t>
  </si>
  <si>
    <t>Less: Reacquired Bonds (Acct 222)</t>
  </si>
  <si>
    <t>Other Long-Term Debt (Acct 224)</t>
  </si>
  <si>
    <t>Interest on Long-Term Debt (Acct 427)</t>
  </si>
  <si>
    <t>Amort. of Debt Disc. and Expense (Acct 428)</t>
  </si>
  <si>
    <t>Amortization of Loss on Reacquired Debt (Acct 428.1)</t>
  </si>
  <si>
    <t>Less: Amort. of Premium on Debt-Credit (Acct 429)</t>
  </si>
  <si>
    <t>Less: Amortization of Gain on Reacquired Debt-Credit (Acct 429.1)</t>
  </si>
  <si>
    <t>PF = Preferred Stock (Acct 204)</t>
  </si>
  <si>
    <t>d(pf) = Total Dividends Declared-Preferred Stocks (Acct 437)</t>
  </si>
  <si>
    <t>Less: Unappropriated Undistributed Subsidiary Earnings (Acct 216.1)</t>
  </si>
  <si>
    <t>Accumulated Other Comprehensive Income (Acct 219)</t>
  </si>
  <si>
    <t>Less: Preferred Stock (Acct 204)</t>
  </si>
  <si>
    <r>
      <t xml:space="preserve">   CPUC Intervenor Funding Expense - Transmission </t>
    </r>
    <r>
      <rPr>
        <b/>
        <vertAlign val="superscript"/>
        <sz val="12"/>
        <rFont val="Times New Roman"/>
        <family val="1"/>
      </rPr>
      <t>1</t>
    </r>
  </si>
  <si>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</si>
  <si>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r>
      <t>D. Incentive Transmission Construction Work In Progress</t>
    </r>
    <r>
      <rPr>
        <b/>
        <sz val="12"/>
        <rFont val="Times New Roman"/>
        <family val="1"/>
      </rPr>
      <t xml:space="preserve"> </t>
    </r>
    <r>
      <rPr>
        <b/>
        <vertAlign val="superscript"/>
        <sz val="12"/>
        <rFont val="Times New Roman"/>
        <family val="1"/>
      </rPr>
      <t>2</t>
    </r>
  </si>
  <si>
    <r>
      <t>B. Derivation of Split Between HV and LV:</t>
    </r>
    <r>
      <rPr>
        <b/>
        <sz val="12"/>
        <rFont val="Times New Roman"/>
        <family val="1"/>
      </rPr>
      <t xml:space="preserve"> </t>
    </r>
    <r>
      <rPr>
        <b/>
        <vertAlign val="superscript"/>
        <sz val="12"/>
        <rFont val="Times New Roman"/>
        <family val="1"/>
      </rPr>
      <t>1</t>
    </r>
  </si>
  <si>
    <r>
      <t xml:space="preserve">Transmission Plant </t>
    </r>
    <r>
      <rPr>
        <b/>
        <vertAlign val="superscript"/>
        <sz val="12"/>
        <rFont val="Times New Roman"/>
        <family val="1"/>
      </rPr>
      <t>1, 3</t>
    </r>
  </si>
  <si>
    <r>
      <t xml:space="preserve">Common Plant Depreciation Reserve </t>
    </r>
    <r>
      <rPr>
        <b/>
        <vertAlign val="superscript"/>
        <sz val="12"/>
        <rFont val="Times New Roman"/>
        <family val="1"/>
      </rPr>
      <t>2, 4</t>
    </r>
  </si>
  <si>
    <r>
      <t xml:space="preserve">General Plant Depreciation Reserve </t>
    </r>
    <r>
      <rPr>
        <b/>
        <vertAlign val="superscript"/>
        <sz val="12"/>
        <rFont val="Times New Roman"/>
        <family val="1"/>
      </rPr>
      <t>2, 4</t>
    </r>
  </si>
  <si>
    <r>
      <t xml:space="preserve">Electric Misc. Intangible Plant Amortization Reserve </t>
    </r>
    <r>
      <rPr>
        <b/>
        <vertAlign val="superscript"/>
        <sz val="12"/>
        <rFont val="Times New Roman"/>
        <family val="1"/>
      </rPr>
      <t>2, 4</t>
    </r>
  </si>
  <si>
    <r>
      <t xml:space="preserve">Transmission Plant Depreciation Reserve </t>
    </r>
    <r>
      <rPr>
        <b/>
        <vertAlign val="superscript"/>
        <sz val="12"/>
        <rFont val="Times New Roman"/>
        <family val="1"/>
      </rPr>
      <t>1, 3</t>
    </r>
  </si>
  <si>
    <r>
      <t xml:space="preserve">B. Prepayments </t>
    </r>
    <r>
      <rPr>
        <b/>
        <vertAlign val="superscript"/>
        <sz val="12"/>
        <rFont val="Times New Roman"/>
        <family val="1"/>
      </rPr>
      <t>1</t>
    </r>
  </si>
  <si>
    <r>
      <t xml:space="preserve">A. Plant Materials and Operating Supplies </t>
    </r>
    <r>
      <rPr>
        <b/>
        <vertAlign val="superscript"/>
        <sz val="12"/>
        <rFont val="Times New Roman"/>
        <family val="1"/>
      </rPr>
      <t>1</t>
    </r>
  </si>
  <si>
    <r>
      <t xml:space="preserve">Incentive Transmission Construction Work In Progress </t>
    </r>
    <r>
      <rPr>
        <b/>
        <vertAlign val="superscript"/>
        <sz val="12"/>
        <rFont val="Times New Roman"/>
        <family val="1"/>
      </rPr>
      <t>1</t>
    </r>
  </si>
  <si>
    <t>Total True-Up Cost of Service</t>
  </si>
  <si>
    <t>Cost of Service</t>
  </si>
  <si>
    <t>Prior</t>
  </si>
  <si>
    <t>Interest True Up Adjustment</t>
  </si>
  <si>
    <t>Undercollection (+) in Revenue</t>
  </si>
  <si>
    <t>Cumulative Overcollection (-) or</t>
  </si>
  <si>
    <t>Overcollection (-) or</t>
  </si>
  <si>
    <t>Undercollection (+)</t>
  </si>
  <si>
    <t>Adjusted Monthly</t>
  </si>
  <si>
    <t xml:space="preserve">     Subtotal Wholesale BTRR With Franchise Fees</t>
  </si>
  <si>
    <t>Transmission Property Insurance and Tax Allocation Factor</t>
  </si>
  <si>
    <r>
      <t xml:space="preserve">(451) Miscellaneous Service Revenues </t>
    </r>
    <r>
      <rPr>
        <b/>
        <vertAlign val="superscript"/>
        <sz val="12"/>
        <rFont val="Times New Roman"/>
        <family val="1"/>
      </rPr>
      <t>1</t>
    </r>
  </si>
  <si>
    <t>Electric Transmission Revenues from Citizens</t>
  </si>
  <si>
    <t>FERC Accounts 411.6 and 411.7</t>
  </si>
  <si>
    <t>450.1; Sch. Pg. 204; 104; b</t>
  </si>
  <si>
    <t>450.2; Sch. Pg. 200; 33; b</t>
  </si>
  <si>
    <t>Federal Income Tax    =    (((A) + (C / D)) * FT) - (B / D)</t>
  </si>
  <si>
    <t xml:space="preserve">                                                         (1 - FT)</t>
  </si>
  <si>
    <t xml:space="preserve">Federal Income Tax    =    (((A) + (C / D)) * FT) - (B / D) </t>
  </si>
  <si>
    <t>Less: Property Insurance (Due to different allocation factor)</t>
  </si>
  <si>
    <t>Confirmed the amounts reported for Acct 451 on FERC Form 1; Page 450.1; Sch. Pg. 300; Line 17; Col. b are not Transmission-related with an exception for</t>
  </si>
  <si>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</si>
  <si>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</si>
  <si>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</si>
  <si>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each applicable project.</t>
  </si>
  <si>
    <t>The balance for Incentive Transmission Construction Work In Progress is derived based on a 13-month average balance. A line will be shown for</t>
  </si>
  <si>
    <t>Franchise Fees. Part of the Franchise Fees reported are Transmission-related, however, they are excluded in Statement AU because they are collected as a part of the</t>
  </si>
  <si>
    <t>BTRR in the BK Cost Statements.</t>
  </si>
  <si>
    <t>applicable data field will be filled.</t>
  </si>
  <si>
    <t>450.1; Sch. Pg. 234; 2; b and c</t>
  </si>
  <si>
    <t>450.1; Sch. Pg. 276; 9; b and k</t>
  </si>
  <si>
    <t xml:space="preserve">     Total Working Capital</t>
  </si>
  <si>
    <t xml:space="preserve">     Total Incentive Transmission Plant Abandoned Project Cost Rate Base</t>
  </si>
  <si>
    <r>
      <t xml:space="preserve">     Adjusted Total (PYRR</t>
    </r>
    <r>
      <rPr>
        <vertAlign val="subscript"/>
        <sz val="12"/>
        <rFont val="Times New Roman"/>
        <family val="1"/>
      </rPr>
      <t xml:space="preserve"> EU</t>
    </r>
    <r>
      <rPr>
        <sz val="12"/>
        <rFont val="Times New Roman"/>
        <family val="1"/>
      </rPr>
      <t xml:space="preserve">) Excluding FF&amp;U </t>
    </r>
  </si>
  <si>
    <r>
      <t xml:space="preserve">     Adjusted Total (PYRR</t>
    </r>
    <r>
      <rPr>
        <vertAlign val="subscript"/>
        <sz val="12"/>
        <rFont val="Times New Roman"/>
        <family val="1"/>
      </rPr>
      <t xml:space="preserve"> EU-IR-ROE</t>
    </r>
    <r>
      <rPr>
        <sz val="12"/>
        <rFont val="Times New Roman"/>
        <family val="1"/>
      </rPr>
      <t xml:space="preserve">) Excluding FF&amp;U </t>
    </r>
  </si>
  <si>
    <t xml:space="preserve">     Total of Account 190</t>
  </si>
  <si>
    <t xml:space="preserve">     Total of Account 282</t>
  </si>
  <si>
    <t xml:space="preserve">     Total of Account 283</t>
  </si>
  <si>
    <t xml:space="preserve">   Net Operating Loss</t>
  </si>
  <si>
    <t xml:space="preserve">     Transmission Related Materials and Supplies </t>
  </si>
  <si>
    <t xml:space="preserve">     Transmission Related Prepayments </t>
  </si>
  <si>
    <t xml:space="preserve">     Total Federal Income Tax Deductions Other Than Interest</t>
  </si>
  <si>
    <t xml:space="preserve">     Transmission Related Revenue Credits</t>
  </si>
  <si>
    <t>2. Percent Split Between HV &amp; LV Forecast Plant Additions:</t>
  </si>
  <si>
    <t xml:space="preserve">    Total HV/LV Transmission Plant Facilities Revenues </t>
  </si>
  <si>
    <t xml:space="preserve">    HV/LV Plant Allocation Ratios Based on Forecast Plant Additions</t>
  </si>
  <si>
    <t xml:space="preserve">    Total HV/LV Transmission Forecast Plant Additions Revenues</t>
  </si>
  <si>
    <t>Summary of HV/LV Splits for Forecast Plant Additions</t>
  </si>
  <si>
    <t>HV/LV Ratio (Weighted Transmission Forecast Plant Additions)</t>
  </si>
  <si>
    <t xml:space="preserve">   Transmission O&amp;M Expense</t>
  </si>
  <si>
    <t xml:space="preserve">   Transmission Related A&amp;G Expense - Excl. Intervenor Funding Expense</t>
  </si>
  <si>
    <t xml:space="preserve">   CPUC Intervenor Funding Expense - Transmission</t>
  </si>
  <si>
    <t xml:space="preserve">     Total</t>
  </si>
  <si>
    <t xml:space="preserve">   One Eighth O&amp;M Rule</t>
  </si>
  <si>
    <t xml:space="preserve">     Transmission Related Cash Working Capital - Retail Customers</t>
  </si>
  <si>
    <t xml:space="preserve">   FERC Account 190</t>
  </si>
  <si>
    <t xml:space="preserve">   FERC Account 282</t>
  </si>
  <si>
    <t xml:space="preserve">   FERC Account 283</t>
  </si>
  <si>
    <t>450.1; Sch. Pg. 300; 19; b</t>
  </si>
  <si>
    <t>450.1; Sch. Pg. 300; 21; b</t>
  </si>
  <si>
    <t>450.1; Sch. Pg. 300; 17; b</t>
  </si>
  <si>
    <r>
      <t xml:space="preserve">     End of Prior Year Revenues (PYRR </t>
    </r>
    <r>
      <rPr>
        <vertAlign val="subscript"/>
        <sz val="12"/>
        <rFont val="Times New Roman"/>
        <family val="1"/>
      </rPr>
      <t>EU</t>
    </r>
    <r>
      <rPr>
        <sz val="12"/>
        <rFont val="Times New Roman"/>
        <family val="1"/>
      </rPr>
      <t>) Excluding FF&amp;U</t>
    </r>
  </si>
  <si>
    <t xml:space="preserve">     Total Incentive ROE Project Transmission Revenue</t>
  </si>
  <si>
    <t xml:space="preserve">     Total Incentive Transmission Plant Abandoned Project Revenue</t>
  </si>
  <si>
    <r>
      <t xml:space="preserve">     Total Incentive End of Prior Year Revenues (PYRR </t>
    </r>
    <r>
      <rPr>
        <vertAlign val="subscript"/>
        <sz val="12"/>
        <rFont val="Times New Roman"/>
        <family val="1"/>
      </rPr>
      <t>EU-IR</t>
    </r>
    <r>
      <rPr>
        <sz val="12"/>
        <rFont val="Times New Roman"/>
        <family val="1"/>
      </rPr>
      <t>) Excluding FF&amp;U</t>
    </r>
  </si>
  <si>
    <t xml:space="preserve">     Total Transmission Rate Base</t>
  </si>
  <si>
    <t xml:space="preserve">     Forecast Period Capital Addition Revenue Requirements</t>
  </si>
  <si>
    <t xml:space="preserve">     Total Adjusted Transmission O&amp;M Expenses </t>
  </si>
  <si>
    <t xml:space="preserve">     Total Adjusted A&amp;G Expenses Including Property Insurance</t>
  </si>
  <si>
    <t xml:space="preserve">     Transmission Related Property Taxes Expense</t>
  </si>
  <si>
    <t xml:space="preserve">     Transmission Related Payroll Taxes Expense</t>
  </si>
  <si>
    <t xml:space="preserve">     LTD = Long Term Debt</t>
  </si>
  <si>
    <t xml:space="preserve">     i = LTD interest</t>
  </si>
  <si>
    <t xml:space="preserve">     Cost of Preferred Equity</t>
  </si>
  <si>
    <t xml:space="preserve">     CS = Common Stock</t>
  </si>
  <si>
    <t xml:space="preserve">     Total Capital</t>
  </si>
  <si>
    <t xml:space="preserve">     Total Wholesale BTRR Excluding Franchise Fees</t>
  </si>
  <si>
    <r>
      <t xml:space="preserve">     Forecast Period Incentive Capital Addition Revenue Requirements (FC </t>
    </r>
    <r>
      <rPr>
        <vertAlign val="subscript"/>
        <sz val="12"/>
        <rFont val="Times New Roman"/>
        <family val="1"/>
      </rPr>
      <t>EU-IR-ROE</t>
    </r>
    <r>
      <rPr>
        <sz val="12"/>
        <rFont val="Times New Roman"/>
        <family val="1"/>
      </rPr>
      <t>)</t>
    </r>
  </si>
  <si>
    <r>
      <t xml:space="preserve">Transmission Related Regulatory Debits/Credits </t>
    </r>
    <r>
      <rPr>
        <b/>
        <vertAlign val="superscript"/>
        <sz val="12"/>
        <rFont val="Times New Roman"/>
        <family val="1"/>
      </rPr>
      <t>1</t>
    </r>
  </si>
  <si>
    <t>Transmission Related Regulatory Debits/Credits</t>
  </si>
  <si>
    <t xml:space="preserve">     FT = Federal Income Tax Rate for Rate Effective Period</t>
  </si>
  <si>
    <t xml:space="preserve">     ST = State Income Tax Rate for Rate Effective Period</t>
  </si>
  <si>
    <t xml:space="preserve">    HV/LV Plant Allocation Ratios</t>
  </si>
  <si>
    <r>
      <t xml:space="preserve">Franchise Fee </t>
    </r>
    <r>
      <rPr>
        <b/>
        <vertAlign val="superscript"/>
        <sz val="12"/>
        <rFont val="Times New Roman"/>
        <family val="1"/>
      </rPr>
      <t>2</t>
    </r>
  </si>
  <si>
    <t>Net Incentive Transmission Plant</t>
  </si>
  <si>
    <t>Incentive Transmission Plant</t>
  </si>
  <si>
    <t>Incentive Transmission Plant Depreciation Reserve</t>
  </si>
  <si>
    <r>
      <t>B. Incentive Project Transmission Plant:</t>
    </r>
    <r>
      <rPr>
        <b/>
        <sz val="12"/>
        <rFont val="Times New Roman"/>
        <family val="1"/>
      </rPr>
      <t xml:space="preserve"> </t>
    </r>
    <r>
      <rPr>
        <b/>
        <vertAlign val="superscript"/>
        <sz val="12"/>
        <rFont val="Times New Roman"/>
        <family val="1"/>
      </rPr>
      <t>1</t>
    </r>
  </si>
  <si>
    <r>
      <t xml:space="preserve">Transmission Plant Abandoned Project Cost Amortization Expense </t>
    </r>
    <r>
      <rPr>
        <b/>
        <vertAlign val="superscript"/>
        <sz val="12"/>
        <rFont val="Times New Roman"/>
        <family val="1"/>
      </rPr>
      <t>1</t>
    </r>
  </si>
  <si>
    <t xml:space="preserve">     B = Transmission Total Federal Tax Adjustments</t>
  </si>
  <si>
    <t>SDG&amp;E has followed the CAISO's guidelines to separate all elements of its Transmission facilities into HV and LV components as outlined in Appendix F; Schedule 3; Section 12 of the CAISO tariff.</t>
  </si>
  <si>
    <t>The balances for Steam, Nuclear, Hydraulic, Other Production, Transmission, and Incentive Transmission plant are derived based on a 13-month average balance.</t>
  </si>
  <si>
    <t>The amounts stated above are ratemaking utility plant in service and a result of implementing the "Seven-Element Adjustment Factor" which reflects transfers between core electric functional areas.</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</si>
  <si>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</si>
  <si>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</si>
  <si>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 xml:space="preserve">     Total Transmission, General, Common, and Electric Misc. Intangible Exp.</t>
  </si>
  <si>
    <t>Incentive Weighted Cost of Capital:</t>
  </si>
  <si>
    <r>
      <t xml:space="preserve">Total Common Plant </t>
    </r>
    <r>
      <rPr>
        <b/>
        <vertAlign val="superscript"/>
        <sz val="12"/>
        <rFont val="Times New Roman"/>
        <family val="1"/>
      </rPr>
      <t>2, 4</t>
    </r>
  </si>
  <si>
    <r>
      <t>Total Electric Miscellaneous Intangible Plant</t>
    </r>
    <r>
      <rPr>
        <b/>
        <sz val="12"/>
        <rFont val="Times New Roman"/>
        <family val="1"/>
      </rPr>
      <t xml:space="preserve"> </t>
    </r>
    <r>
      <rPr>
        <b/>
        <vertAlign val="superscript"/>
        <sz val="12"/>
        <rFont val="Times New Roman"/>
        <family val="1"/>
      </rPr>
      <t>2, 4</t>
    </r>
  </si>
  <si>
    <r>
      <t>Total General Plant</t>
    </r>
    <r>
      <rPr>
        <b/>
        <sz val="12"/>
        <rFont val="Times New Roman"/>
        <family val="1"/>
      </rPr>
      <t xml:space="preserve"> </t>
    </r>
    <r>
      <rPr>
        <b/>
        <vertAlign val="superscript"/>
        <sz val="12"/>
        <rFont val="Times New Roman"/>
        <family val="1"/>
      </rPr>
      <t>2, 4</t>
    </r>
  </si>
  <si>
    <t>Not affected by the "Seven-Element Adjustment Factor".</t>
  </si>
  <si>
    <t>FERC Account 282</t>
  </si>
  <si>
    <t>The FERC approved incentives for each project will be tracked and shown separately by repeating the applicable lines. As a result, the data on this page may carryover to the next page.</t>
  </si>
  <si>
    <t>Adjustments to Per Book A&amp;G Expense:</t>
  </si>
  <si>
    <t xml:space="preserve">     Transmission Related A&amp;G Expense Including Property Insurance Expense</t>
  </si>
  <si>
    <r>
      <t xml:space="preserve">Incentive Transmission Plant Depreciation Reserve </t>
    </r>
    <r>
      <rPr>
        <b/>
        <vertAlign val="superscript"/>
        <sz val="12"/>
        <rFont val="Times New Roman"/>
        <family val="1"/>
      </rPr>
      <t>1</t>
    </r>
  </si>
  <si>
    <r>
      <t xml:space="preserve">Amounts </t>
    </r>
    <r>
      <rPr>
        <b/>
        <vertAlign val="superscript"/>
        <sz val="12"/>
        <rFont val="Times New Roman"/>
        <family val="1"/>
      </rPr>
      <t>1</t>
    </r>
  </si>
  <si>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</si>
  <si>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</si>
  <si>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r>
      <t>C. Incentive Transmission Plant Abandoned Project Revenue:</t>
    </r>
    <r>
      <rPr>
        <b/>
        <sz val="12"/>
        <rFont val="Times New Roman"/>
        <family val="1"/>
      </rPr>
      <t xml:space="preserve"> </t>
    </r>
    <r>
      <rPr>
        <b/>
        <vertAlign val="superscript"/>
        <sz val="12"/>
        <rFont val="Times New Roman"/>
        <family val="1"/>
      </rPr>
      <t>1, 2</t>
    </r>
  </si>
  <si>
    <r>
      <t>B. Incentive ROE Project Transmission Revenue:</t>
    </r>
    <r>
      <rPr>
        <b/>
        <sz val="12"/>
        <rFont val="Times New Roman"/>
        <family val="1"/>
      </rPr>
      <t xml:space="preserve"> </t>
    </r>
    <r>
      <rPr>
        <b/>
        <vertAlign val="superscript"/>
        <sz val="12"/>
        <rFont val="Times New Roman"/>
        <family val="1"/>
      </rPr>
      <t>1, 2</t>
    </r>
  </si>
  <si>
    <r>
      <t xml:space="preserve">Total Prior Year Revenue Requirements Excluding FF&amp;U </t>
    </r>
    <r>
      <rPr>
        <b/>
        <vertAlign val="superscript"/>
        <sz val="12"/>
        <rFont val="Times New Roman"/>
        <family val="1"/>
      </rPr>
      <t>1</t>
    </r>
  </si>
  <si>
    <t>wo Interest</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</si>
  <si>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</si>
  <si>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</si>
  <si>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Rates specified on the FERC website pursuant to Section 35.19a of the Commission regulation.</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</si>
  <si>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</si>
  <si>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</si>
  <si>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Adjustment</t>
    </r>
    <r>
      <rPr>
        <b/>
        <sz val="12"/>
        <rFont val="Times New Roman"/>
        <family val="1"/>
      </rPr>
      <t xml:space="preserve"> </t>
    </r>
    <r>
      <rPr>
        <b/>
        <vertAlign val="superscript"/>
        <sz val="12"/>
        <rFont val="Times New Roman"/>
        <family val="1"/>
      </rPr>
      <t>1</t>
    </r>
  </si>
  <si>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</si>
  <si>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</si>
  <si>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Column 6 and the current month balance from Column 4.</t>
  </si>
  <si>
    <t>Interest is calculated using an average of beginning and ending balances: 1) January uses the entire balance from Column 4; and 2) subsequent months use the average of the prior month balance in</t>
  </si>
  <si>
    <t>Rate is an average of the base period FERC Rates presented in the True-Up workpaper in Column 7 to derive a more accurate and consistent amortization amount (Column 4).</t>
  </si>
  <si>
    <t>Amortization reduces the beginning balance to zero by the end of December and is derived as follows:</t>
  </si>
  <si>
    <t>Beginning Balance/{[(1+Rate)^12-1]/[Rate*(1+Rate)^12]}.</t>
  </si>
  <si>
    <t>subsequent months.</t>
  </si>
  <si>
    <t>The Beginning Balance  is: 1) the balance in Column 6; Line 18 from the Interest True-Up Base Period for January; and 2) the balance from previous month in Column 7 of this workpaper for all</t>
  </si>
  <si>
    <r>
      <t>Rate</t>
    </r>
    <r>
      <rPr>
        <b/>
        <sz val="12"/>
        <rFont val="Times New Roman"/>
        <family val="1"/>
      </rPr>
      <t xml:space="preserve"> </t>
    </r>
    <r>
      <rPr>
        <b/>
        <vertAlign val="superscript"/>
        <sz val="12"/>
        <rFont val="Times New Roman"/>
        <family val="1"/>
      </rPr>
      <t>1</t>
    </r>
  </si>
  <si>
    <r>
      <t xml:space="preserve">Incentive Transmission Plant </t>
    </r>
    <r>
      <rPr>
        <b/>
        <vertAlign val="superscript"/>
        <sz val="12"/>
        <rFont val="Times New Roman"/>
        <family val="1"/>
      </rPr>
      <t>1</t>
    </r>
  </si>
  <si>
    <t>Prior Other</t>
  </si>
  <si>
    <r>
      <t>BTRR Adjustments</t>
    </r>
    <r>
      <rPr>
        <b/>
        <sz val="12"/>
        <rFont val="Times New Roman"/>
        <family val="1"/>
      </rPr>
      <t xml:space="preserve"> </t>
    </r>
    <r>
      <rPr>
        <b/>
        <vertAlign val="superscript"/>
        <sz val="12"/>
        <rFont val="Times New Roman"/>
        <family val="1"/>
      </rPr>
      <t>4</t>
    </r>
  </si>
  <si>
    <r>
      <t>Rate</t>
    </r>
    <r>
      <rPr>
        <b/>
        <sz val="12"/>
        <rFont val="Times New Roman"/>
        <family val="1"/>
      </rPr>
      <t xml:space="preserve"> </t>
    </r>
    <r>
      <rPr>
        <b/>
        <vertAlign val="superscript"/>
        <sz val="12"/>
        <rFont val="Times New Roman"/>
        <family val="1"/>
      </rPr>
      <t>5</t>
    </r>
  </si>
  <si>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</si>
  <si>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</si>
  <si>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Col. a = Cost Adjustment Workpapers</t>
  </si>
  <si>
    <t>True-Up</t>
  </si>
  <si>
    <t>Net Transmission Plant</t>
  </si>
  <si>
    <t>Net Transmission Plant &amp; Incentive Transmission Plant</t>
  </si>
  <si>
    <t>Adjustment to back-out the prior year true-up adjustment that is included in the recorded monthly true-up revenues in Column 3.</t>
  </si>
  <si>
    <t>Commission for a previous year.</t>
  </si>
  <si>
    <t>Adjustment to back-out Other BTRR Adjustments from a prior year BK-1; Page 6, which is included in the recorded monthly true-up revenues in Column 3. Such adjustments include, but are not limited to, error adjustments and out-of-cycle recovery or refunds ordered by the</t>
  </si>
  <si>
    <r>
      <t xml:space="preserve">Total Steam Production Plant </t>
    </r>
    <r>
      <rPr>
        <b/>
        <vertAlign val="superscript"/>
        <sz val="12"/>
        <rFont val="Times New Roman"/>
        <family val="1"/>
      </rPr>
      <t>1,3</t>
    </r>
  </si>
  <si>
    <r>
      <t xml:space="preserve">Total Nuclear Production Plant </t>
    </r>
    <r>
      <rPr>
        <b/>
        <vertAlign val="superscript"/>
        <sz val="12"/>
        <rFont val="Times New Roman"/>
        <family val="1"/>
      </rPr>
      <t>1,3</t>
    </r>
  </si>
  <si>
    <r>
      <t xml:space="preserve">Total Hydraulic Production Plant </t>
    </r>
    <r>
      <rPr>
        <b/>
        <vertAlign val="superscript"/>
        <sz val="12"/>
        <rFont val="Times New Roman"/>
        <family val="1"/>
      </rPr>
      <t>1,3</t>
    </r>
  </si>
  <si>
    <r>
      <t xml:space="preserve">Total Other Production Plant </t>
    </r>
    <r>
      <rPr>
        <b/>
        <vertAlign val="superscript"/>
        <sz val="12"/>
        <rFont val="Times New Roman"/>
        <family val="1"/>
      </rPr>
      <t>1,3</t>
    </r>
  </si>
  <si>
    <r>
      <t xml:space="preserve">Total Distribution Plant </t>
    </r>
    <r>
      <rPr>
        <b/>
        <vertAlign val="superscript"/>
        <sz val="12"/>
        <rFont val="Times New Roman"/>
        <family val="1"/>
      </rPr>
      <t>2,3</t>
    </r>
  </si>
  <si>
    <t>450.1; Sch. Pg. 261; 17; b</t>
  </si>
  <si>
    <t xml:space="preserve">The following HV/LV Wholesale Base Transmission Revenue Requirements will be used by the CAISO to develop the TAC rates for the applicable rate effective period. </t>
  </si>
  <si>
    <t>Col. 1</t>
  </si>
  <si>
    <t>Col. 2</t>
  </si>
  <si>
    <t>Col. 3</t>
  </si>
  <si>
    <t>Col. 4</t>
  </si>
  <si>
    <t>Col. 5</t>
  </si>
  <si>
    <t>Col. 6</t>
  </si>
  <si>
    <t>Col. 7</t>
  </si>
  <si>
    <t>Col. 8</t>
  </si>
  <si>
    <t>Col. 9</t>
  </si>
  <si>
    <t>Col. 10</t>
  </si>
  <si>
    <t>Col. 11</t>
  </si>
  <si>
    <t>The CPUC Intervenor Expense for Transmission shall be treated as an exclusion in A&amp;G but added back to the Retail BTRR on BK-1; Page 1; Line 5. This expense will be</t>
  </si>
  <si>
    <t>excluded in Wholesale BTRR on BK-2; Line 3.</t>
  </si>
  <si>
    <t>Line 1 x Franchise Fee Rate</t>
  </si>
  <si>
    <t>Line 1 x Uncollectible Rate</t>
  </si>
  <si>
    <t>= Line 4 / 12</t>
  </si>
  <si>
    <t>= Col. 4; Line 26 / 12</t>
  </si>
  <si>
    <t>= Sum Col. 3 thru Col. 5</t>
  </si>
  <si>
    <t>= Col. 2 - Col. 6</t>
  </si>
  <si>
    <t>See Footnote 6</t>
  </si>
  <si>
    <t>See Footnote 7</t>
  </si>
  <si>
    <t>= Col. 9 + Col. 10</t>
  </si>
  <si>
    <t>See Footnote 2</t>
  </si>
  <si>
    <t>See Footnote 3</t>
  </si>
  <si>
    <t>See Footnote 4</t>
  </si>
  <si>
    <t>= Col. 4 + Col. 5</t>
  </si>
  <si>
    <t>= - (Col. 4 + Col. 6)</t>
  </si>
  <si>
    <t>= Col. 2 x Col. 3</t>
  </si>
  <si>
    <t>= Col. 3 - Col. 5</t>
  </si>
  <si>
    <t>Base Period True-Up Adjustment Calculation; Line 25; Col. 11</t>
  </si>
  <si>
    <t>Interest True-Up Adjustment - Base Period; Line 19; Col. 5 + Interest True-Up Adjustment - Current Year; Line 19; Col. 6</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</si>
  <si>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</si>
  <si>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</si>
  <si>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</si>
  <si>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</si>
  <si>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</si>
  <si>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See Footnote 1</t>
  </si>
  <si>
    <t>Line 1 + Line 3</t>
  </si>
  <si>
    <t>See Footnote 5</t>
  </si>
  <si>
    <t>Sum Lines 8 thru 12</t>
  </si>
  <si>
    <t>Line 5 + Line 14</t>
  </si>
  <si>
    <t>HV = Line 16; Col. d / Line 16; Col. f</t>
  </si>
  <si>
    <t>LV = Line 16; Col. e / Line 16; Col. f</t>
  </si>
  <si>
    <t>Sum Lines 2 thru 6</t>
  </si>
  <si>
    <t>Sum Lines 10 thru 14</t>
  </si>
  <si>
    <t>Line 15 / Line 7</t>
  </si>
  <si>
    <t>Line 21 / Line 20</t>
  </si>
  <si>
    <t>Col. c = Line 17 Above</t>
  </si>
  <si>
    <t>Col. c = Line 22 Above</t>
  </si>
  <si>
    <t>Line 6 Above</t>
  </si>
  <si>
    <t>Line 8 Above</t>
  </si>
  <si>
    <t>Line 9 Above</t>
  </si>
  <si>
    <t>Line 12 Above</t>
  </si>
  <si>
    <t>Sum Lines 1 thru 5</t>
  </si>
  <si>
    <t>Statement AJ; Line 17</t>
  </si>
  <si>
    <t>Statement AJ; Line 23</t>
  </si>
  <si>
    <t>Statement AU; Line 13</t>
  </si>
  <si>
    <t>Statement Misc; Line 1</t>
  </si>
  <si>
    <t>Statement AU; Line 15</t>
  </si>
  <si>
    <t>Statement AJ; Line 19</t>
  </si>
  <si>
    <t>Statement AJ; Line 21</t>
  </si>
  <si>
    <t>Sum Lines 2 thru 5</t>
  </si>
  <si>
    <t>Statement Misc; Line 3</t>
  </si>
  <si>
    <t>Line 9 + Line 10</t>
  </si>
  <si>
    <t>Line 14 + Line 15</t>
  </si>
  <si>
    <t>Statement AL; Line 5</t>
  </si>
  <si>
    <t>Statement AL; Line 9</t>
  </si>
  <si>
    <t>Statement AL; Line 19</t>
  </si>
  <si>
    <t>Sum Lines 19 thru 21</t>
  </si>
  <si>
    <t>Statement Misc; Line 5</t>
  </si>
  <si>
    <t>Statement Misc; Line 7</t>
  </si>
  <si>
    <t>Statement AM; Line 1</t>
  </si>
  <si>
    <t>Statement AD; Line 11</t>
  </si>
  <si>
    <t>Statement AD; Line 27</t>
  </si>
  <si>
    <t>Statement AD; Line 29</t>
  </si>
  <si>
    <t>Statement AD; Line 31</t>
  </si>
  <si>
    <t>Statement AE; Line 1</t>
  </si>
  <si>
    <t>Statement AE; Line 11</t>
  </si>
  <si>
    <t>Statement AE; Line 13</t>
  </si>
  <si>
    <t>Statement AE; Line 15</t>
  </si>
  <si>
    <t>Sum Lines 9 thru 12</t>
  </si>
  <si>
    <t>Sum Lines 16 thru 19</t>
  </si>
  <si>
    <t>Statement AD; Line 13</t>
  </si>
  <si>
    <t>Statement AE; Line 19</t>
  </si>
  <si>
    <t>Line 1 x Line 3</t>
  </si>
  <si>
    <t>Negative of Line 20 Above</t>
  </si>
  <si>
    <t>AU-1; Page 2; Line 4; Col. m</t>
  </si>
  <si>
    <t>AU-1; Page 2; Line 18; Col. m</t>
  </si>
  <si>
    <t>AU-1; Page 2; Line 20; Col. m</t>
  </si>
  <si>
    <t>Sum Lines 1 thru 11</t>
  </si>
  <si>
    <t>Sum Lines 4 thru 6</t>
  </si>
  <si>
    <t>AM-1; Line 18</t>
  </si>
  <si>
    <t>AL-1; Line 18</t>
  </si>
  <si>
    <t>Statement AD; Line 35</t>
  </si>
  <si>
    <t>AL-2; Line 18</t>
  </si>
  <si>
    <t>Line 3 x Line 7</t>
  </si>
  <si>
    <t>Sum Lines 12 thru 14</t>
  </si>
  <si>
    <t>Line 15 x Line 17</t>
  </si>
  <si>
    <t>Line 14 Above</t>
  </si>
  <si>
    <t>Line 17 Above</t>
  </si>
  <si>
    <t>Line 22 x Line 24</t>
  </si>
  <si>
    <t>Line 26 x Line 28</t>
  </si>
  <si>
    <t>Line 5 + Line 7</t>
  </si>
  <si>
    <t>Statement AI; Line 15</t>
  </si>
  <si>
    <t>AJ-1; Line 12</t>
  </si>
  <si>
    <t>AJ-2; Line 1</t>
  </si>
  <si>
    <t>AJ-3; Line 1</t>
  </si>
  <si>
    <t>AJ-4; Line 3</t>
  </si>
  <si>
    <t>Line 3 x Line 9</t>
  </si>
  <si>
    <t>Line 5 x Line 9</t>
  </si>
  <si>
    <t>Line 7 x Line 9</t>
  </si>
  <si>
    <t>Line 1 + (Sum Lines 11 thru 15)</t>
  </si>
  <si>
    <t>AJ-5; Line 12</t>
  </si>
  <si>
    <t>AJ-6; Line 1</t>
  </si>
  <si>
    <t>AJ-7; Line 1</t>
  </si>
  <si>
    <t>Line 3 /  Line 13</t>
  </si>
  <si>
    <t>AH-1; Line 33; Col. a</t>
  </si>
  <si>
    <t>Negative of AH-1; Line 37; Col. b</t>
  </si>
  <si>
    <t>Negative of AH-1; Line 38; Col. b</t>
  </si>
  <si>
    <t>Negative of AH-1; Line 39; Col. b</t>
  </si>
  <si>
    <t>AH-2; Line 16; Col. a</t>
  </si>
  <si>
    <t>Negative of AH-2; Line 31; Col. b</t>
  </si>
  <si>
    <t>Negative of AH-2; Line 33; Col. b</t>
  </si>
  <si>
    <t>Negative of AH-2; Line 28; Col. a</t>
  </si>
  <si>
    <t>Negative of AH-2; Line 5; Col. c</t>
  </si>
  <si>
    <t>Statement AD; Line 25</t>
  </si>
  <si>
    <t>Statement AD; Line 1</t>
  </si>
  <si>
    <t>Statement AD; Line 7</t>
  </si>
  <si>
    <t>Statement AD; Line 9</t>
  </si>
  <si>
    <t>Statement AD; Line 17</t>
  </si>
  <si>
    <t>Statement AD; Line 19</t>
  </si>
  <si>
    <t>AG-1; Line 18</t>
  </si>
  <si>
    <t>AE-1; Line 18</t>
  </si>
  <si>
    <t>AE-2; Line 6</t>
  </si>
  <si>
    <t>AE-3; Line 6</t>
  </si>
  <si>
    <t>AE-4; Line 10</t>
  </si>
  <si>
    <t>AE-5; Line 18</t>
  </si>
  <si>
    <t>AD-1; Line 18</t>
  </si>
  <si>
    <t>AD-2; Line 18</t>
  </si>
  <si>
    <t>AD-3; Line 18</t>
  </si>
  <si>
    <t>AD-4; Line 18</t>
  </si>
  <si>
    <t>AD-5; Line 6</t>
  </si>
  <si>
    <t>AD-6; Line 18</t>
  </si>
  <si>
    <t>AD-7; Line 18</t>
  </si>
  <si>
    <t>AD-8; Line 6</t>
  </si>
  <si>
    <t>AD-9; Line 6</t>
  </si>
  <si>
    <t>AD-10; Line 10</t>
  </si>
  <si>
    <t>Sum Lines 1 thru 19</t>
  </si>
  <si>
    <t>Line 11 + Line 13</t>
  </si>
  <si>
    <t>Line 15 x Line 23</t>
  </si>
  <si>
    <t>Line 17 x Line 23</t>
  </si>
  <si>
    <t>Line 19 x Line 23</t>
  </si>
  <si>
    <t>Sum Lines 25 thru 31</t>
  </si>
  <si>
    <t>Line 33 / Line 21</t>
  </si>
  <si>
    <r>
      <t>Transmission Plant Allocation Factor</t>
    </r>
    <r>
      <rPr>
        <b/>
        <vertAlign val="superscript"/>
        <sz val="12"/>
        <rFont val="Times New Roman"/>
        <family val="1"/>
      </rPr>
      <t xml:space="preserve">  5</t>
    </r>
  </si>
  <si>
    <t>Negative of Statement BK-1; Page 1; Line 5</t>
  </si>
  <si>
    <t>Negative of Statement AL; Line 30</t>
  </si>
  <si>
    <t>Negative of Statement AQ; Line 1</t>
  </si>
  <si>
    <t>Summary of HV/LV Splits for Forecast Plant Additions; Line 19; Col. d and e</t>
  </si>
  <si>
    <t>Sum Lines 6 thru 14</t>
  </si>
  <si>
    <t>Line 17 x Line 18</t>
  </si>
  <si>
    <t>Statement AG; Line 1</t>
  </si>
  <si>
    <t>Statement AF; Line 7</t>
  </si>
  <si>
    <t>Statement AF; Line 11</t>
  </si>
  <si>
    <t>Statement AF; Line 9</t>
  </si>
  <si>
    <t>Statement AF; Line 13</t>
  </si>
  <si>
    <t>Negative of Page 1; Line 1 x 50%</t>
  </si>
  <si>
    <t>Negative of Page 1; Line 3 x 50%</t>
  </si>
  <si>
    <t>Negative of Page 1; Line 5</t>
  </si>
  <si>
    <t>Summary of HV/LV Splits for Forecast Plant Additions; Line 5; Col. f</t>
  </si>
  <si>
    <t>Summary of HV/LV Splits for Forecast Plant Additions; Line 8; Col. f</t>
  </si>
  <si>
    <t>Summary of HV/LV Splits for Forecast Plant Additions; Line 10 + Line 12; Col. f</t>
  </si>
  <si>
    <t>True-Up; Line 25; Col. 11</t>
  </si>
  <si>
    <t>Interest True-Up CY; Line 22; Col. 2</t>
  </si>
  <si>
    <t>Page 4; Line 17</t>
  </si>
  <si>
    <t>The Incentive ROE Transmission plant and depreciation reserve will be tracked and shown for each incentive project and lines 23 through 25 will be repeated for each project.</t>
  </si>
  <si>
    <t>Sum Lines 1 thru 3</t>
  </si>
  <si>
    <t>Weighted Forecast Plant Additions Depreciation Expense</t>
  </si>
  <si>
    <t>Net Weighted Forecast Plant Additions</t>
  </si>
  <si>
    <t>Statement AJ; Page AJ-1B; Line 33; Col. c</t>
  </si>
  <si>
    <t>D. Other BTRR Adjustments with Franchise Fees</t>
  </si>
  <si>
    <t>(d) = [Sum (a) thru (c)]</t>
  </si>
  <si>
    <t xml:space="preserve">Remeasured </t>
  </si>
  <si>
    <t>Amount</t>
  </si>
  <si>
    <t>Sum Lines 10 thru 13</t>
  </si>
  <si>
    <t>Sum Lines 17 thru 21</t>
  </si>
  <si>
    <t>AF-1 and AF-2; Line 7; Col. d</t>
  </si>
  <si>
    <t>AF-1 and AF-2; Line 14; Col. d</t>
  </si>
  <si>
    <t>AF-1 and AF-2; Line 22; Col. d</t>
  </si>
  <si>
    <t>AF-3; Line 1; Col. c</t>
  </si>
  <si>
    <t>AF-3; Line 3, Col. c</t>
  </si>
  <si>
    <t>AF-3; Line 5; Col. c</t>
  </si>
  <si>
    <t>Business license taxes are no longer recorded in Total Property Taxes and are separately shown in FERC Form 1; Page 263; Line 4; Col. i.</t>
  </si>
  <si>
    <t>STATEMENT AR</t>
  </si>
  <si>
    <t>(c) = [(a) + (b)]</t>
  </si>
  <si>
    <t>AR-1; Line 7; Col. c</t>
  </si>
  <si>
    <t>AR-1; Line 14; Col. c</t>
  </si>
  <si>
    <t>AR-1; Line 22; Col. c</t>
  </si>
  <si>
    <t xml:space="preserve">     Total Operating &amp; Maintenance Wages &amp; Salaries Excl. A&amp;G</t>
  </si>
  <si>
    <t>Shall be Zero for ROE Adder</t>
  </si>
  <si>
    <t>Line 21 x Line 22</t>
  </si>
  <si>
    <t>Unfunded Reserves</t>
  </si>
  <si>
    <t>Sum Lines 6, 11, 16, 22, 24, 25</t>
  </si>
  <si>
    <t>Statement Misc; Line 9</t>
  </si>
  <si>
    <t>Line 30 + Line 31</t>
  </si>
  <si>
    <t>Line 35 + Line 36</t>
  </si>
  <si>
    <t>Order No. 679, 116 FERC ¶ 61,057 at P 326</t>
  </si>
  <si>
    <t>Cost of Common Equity Component (CAISO Participation ROE Adder):</t>
  </si>
  <si>
    <t>Col. c = Line 14 Above</t>
  </si>
  <si>
    <t>Line 21; Col. d</t>
  </si>
  <si>
    <t xml:space="preserve">     A = Cost of Common Equity Component - CAISO Participation ROE Adder</t>
  </si>
  <si>
    <t>D. Total Weighted Cost of Common Equity - CAISO Participation ROE Adder:</t>
  </si>
  <si>
    <t xml:space="preserve">     Return and Associated Income Taxes - CAISO Participation ROE Adder</t>
  </si>
  <si>
    <t xml:space="preserve">     Total Incentive CWIP Revenue</t>
  </si>
  <si>
    <t xml:space="preserve">     Incentive CWIP Return and Associated Income Taxes - CAISO Participation ROE Adder</t>
  </si>
  <si>
    <t>Page 3; Line 27</t>
  </si>
  <si>
    <t>Page 3; Line 32</t>
  </si>
  <si>
    <t>Page 3; Line 37</t>
  </si>
  <si>
    <t>Page 3; Line 39</t>
  </si>
  <si>
    <t>Page 4; Line 16</t>
  </si>
  <si>
    <t>Page 4; Line 18</t>
  </si>
  <si>
    <t>Page 4; Line 19</t>
  </si>
  <si>
    <t>Page 4; Line 25</t>
  </si>
  <si>
    <t>Page 4; Line 20</t>
  </si>
  <si>
    <t>Page 4; (Line 20 + Line 25)</t>
  </si>
  <si>
    <t>Line 3 x Line 4</t>
  </si>
  <si>
    <t>Line 7 x Line 8</t>
  </si>
  <si>
    <t>Line 20 x Line 21</t>
  </si>
  <si>
    <t>Line 31 x Line 32</t>
  </si>
  <si>
    <t>Sum Lines 2 thru 14</t>
  </si>
  <si>
    <t>Line 16 x Franchise Fee Rate</t>
  </si>
  <si>
    <t>Line 16 x Uncollectible Rate</t>
  </si>
  <si>
    <t>Line 21 + Line 23</t>
  </si>
  <si>
    <t/>
  </si>
  <si>
    <t>Line 26 x Line 32</t>
  </si>
  <si>
    <t>Less: CPUC Intervenor Funding Expense Revenue Adjustment - CAISO Participation ROE Adder</t>
  </si>
  <si>
    <t>Negative of Statement AL; Line 34</t>
  </si>
  <si>
    <t>Statement BK-1; Page 7; Line 16</t>
  </si>
  <si>
    <t>Col. a = Statement BK-1; Page 7; 
Sum Lines 10 thru 14</t>
  </si>
  <si>
    <t>A. Federal Income Tax Component:</t>
  </si>
  <si>
    <t xml:space="preserve">     Incentive Trans. Plant Aband. Proj. Return &amp; Assoc. Inc. Taxes - CAISO Participation ROE Adder</t>
  </si>
  <si>
    <t xml:space="preserve">     Incentive Transmission Forecast CWIP Projects Revenue Requirements - CAISO Participation ROE Adder</t>
  </si>
  <si>
    <t xml:space="preserve">     Total Incentive Transmission Forecast CWIP Projects Revenue Requirements</t>
  </si>
  <si>
    <t>Working Capital Adjustment to show that Wholesale customers do not pay for CPUC Intervenor Funding Expense.</t>
  </si>
  <si>
    <t xml:space="preserve">     D = Total Incentive ROE Project Transmission Rate Base</t>
  </si>
  <si>
    <t>Statement AD</t>
  </si>
  <si>
    <t>Statement AE</t>
  </si>
  <si>
    <t>Statement AF</t>
  </si>
  <si>
    <t>Statement AG</t>
  </si>
  <si>
    <t>Statement AH</t>
  </si>
  <si>
    <t>Statement AI</t>
  </si>
  <si>
    <t>Statement AJ</t>
  </si>
  <si>
    <t>Statement AK</t>
  </si>
  <si>
    <t>Statement AL</t>
  </si>
  <si>
    <t>Statement AM</t>
  </si>
  <si>
    <t>Statement AQ</t>
  </si>
  <si>
    <t>Statement AR</t>
  </si>
  <si>
    <t>Mthly Deferred</t>
  </si>
  <si>
    <t xml:space="preserve">Deferred </t>
  </si>
  <si>
    <t>Number of Days</t>
  </si>
  <si>
    <t>Prorata</t>
  </si>
  <si>
    <t xml:space="preserve">Monthly </t>
  </si>
  <si>
    <t>Annual Accumulated</t>
  </si>
  <si>
    <t>Future Test Period</t>
  </si>
  <si>
    <t>Days in Month</t>
  </si>
  <si>
    <t>Left in Period</t>
  </si>
  <si>
    <t>Percentages</t>
  </si>
  <si>
    <t>Prorata Amounts</t>
  </si>
  <si>
    <t>Prorata Calculation</t>
  </si>
  <si>
    <t>Col. 5 / Tot. Days</t>
  </si>
  <si>
    <t>= Col. 2 * Col. 6</t>
  </si>
  <si>
    <t>The monthly deferred tax amounts are equal to the ending ADIT balance minus the beginning ADIT balance, divided by 12 months.</t>
  </si>
  <si>
    <r>
      <t>Tax Amount</t>
    </r>
    <r>
      <rPr>
        <b/>
        <vertAlign val="superscript"/>
        <sz val="12"/>
        <rFont val="Times New Roman"/>
        <family val="1"/>
      </rPr>
      <t xml:space="preserve"> 1</t>
    </r>
  </si>
  <si>
    <t>January through December equals previous month balance plus amount in Column 2.</t>
  </si>
  <si>
    <t>Statement AF - Proration</t>
  </si>
  <si>
    <t>Misc.-1; Line 9; Col. c</t>
  </si>
  <si>
    <t>Line 1</t>
  </si>
  <si>
    <t>Statement AQ; Line 3</t>
  </si>
  <si>
    <t>Line 1 + Line 7</t>
  </si>
  <si>
    <t xml:space="preserve">     Total Federal Tax Adjustments</t>
  </si>
  <si>
    <t>Negative of Statement AR; Line 9</t>
  </si>
  <si>
    <t>Negative of AH-1; Line 40; Col. b</t>
  </si>
  <si>
    <t>Negative of AH-1; Line 45; Col. b</t>
  </si>
  <si>
    <t>a</t>
  </si>
  <si>
    <t>b</t>
  </si>
  <si>
    <r>
      <t>Transmission Related Amortization of Investment Tax Credits</t>
    </r>
    <r>
      <rPr>
        <vertAlign val="superscript"/>
        <sz val="12"/>
        <rFont val="Times New Roman"/>
        <family val="1"/>
      </rPr>
      <t>1</t>
    </r>
  </si>
  <si>
    <t>Input value from FERC Form 1 should be entered as a negative.</t>
  </si>
  <si>
    <t>Col. c = Page 1, Line 17</t>
  </si>
  <si>
    <t>Col. c = Page 1, Line 22</t>
  </si>
  <si>
    <t>The Incentive Return on Common Equity will be tracked and shown separately for each project. As a result, lines 1 through 24 will be repeated for each project.</t>
  </si>
  <si>
    <t>Statement BK-1; Page 3; Line 27</t>
  </si>
  <si>
    <t>Page 2; Line 24</t>
  </si>
  <si>
    <t>Statement BK-1; Page 3; Line 32</t>
  </si>
  <si>
    <t>Page 2; Line 22</t>
  </si>
  <si>
    <t>Page 3; Line 27 - Line 10</t>
  </si>
  <si>
    <t>Negative of AH-2; Sum Lines 22, 24, 26, 32; Col. a or b</t>
  </si>
  <si>
    <t>Negative of AH-2; Line 29; Col. a</t>
  </si>
  <si>
    <t>Negative of AH-2; Line 23; Col. a</t>
  </si>
  <si>
    <t>Negative of AH-2; Line 25; Col. b</t>
  </si>
  <si>
    <t>Negative of AH-2; Line 34; Col. b</t>
  </si>
  <si>
    <t>Negative of AH-2; Sum Lines 20, 21, 30; Col. a or b</t>
  </si>
  <si>
    <t>Col. 12</t>
  </si>
  <si>
    <t>Line No.</t>
  </si>
  <si>
    <t>FERC Acct</t>
  </si>
  <si>
    <t>Beginning Deficient ADIT - Acct 182.3</t>
  </si>
  <si>
    <t>Beginning (Excess) ADIT - Acct 254</t>
  </si>
  <si>
    <t>ADIT Amortization Acct 410.1</t>
  </si>
  <si>
    <t>ADIT Amortization Acct 411.1</t>
  </si>
  <si>
    <t>Net (Excess)/ Deficient ADIT at Current Tax Rate</t>
  </si>
  <si>
    <t>Adjustment for New Tax Rate - Acct 182.3 / 254</t>
  </si>
  <si>
    <t>Ending Deficient ADIT - Acct 182.3</t>
  </si>
  <si>
    <t>Ending (Excess) ADIT - Acct 254</t>
  </si>
  <si>
    <t>Sub-Total</t>
  </si>
  <si>
    <t xml:space="preserve">  AFUDC Debt</t>
  </si>
  <si>
    <t xml:space="preserve">  Repairs</t>
  </si>
  <si>
    <t xml:space="preserve">  Other</t>
  </si>
  <si>
    <t>Notes:</t>
  </si>
  <si>
    <t>New Tax Rate?</t>
  </si>
  <si>
    <t>New Rate ("NR"):</t>
  </si>
  <si>
    <t>= Col. 3 x (NR)</t>
  </si>
  <si>
    <t>= Col. 4 - Col. 5</t>
  </si>
  <si>
    <t>= Col. 6 - Col. 7</t>
  </si>
  <si>
    <t>Net (Excess)/ Deficient ADIT at New Tax Rate</t>
  </si>
  <si>
    <t>Net (Excess)/ Deficient ADIT at Prior Tax Rate</t>
  </si>
  <si>
    <t>Adjustment for New Tax Rate</t>
  </si>
  <si>
    <t>Instructions:</t>
  </si>
  <si>
    <t>2) If no change in Tax Rate, enter "No" at top of Schedule (New Tax Rate Yes/No)</t>
  </si>
  <si>
    <t>New Tax Rate Adjustment Calculation</t>
  </si>
  <si>
    <t>FERC Order 864 Worksheet - Order 864-1</t>
  </si>
  <si>
    <t>Year:</t>
  </si>
  <si>
    <t>= Order 864-2 Col. 8</t>
  </si>
  <si>
    <t>FERC Order 864 Worksheet - Order 864-2</t>
  </si>
  <si>
    <t xml:space="preserve">New Tax Rate Adjustment Calculation </t>
  </si>
  <si>
    <t>= Order 864-1 Col. 9</t>
  </si>
  <si>
    <t>FERC Order 864 Worksheet - Order 864-3</t>
  </si>
  <si>
    <t>= Order 864-4 Col. 8</t>
  </si>
  <si>
    <t>FERC Order 864 Worksheet - Order 864-4</t>
  </si>
  <si>
    <t>= Order 864-3 Col. 9</t>
  </si>
  <si>
    <t>STATEMENT AT</t>
  </si>
  <si>
    <t>Statement AT</t>
  </si>
  <si>
    <t>AT-1; Line 7; Col. c</t>
  </si>
  <si>
    <t>AT-1; Line 14; Col. c</t>
  </si>
  <si>
    <t>AT-1; Line 22; Col. c</t>
  </si>
  <si>
    <t xml:space="preserve">Total Federal Amortization </t>
  </si>
  <si>
    <t xml:space="preserve">Total State Amortization </t>
  </si>
  <si>
    <t>Line 7 + Line 14 + Line 22</t>
  </si>
  <si>
    <t>Negative of Statement AT; Line 9</t>
  </si>
  <si>
    <t xml:space="preserve">                                                                     (1 - ST)</t>
  </si>
  <si>
    <t>(Excess)/Deficient Accumulated Deferred Income Taxes ("ADIT")</t>
  </si>
  <si>
    <t>Total Transmission Related Amortization of (Excess)/Deficient Deferred Taxes</t>
  </si>
  <si>
    <t>Transmission Related Amortization of (Excess)/Deficient Deferred Taxes</t>
  </si>
  <si>
    <t>AMORTIZATION OF TRANSMISSION RELATED (EXCESS)/DEFICIENT DEFERRED TAXES</t>
  </si>
  <si>
    <t>Account 182.3</t>
  </si>
  <si>
    <t>Account 254</t>
  </si>
  <si>
    <t xml:space="preserve">     B = Transmission Total State Tax Adjustments</t>
  </si>
  <si>
    <t>State Income Tax    =    (((A) + (C / D) + Federal Income Tax) * (ST)) - (B / D)</t>
  </si>
  <si>
    <t xml:space="preserve">  Cost of Removal - Book Accrual</t>
  </si>
  <si>
    <t>FERC Order No. 864 worksheets are included in this formula rate spreadsheet to report all components of (excess)/deficient ADIT resulting from a change in tax rate.</t>
  </si>
  <si>
    <t xml:space="preserve">Represents Transmission Related Net ADIT (Liab)/Asset and Net (Excess)/Deficient ADIT. </t>
  </si>
  <si>
    <t>State and Local Tax Adjustments</t>
  </si>
  <si>
    <t xml:space="preserve">     Total State and Local Tax Adjustments</t>
  </si>
  <si>
    <r>
      <t>Transmission Related Accum. Def. Inc. Taxes</t>
    </r>
    <r>
      <rPr>
        <b/>
        <vertAlign val="superscript"/>
        <sz val="12"/>
        <rFont val="Times New Roman"/>
        <family val="1"/>
      </rPr>
      <t>1</t>
    </r>
  </si>
  <si>
    <r>
      <t>B. Incentive ROE Project Transmission Rate Base:</t>
    </r>
    <r>
      <rPr>
        <b/>
        <sz val="12"/>
        <rFont val="Times New Roman"/>
        <family val="1"/>
      </rPr>
      <t xml:space="preserve"> </t>
    </r>
    <r>
      <rPr>
        <b/>
        <vertAlign val="superscript"/>
        <sz val="12"/>
        <rFont val="Times New Roman"/>
        <family val="1"/>
      </rPr>
      <t>2</t>
    </r>
  </si>
  <si>
    <r>
      <t>C. Incentive Transmission Plant Abandoned Project Rate Base:</t>
    </r>
    <r>
      <rPr>
        <b/>
        <vertAlign val="superscript"/>
        <sz val="12"/>
        <rFont val="Times New Roman"/>
        <family val="1"/>
      </rPr>
      <t xml:space="preserve"> 2</t>
    </r>
  </si>
  <si>
    <r>
      <t xml:space="preserve">     Total Transmission Related ADIT</t>
    </r>
    <r>
      <rPr>
        <b/>
        <vertAlign val="superscript"/>
        <sz val="12"/>
        <rFont val="Times New Roman"/>
        <family val="1"/>
      </rPr>
      <t xml:space="preserve"> 1, 2</t>
    </r>
  </si>
  <si>
    <t>Line 12 + Line 25</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</si>
  <si>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</si>
  <si>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</si>
  <si>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</si>
  <si>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</si>
  <si>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</si>
  <si>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</si>
  <si>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</si>
  <si>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</si>
  <si>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</si>
  <si>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</si>
  <si>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 xml:space="preserve">   Accumulated Depreciation Timing Differences:</t>
  </si>
  <si>
    <t xml:space="preserve">        Depreciable Plant - Method/Life</t>
  </si>
  <si>
    <t xml:space="preserve">        CIAC</t>
  </si>
  <si>
    <t xml:space="preserve">        Capitalized Interest</t>
  </si>
  <si>
    <t>Gross Accumulated Schedule M Adjustments</t>
  </si>
  <si>
    <t>ADIT Balances at New Tax Rate</t>
  </si>
  <si>
    <t>Cumulative Amortization of Excess/Deficient ADIT</t>
  </si>
  <si>
    <t>Col. 13</t>
  </si>
  <si>
    <t>= Col. 10 + Col. 11</t>
  </si>
  <si>
    <t>Sum Lines 2 thru 10</t>
  </si>
  <si>
    <t>Sum Lines 15 thru 19</t>
  </si>
  <si>
    <t>Sum Lines 23 thru 25</t>
  </si>
  <si>
    <t>Line 20 + Line 26 + Line 29</t>
  </si>
  <si>
    <t>Line 12 + Line 31</t>
  </si>
  <si>
    <t>Ending ADIT Balances at Prior Tax Rate</t>
  </si>
  <si>
    <t>Return to Provision and Other Adjustments Acct 182.3</t>
  </si>
  <si>
    <t>Return to Provision and Other Adjustments Acct 254</t>
  </si>
  <si>
    <r>
      <rPr>
        <sz val="10"/>
        <rFont val="Calibri"/>
        <family val="2"/>
      </rPr>
      <t>Ʃ</t>
    </r>
    <r>
      <rPr>
        <sz val="10"/>
        <rFont val="Times New Roman"/>
        <family val="1"/>
      </rPr>
      <t xml:space="preserve"> Col. 3 thru Col. 8</t>
    </r>
  </si>
  <si>
    <t>Unprotected - Non-Property Related - (Note 2)</t>
  </si>
  <si>
    <t>Description (Note 1)</t>
  </si>
  <si>
    <t>Total Non-Property Related (Note 3)</t>
  </si>
  <si>
    <t>Protected - Property Related - (Note 4)</t>
  </si>
  <si>
    <t>Unprotected - Property Related - (Note 4)</t>
  </si>
  <si>
    <t xml:space="preserve"> is allocated to transmission based on the proportion of the historical cost of electric transmission plant in service and CWIP to total system-wide taxable plant and CWIP.</t>
  </si>
  <si>
    <t>Total Property Related (Note 5)</t>
  </si>
  <si>
    <t>Grand Total (Note 6)</t>
  </si>
  <si>
    <t>New Tax Rate</t>
  </si>
  <si>
    <t>Federal Tax Rate</t>
  </si>
  <si>
    <t>California Tax Rate</t>
  </si>
  <si>
    <t>Fed Offset of State Benefit</t>
  </si>
  <si>
    <t>c = -a x b</t>
  </si>
  <si>
    <t>Combined Statutory Tax Rate (net of state benefit)</t>
  </si>
  <si>
    <t>d = a+b+c</t>
  </si>
  <si>
    <t>Net of Tax Rate</t>
  </si>
  <si>
    <t>e = 1 - d</t>
  </si>
  <si>
    <t>Gross-up Rate</t>
  </si>
  <si>
    <t>f = 1/e</t>
  </si>
  <si>
    <t>Calculation of Gross-up Rate</t>
  </si>
  <si>
    <t>g</t>
  </si>
  <si>
    <t>Total Non-Property Related (Line No. 12)</t>
  </si>
  <si>
    <t>Total Property Related (Line No. 31)</t>
  </si>
  <si>
    <t>h</t>
  </si>
  <si>
    <t>i = f - 1</t>
  </si>
  <si>
    <t>Gross-up on Deficient Deferred Taxes - Acct 182.3</t>
  </si>
  <si>
    <t>Gross-up on (Excess) Deferred Taxes - Acct 254</t>
  </si>
  <si>
    <t>j = g x i</t>
  </si>
  <si>
    <t>k = h x i</t>
  </si>
  <si>
    <t>1) In the event of future tax rate changes, transmission-related temporary differences can be added or removed to/from this worksheet without a Section 205 filing.</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</si>
  <si>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</si>
  <si>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CIAC, capitalized interest, and AFUDC Debt, which are posted as basis adjustments in PowerTax and allocated to transmission in the system. In addition, like the non-plant ADIT,</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</si>
  <si>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</si>
  <si>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</si>
  <si>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2) Non-plant related ADIT related to future tax rate changes will be amortized into rates over one year. Non-plant related ADIT attributable to the 2017 Tax Cuts and Jobs Act will be fully amortized by December 31, 2021.</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</si>
  <si>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</si>
  <si>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</si>
  <si>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Deficient amounts reported in column (b) are sourced from Order 864-1; Col. 12. Total ADIT calculated on Line 24; column (b) agrees to the Grand Total calculated Order 864-1; Line 33; Col. 12.</t>
  </si>
  <si>
    <t>(Excess) amounts reported in column (c) are sourced from Order 864-1; Col. 13. Total ADIT calculated on Line 24; column (c) agrees to the Grand Total calculated on Order 864-1; Line 33; Col. 13.</t>
  </si>
  <si>
    <t xml:space="preserve">   Property Related</t>
  </si>
  <si>
    <t xml:space="preserve">   Non-Property Related</t>
  </si>
  <si>
    <t>Deficient amounts reported in column (b) are sourced from Order 864-3; Col. 12. Total ADIT calculated on Line 24; column (b) agrees to the Grand Total calculated Order 864-3; Line 33; Col. 12.</t>
  </si>
  <si>
    <t>(Excess) amounts reported in column (c) are sourced from Order 864-3; Col. 13. Total ADIT calculated on Line 24; column (c) agrees to the Grand Total calculated on Order 864-3; Line 33; Col. 13.</t>
  </si>
  <si>
    <t>4) Amortized into rates under average rate assumption method (ARAM) over book life.</t>
  </si>
  <si>
    <t>31-Dec-xx</t>
  </si>
  <si>
    <r>
      <t xml:space="preserve">Total ADIT </t>
    </r>
    <r>
      <rPr>
        <b/>
        <vertAlign val="superscript"/>
        <sz val="12"/>
        <rFont val="Times New Roman"/>
        <family val="1"/>
      </rPr>
      <t>4</t>
    </r>
  </si>
  <si>
    <r>
      <t xml:space="preserve">Deficient Reserve </t>
    </r>
    <r>
      <rPr>
        <b/>
        <vertAlign val="superscript"/>
        <sz val="12"/>
        <rFont val="Times New Roman"/>
        <family val="1"/>
      </rPr>
      <t>1,2</t>
    </r>
  </si>
  <si>
    <r>
      <t xml:space="preserve">(Excess) Reserve </t>
    </r>
    <r>
      <rPr>
        <b/>
        <vertAlign val="superscript"/>
        <sz val="12"/>
        <rFont val="Times New Roman"/>
        <family val="1"/>
      </rPr>
      <t>1,3</t>
    </r>
  </si>
  <si>
    <t>Not Applicable to XXXX Base Period</t>
  </si>
  <si>
    <t>Beginning Balance (TOX Stmt AF; Line 7; Col. a)</t>
  </si>
  <si>
    <r>
      <t>Tax Balance</t>
    </r>
    <r>
      <rPr>
        <b/>
        <vertAlign val="superscript"/>
        <sz val="12"/>
        <rFont val="Times New Roman"/>
        <family val="1"/>
      </rPr>
      <t xml:space="preserve"> 2</t>
    </r>
  </si>
  <si>
    <t>Ending Balance (TOX Stmt AF; Line 7; Col. b)</t>
  </si>
  <si>
    <r>
      <t xml:space="preserve">Deficient Reserve </t>
    </r>
    <r>
      <rPr>
        <b/>
        <vertAlign val="superscript"/>
        <sz val="12"/>
        <rFont val="Times New Roman"/>
        <family val="1"/>
      </rPr>
      <t>1</t>
    </r>
  </si>
  <si>
    <r>
      <t xml:space="preserve">(Excess) Reserve </t>
    </r>
    <r>
      <rPr>
        <b/>
        <vertAlign val="superscript"/>
        <sz val="12"/>
        <rFont val="Times New Roman"/>
        <family val="1"/>
      </rPr>
      <t>1</t>
    </r>
  </si>
  <si>
    <r>
      <t xml:space="preserve">(Excess) Reserve </t>
    </r>
    <r>
      <rPr>
        <b/>
        <vertAlign val="superscript"/>
        <sz val="12"/>
        <rFont val="Times New Roman"/>
        <family val="1"/>
      </rPr>
      <t>1, 3</t>
    </r>
  </si>
  <si>
    <r>
      <rPr>
        <b/>
        <sz val="12"/>
        <rFont val="Times New Roman"/>
        <family val="1"/>
      </rPr>
      <t xml:space="preserve">Deficient Reserve </t>
    </r>
    <r>
      <rPr>
        <b/>
        <vertAlign val="superscript"/>
        <sz val="12"/>
        <rFont val="Times New Roman"/>
        <family val="1"/>
      </rPr>
      <t>1, 2</t>
    </r>
  </si>
  <si>
    <t>Deficient amounts reported in column (b) are sourced from Order 864-3; Col. 7.</t>
  </si>
  <si>
    <t>(Excess) amounts reported in column (a) are sourced from Order 864-3; Col. 8.</t>
  </si>
  <si>
    <t>Negative of AH-1; Line 33; Col. b</t>
  </si>
  <si>
    <t xml:space="preserve">   Scheduling, System Control &amp; Dispatch Services</t>
  </si>
  <si>
    <t xml:space="preserve">   Reliability, Planning &amp; Standards Development</t>
  </si>
  <si>
    <t xml:space="preserve">   Transmission of Electricity by Others</t>
  </si>
  <si>
    <t xml:space="preserve">   Miscellaneous Transmission Expense </t>
  </si>
  <si>
    <r>
      <t>TO</t>
    </r>
    <r>
      <rPr>
        <b/>
        <strike/>
        <sz val="12"/>
        <color rgb="FFFF0000"/>
        <rFont val="Times New Roman"/>
        <family val="1"/>
      </rPr>
      <t>5</t>
    </r>
    <r>
      <rPr>
        <b/>
        <sz val="12"/>
        <color rgb="FFFF0000"/>
        <rFont val="Times New Roman"/>
        <family val="1"/>
      </rPr>
      <t>6</t>
    </r>
    <r>
      <rPr>
        <b/>
        <sz val="12"/>
        <color theme="1"/>
        <rFont val="Times New Roman"/>
        <family val="1"/>
      </rPr>
      <t>-Cycle x True-Up Adjustment</t>
    </r>
  </si>
  <si>
    <r>
      <t xml:space="preserve">Cost of Capital Rate </t>
    </r>
    <r>
      <rPr>
        <vertAlign val="subscript"/>
        <sz val="12"/>
        <color rgb="FFFF0000"/>
        <rFont val="Times New Roman"/>
        <family val="1"/>
      </rPr>
      <t>(COCR)</t>
    </r>
  </si>
  <si>
    <t>Adjusted Return and Associated Income Taxes</t>
  </si>
  <si>
    <t>Return and Associated Income Taxes</t>
  </si>
  <si>
    <t>Other Cost Adjustments</t>
  </si>
  <si>
    <r>
      <t xml:space="preserve">Sum Lines 2 thru </t>
    </r>
    <r>
      <rPr>
        <strike/>
        <sz val="12"/>
        <color rgb="FFFF0000"/>
        <rFont val="Times New Roman"/>
        <family val="1"/>
      </rPr>
      <t>8</t>
    </r>
    <r>
      <rPr>
        <sz val="12"/>
        <color rgb="FFFF0000"/>
        <rFont val="Times New Roman"/>
        <family val="1"/>
      </rPr>
      <t>4</t>
    </r>
  </si>
  <si>
    <t xml:space="preserve">     Return and Associated Income Taxes - Base ROE</t>
  </si>
  <si>
    <r>
      <t xml:space="preserve">Negative of Statement AH; Line </t>
    </r>
    <r>
      <rPr>
        <strike/>
        <sz val="12"/>
        <color rgb="FFFF0000"/>
        <rFont val="Times New Roman"/>
        <family val="1"/>
      </rPr>
      <t>16</t>
    </r>
    <r>
      <rPr>
        <sz val="12"/>
        <color rgb="FFFF0000"/>
        <rFont val="Times New Roman"/>
        <family val="1"/>
      </rPr>
      <t>10</t>
    </r>
  </si>
  <si>
    <t xml:space="preserve">    Federal Income Tax Expense</t>
  </si>
  <si>
    <t>Line 9 x Line 12</t>
  </si>
  <si>
    <t xml:space="preserve">    State Income Tax Expense</t>
  </si>
  <si>
    <t>Line 9 x Line 25</t>
  </si>
  <si>
    <t xml:space="preserve">       Total Federal &amp; State Income Tax Expense</t>
  </si>
  <si>
    <t xml:space="preserve">   Return on Rate Base</t>
  </si>
  <si>
    <t>Line 9 x Line 34</t>
  </si>
  <si>
    <t xml:space="preserve">     Incentive ROE Project Return and Associated Income Taxes - Base ROE</t>
  </si>
  <si>
    <t>Less ADIT Adjustment</t>
  </si>
  <si>
    <t>ADIT Revenue Requirements Adjustment</t>
  </si>
  <si>
    <r>
      <t xml:space="preserve">ANNUAL FIXED CHARGES APPLICABLE TO INCENTIVE </t>
    </r>
    <r>
      <rPr>
        <b/>
        <u/>
        <sz val="12"/>
        <color rgb="FFFF0000"/>
        <rFont val="Times New Roman"/>
        <family val="1"/>
      </rPr>
      <t>CAPITAL PROJECTS</t>
    </r>
  </si>
  <si>
    <r>
      <t xml:space="preserve">Sum Lines </t>
    </r>
    <r>
      <rPr>
        <strike/>
        <sz val="12"/>
        <color rgb="FFFF0000"/>
        <rFont val="Times New Roman"/>
        <family val="1"/>
      </rPr>
      <t>12</t>
    </r>
    <r>
      <rPr>
        <sz val="12"/>
        <color rgb="FFFF0000"/>
        <rFont val="Times New Roman"/>
        <family val="1"/>
      </rPr>
      <t>8</t>
    </r>
    <r>
      <rPr>
        <sz val="12"/>
        <rFont val="Times New Roman"/>
        <family val="1"/>
      </rPr>
      <t xml:space="preserve"> thru </t>
    </r>
    <r>
      <rPr>
        <strike/>
        <sz val="12"/>
        <color rgb="FFFF0000"/>
        <rFont val="Times New Roman"/>
        <family val="1"/>
      </rPr>
      <t>24</t>
    </r>
    <r>
      <rPr>
        <sz val="12"/>
        <color rgb="FFFF0000"/>
        <rFont val="Times New Roman"/>
        <family val="1"/>
      </rPr>
      <t>11</t>
    </r>
  </si>
  <si>
    <r>
      <t xml:space="preserve">Statement AH; Line </t>
    </r>
    <r>
      <rPr>
        <strike/>
        <sz val="12"/>
        <color rgb="FFFF0000"/>
        <rFont val="Times New Roman"/>
        <family val="1"/>
      </rPr>
      <t>9</t>
    </r>
    <r>
      <rPr>
        <sz val="12"/>
        <color rgb="FFFF0000"/>
        <rFont val="Times New Roman"/>
        <family val="1"/>
      </rPr>
      <t>5</t>
    </r>
  </si>
  <si>
    <r>
      <t xml:space="preserve">Line 28 + Line </t>
    </r>
    <r>
      <rPr>
        <strike/>
        <sz val="12"/>
        <color rgb="FFFF0000"/>
        <rFont val="Times New Roman"/>
        <family val="1"/>
      </rPr>
      <t>30</t>
    </r>
    <r>
      <rPr>
        <sz val="12"/>
        <color rgb="FFFF0000"/>
        <rFont val="Times New Roman"/>
        <family val="1"/>
      </rPr>
      <t>34</t>
    </r>
  </si>
  <si>
    <r>
      <t xml:space="preserve">Statement AV; Page 3; Line </t>
    </r>
    <r>
      <rPr>
        <strike/>
        <sz val="12"/>
        <color rgb="FFFF0000"/>
        <rFont val="Times New Roman"/>
        <family val="1"/>
      </rPr>
      <t>32</t>
    </r>
    <r>
      <rPr>
        <sz val="12"/>
        <color rgb="FFFF0000"/>
        <rFont val="Times New Roman"/>
        <family val="1"/>
      </rPr>
      <t>38</t>
    </r>
  </si>
  <si>
    <r>
      <t xml:space="preserve">E. Incentive Cost of Capital Rate </t>
    </r>
    <r>
      <rPr>
        <u/>
        <vertAlign val="subscript"/>
        <sz val="12"/>
        <rFont val="Times New Roman"/>
        <family val="1"/>
      </rPr>
      <t>(ICOCR)</t>
    </r>
    <r>
      <rPr>
        <strike/>
        <u/>
        <sz val="12"/>
        <color rgb="FFFF0000"/>
        <rFont val="Times New Roman"/>
        <family val="1"/>
      </rPr>
      <t xml:space="preserve"> - Base ROE</t>
    </r>
    <r>
      <rPr>
        <u/>
        <sz val="12"/>
        <rFont val="Times New Roman"/>
        <family val="1"/>
      </rPr>
      <t>:</t>
    </r>
  </si>
  <si>
    <r>
      <t xml:space="preserve">   Others (TBD)</t>
    </r>
    <r>
      <rPr>
        <vertAlign val="superscript"/>
        <sz val="12"/>
        <color rgb="FFFF0000"/>
        <rFont val="Times New Roman"/>
        <family val="1"/>
      </rPr>
      <t>5</t>
    </r>
  </si>
  <si>
    <t>TBD</t>
  </si>
  <si>
    <t>SDG&amp;E will adjust the supporting workpaper for any future events that impacts ADIT.</t>
  </si>
  <si>
    <r>
      <t xml:space="preserve">Total Property Taxes </t>
    </r>
    <r>
      <rPr>
        <b/>
        <strike/>
        <vertAlign val="superscript"/>
        <sz val="12"/>
        <color rgb="FFFF0000"/>
        <rFont val="Times New Roman"/>
        <family val="1"/>
      </rPr>
      <t>1</t>
    </r>
  </si>
  <si>
    <r>
      <t xml:space="preserve">Less: Other Taxes (Business license taxes) </t>
    </r>
    <r>
      <rPr>
        <b/>
        <strike/>
        <vertAlign val="superscript"/>
        <sz val="12"/>
        <color rgb="FFFF0000"/>
        <rFont val="Times New Roman"/>
        <family val="1"/>
      </rPr>
      <t>2</t>
    </r>
  </si>
  <si>
    <t>262-263; 12; l</t>
  </si>
  <si>
    <r>
      <t xml:space="preserve">Line </t>
    </r>
    <r>
      <rPr>
        <strike/>
        <sz val="12"/>
        <color rgb="FFFF0000"/>
        <rFont val="Times New Roman"/>
        <family val="1"/>
      </rPr>
      <t>9</t>
    </r>
    <r>
      <rPr>
        <sz val="12"/>
        <color rgb="FFFF0000"/>
        <rFont val="Times New Roman"/>
        <family val="1"/>
      </rPr>
      <t>1</t>
    </r>
    <r>
      <rPr>
        <sz val="12"/>
        <rFont val="Times New Roman"/>
        <family val="1"/>
      </rPr>
      <t xml:space="preserve"> x Line </t>
    </r>
    <r>
      <rPr>
        <strike/>
        <sz val="12"/>
        <color rgb="FFFF0000"/>
        <rFont val="Times New Roman"/>
        <family val="1"/>
      </rPr>
      <t>11</t>
    </r>
    <r>
      <rPr>
        <sz val="12"/>
        <color rgb="FFFF0000"/>
        <rFont val="Times New Roman"/>
        <family val="1"/>
      </rPr>
      <t>3</t>
    </r>
  </si>
  <si>
    <r>
      <t xml:space="preserve">Line </t>
    </r>
    <r>
      <rPr>
        <strike/>
        <sz val="12"/>
        <color rgb="FFFF0000"/>
        <rFont val="Times New Roman"/>
        <family val="1"/>
      </rPr>
      <t>16</t>
    </r>
    <r>
      <rPr>
        <sz val="12"/>
        <color rgb="FFFF0000"/>
        <rFont val="Times New Roman"/>
        <family val="1"/>
      </rPr>
      <t>8</t>
    </r>
    <r>
      <rPr>
        <sz val="12"/>
        <rFont val="Times New Roman"/>
        <family val="1"/>
      </rPr>
      <t xml:space="preserve"> x Line </t>
    </r>
    <r>
      <rPr>
        <strike/>
        <sz val="12"/>
        <color rgb="FFFF0000"/>
        <rFont val="Times New Roman"/>
        <family val="1"/>
      </rPr>
      <t>18</t>
    </r>
    <r>
      <rPr>
        <sz val="12"/>
        <color rgb="FFFF0000"/>
        <rFont val="Times New Roman"/>
        <family val="1"/>
      </rPr>
      <t>10</t>
    </r>
  </si>
  <si>
    <r>
      <t xml:space="preserve">Total Property Taxes Expense </t>
    </r>
    <r>
      <rPr>
        <vertAlign val="superscript"/>
        <sz val="12"/>
        <color rgb="FFFF0000"/>
        <rFont val="Times New Roman"/>
        <family val="1"/>
      </rPr>
      <t>1</t>
    </r>
  </si>
  <si>
    <r>
      <t xml:space="preserve">Total Payroll Taxes Expense </t>
    </r>
    <r>
      <rPr>
        <b/>
        <strike/>
        <vertAlign val="superscript"/>
        <sz val="12"/>
        <color rgb="FFFF0000"/>
        <rFont val="Times New Roman"/>
        <family val="1"/>
      </rPr>
      <t>3</t>
    </r>
    <r>
      <rPr>
        <vertAlign val="superscript"/>
        <sz val="12"/>
        <color rgb="FFFF0000"/>
        <rFont val="Times New Roman"/>
        <family val="1"/>
      </rPr>
      <t>2</t>
    </r>
  </si>
  <si>
    <r>
      <t>None of the above items apply to SDG&amp;E's TO</t>
    </r>
    <r>
      <rPr>
        <strike/>
        <sz val="12"/>
        <color rgb="FFFF0000"/>
        <rFont val="Times New Roman"/>
        <family val="1"/>
      </rPr>
      <t>5</t>
    </r>
    <r>
      <rPr>
        <sz val="12"/>
        <color rgb="FFFF0000"/>
        <rFont val="Times New Roman"/>
        <family val="1"/>
      </rPr>
      <t>6</t>
    </r>
    <r>
      <rPr>
        <sz val="12"/>
        <rFont val="Times New Roman"/>
        <family val="1"/>
      </rPr>
      <t xml:space="preserve"> Cycle x filing. However, as one or more of these items apply, subject to FERC approval, the</t>
    </r>
  </si>
  <si>
    <t>The total year-end Account 190 electric balance reported on FERC Form 1; Page 234; Footnote Data (b) is $X. The amortization of Account 190 at $XK</t>
  </si>
  <si>
    <t>shown in line 7 excludes the portion of Account 190 attributable to Citizens in the amount of $XK which is recovered separately in the Appendix X Citizens Sunrise rate filing.</t>
  </si>
  <si>
    <r>
      <t xml:space="preserve">     Total of Account 190 </t>
    </r>
    <r>
      <rPr>
        <b/>
        <vertAlign val="superscript"/>
        <sz val="12"/>
        <color rgb="FFFF0000"/>
        <rFont val="Times New Roman"/>
        <family val="1"/>
      </rPr>
      <t>4</t>
    </r>
  </si>
  <si>
    <t>For the Forecast Period January 1, xxxx - December 31, xxxx</t>
  </si>
  <si>
    <t>For the Rate Effective Period January 1, xxxx - December 31, xxxx</t>
  </si>
  <si>
    <r>
      <t xml:space="preserve">Summary of HV/LV Plant Allocation Study; Line </t>
    </r>
    <r>
      <rPr>
        <strike/>
        <sz val="12"/>
        <color rgb="FFFF0000"/>
        <rFont val="Times New Roman"/>
        <family val="1"/>
      </rPr>
      <t>40</t>
    </r>
    <r>
      <rPr>
        <sz val="12"/>
        <color rgb="FFFF0000"/>
        <rFont val="Times New Roman"/>
        <family val="1"/>
      </rPr>
      <t>34</t>
    </r>
    <r>
      <rPr>
        <sz val="12"/>
        <rFont val="Times New Roman"/>
        <family val="1"/>
      </rPr>
      <t>; Col. c and b</t>
    </r>
  </si>
  <si>
    <r>
      <t>TO</t>
    </r>
    <r>
      <rPr>
        <strike/>
        <sz val="12"/>
        <color rgb="FFFF0000"/>
        <rFont val="Times New Roman"/>
        <family val="1"/>
      </rPr>
      <t>4</t>
    </r>
    <r>
      <rPr>
        <sz val="12"/>
        <color rgb="FFFF0000"/>
        <rFont val="Times New Roman"/>
        <family val="1"/>
      </rPr>
      <t>x</t>
    </r>
    <r>
      <rPr>
        <sz val="12"/>
        <rFont val="Times New Roman"/>
        <family val="1"/>
      </rPr>
      <t xml:space="preserve"> </t>
    </r>
    <r>
      <rPr>
        <sz val="12"/>
        <color rgb="FFFF0000"/>
        <rFont val="Times New Roman"/>
        <family val="1"/>
      </rPr>
      <t>True-Up</t>
    </r>
    <r>
      <rPr>
        <sz val="12"/>
        <rFont val="Times New Roman"/>
        <family val="1"/>
      </rPr>
      <t xml:space="preserve"> Statement BK-1; Page </t>
    </r>
    <r>
      <rPr>
        <strike/>
        <sz val="12"/>
        <color rgb="FFFF0000"/>
        <rFont val="Times New Roman"/>
        <family val="1"/>
      </rPr>
      <t>1</t>
    </r>
    <r>
      <rPr>
        <sz val="12"/>
        <color rgb="FFFF0000"/>
        <rFont val="Times New Roman"/>
        <family val="1"/>
      </rPr>
      <t>2</t>
    </r>
    <r>
      <rPr>
        <sz val="12"/>
        <rFont val="Times New Roman"/>
        <family val="1"/>
      </rPr>
      <t xml:space="preserve">; Line </t>
    </r>
    <r>
      <rPr>
        <strike/>
        <sz val="12"/>
        <color rgb="FFFF0000"/>
        <rFont val="Times New Roman"/>
        <family val="1"/>
      </rPr>
      <t>60</t>
    </r>
    <r>
      <rPr>
        <sz val="12"/>
        <color rgb="FFFF0000"/>
        <rFont val="Times New Roman"/>
        <family val="1"/>
      </rPr>
      <t>x</t>
    </r>
  </si>
  <si>
    <t>Add back ADIT</t>
  </si>
  <si>
    <r>
      <t>Adjustments to Per Book Transmission O&amp;M Expense</t>
    </r>
    <r>
      <rPr>
        <strike/>
        <sz val="12"/>
        <color rgb="FFFF0000"/>
        <rFont val="Times New Roman"/>
        <family val="1"/>
      </rPr>
      <t>:</t>
    </r>
  </si>
  <si>
    <t>Statement AV; Page 3; Line 38</t>
  </si>
  <si>
    <t>Line 4 x Line 6</t>
  </si>
  <si>
    <t xml:space="preserve">Less ADIT Adjustment </t>
  </si>
  <si>
    <t>Line 8 - Line 9</t>
  </si>
  <si>
    <t>Line 10 Above</t>
  </si>
  <si>
    <r>
      <t xml:space="preserve">Sum Lines </t>
    </r>
    <r>
      <rPr>
        <strike/>
        <sz val="12"/>
        <color rgb="FFFF0000"/>
        <rFont val="Times New Roman"/>
        <family val="1"/>
      </rPr>
      <t>1</t>
    </r>
    <r>
      <rPr>
        <sz val="12"/>
        <color rgb="FFFF0000"/>
        <rFont val="Times New Roman"/>
        <family val="1"/>
      </rPr>
      <t>12</t>
    </r>
    <r>
      <rPr>
        <sz val="12"/>
        <rFont val="Times New Roman"/>
        <family val="1"/>
      </rPr>
      <t xml:space="preserve"> thru </t>
    </r>
    <r>
      <rPr>
        <strike/>
        <sz val="12"/>
        <color rgb="FFFF0000"/>
        <rFont val="Times New Roman"/>
        <family val="1"/>
      </rPr>
      <t>6</t>
    </r>
    <r>
      <rPr>
        <sz val="12"/>
        <color rgb="FFFF0000"/>
        <rFont val="Times New Roman"/>
        <family val="1"/>
      </rPr>
      <t>18</t>
    </r>
  </si>
  <si>
    <r>
      <t xml:space="preserve">Line </t>
    </r>
    <r>
      <rPr>
        <strike/>
        <sz val="12"/>
        <color rgb="FFFF0000"/>
        <rFont val="Times New Roman"/>
        <family val="1"/>
      </rPr>
      <t>7</t>
    </r>
    <r>
      <rPr>
        <sz val="12"/>
        <color rgb="FFFF0000"/>
        <rFont val="Times New Roman"/>
        <family val="1"/>
      </rPr>
      <t>19</t>
    </r>
    <r>
      <rPr>
        <sz val="12"/>
        <rFont val="Times New Roman"/>
        <family val="1"/>
      </rPr>
      <t xml:space="preserve"> / Line </t>
    </r>
    <r>
      <rPr>
        <strike/>
        <sz val="12"/>
        <color rgb="FFFF0000"/>
        <rFont val="Times New Roman"/>
        <family val="1"/>
      </rPr>
      <t>9</t>
    </r>
    <r>
      <rPr>
        <sz val="12"/>
        <color rgb="FFFF0000"/>
        <rFont val="Times New Roman"/>
        <family val="1"/>
      </rPr>
      <t>21</t>
    </r>
  </si>
  <si>
    <r>
      <t xml:space="preserve">Line </t>
    </r>
    <r>
      <rPr>
        <strike/>
        <sz val="12"/>
        <color rgb="FFFF0000"/>
        <rFont val="Times New Roman"/>
        <family val="1"/>
      </rPr>
      <t>13</t>
    </r>
    <r>
      <rPr>
        <sz val="12"/>
        <color rgb="FFFF0000"/>
        <rFont val="Times New Roman"/>
        <family val="1"/>
      </rPr>
      <t>25</t>
    </r>
    <r>
      <rPr>
        <sz val="12"/>
        <rFont val="Times New Roman"/>
        <family val="1"/>
      </rPr>
      <t xml:space="preserve"> x Line </t>
    </r>
    <r>
      <rPr>
        <strike/>
        <sz val="12"/>
        <color rgb="FFFF0000"/>
        <rFont val="Times New Roman"/>
        <family val="1"/>
      </rPr>
      <t>15</t>
    </r>
    <r>
      <rPr>
        <sz val="12"/>
        <color rgb="FFFF0000"/>
        <rFont val="Times New Roman"/>
        <family val="1"/>
      </rPr>
      <t>27</t>
    </r>
  </si>
  <si>
    <r>
      <t xml:space="preserve">Line </t>
    </r>
    <r>
      <rPr>
        <strike/>
        <sz val="12"/>
        <color rgb="FFFF0000"/>
        <rFont val="Times New Roman"/>
        <family val="1"/>
      </rPr>
      <t>13</t>
    </r>
    <r>
      <rPr>
        <sz val="12"/>
        <color rgb="FFFF0000"/>
        <rFont val="Times New Roman"/>
        <family val="1"/>
      </rPr>
      <t>25</t>
    </r>
    <r>
      <rPr>
        <sz val="12"/>
        <rFont val="Times New Roman"/>
        <family val="1"/>
      </rPr>
      <t xml:space="preserve"> </t>
    </r>
    <r>
      <rPr>
        <strike/>
        <sz val="12"/>
        <color rgb="FFFF0000"/>
        <rFont val="Times New Roman"/>
        <family val="1"/>
      </rPr>
      <t>minus</t>
    </r>
    <r>
      <rPr>
        <sz val="12"/>
        <rFont val="Times New Roman"/>
        <family val="1"/>
      </rPr>
      <t xml:space="preserve"> </t>
    </r>
    <r>
      <rPr>
        <sz val="12"/>
        <color rgb="FFFF0000"/>
        <rFont val="Times New Roman"/>
        <family val="1"/>
      </rPr>
      <t>-</t>
    </r>
    <r>
      <rPr>
        <sz val="12"/>
        <rFont val="Times New Roman"/>
        <family val="1"/>
      </rPr>
      <t xml:space="preserve"> Line </t>
    </r>
    <r>
      <rPr>
        <strike/>
        <sz val="12"/>
        <color rgb="FFFF0000"/>
        <rFont val="Times New Roman"/>
        <family val="1"/>
      </rPr>
      <t>16</t>
    </r>
    <r>
      <rPr>
        <sz val="12"/>
        <color rgb="FFFF0000"/>
        <rFont val="Times New Roman"/>
        <family val="1"/>
      </rPr>
      <t>28</t>
    </r>
  </si>
  <si>
    <r>
      <t xml:space="preserve">Line </t>
    </r>
    <r>
      <rPr>
        <strike/>
        <sz val="12"/>
        <color rgb="FFFF0000"/>
        <rFont val="Times New Roman"/>
        <family val="1"/>
      </rPr>
      <t>11</t>
    </r>
    <r>
      <rPr>
        <sz val="12"/>
        <color rgb="FFFF0000"/>
        <rFont val="Times New Roman"/>
        <family val="1"/>
      </rPr>
      <t>23</t>
    </r>
    <r>
      <rPr>
        <sz val="12"/>
        <rFont val="Times New Roman"/>
        <family val="1"/>
      </rPr>
      <t xml:space="preserve"> x Line </t>
    </r>
    <r>
      <rPr>
        <strike/>
        <sz val="12"/>
        <color rgb="FFFF0000"/>
        <rFont val="Times New Roman"/>
        <family val="1"/>
      </rPr>
      <t>18</t>
    </r>
    <r>
      <rPr>
        <sz val="12"/>
        <color rgb="FFFF0000"/>
        <rFont val="Times New Roman"/>
        <family val="1"/>
      </rPr>
      <t>30</t>
    </r>
  </si>
  <si>
    <t>Addback ADIT</t>
  </si>
  <si>
    <r>
      <t xml:space="preserve">Page 5; Line </t>
    </r>
    <r>
      <rPr>
        <strike/>
        <sz val="12"/>
        <color rgb="FFFF0000"/>
        <rFont val="Times New Roman"/>
        <family val="1"/>
      </rPr>
      <t>15</t>
    </r>
    <r>
      <rPr>
        <sz val="12"/>
        <color rgb="FFFF0000"/>
        <rFont val="Times New Roman"/>
        <family val="1"/>
      </rPr>
      <t>27</t>
    </r>
  </si>
  <si>
    <r>
      <t xml:space="preserve">Line </t>
    </r>
    <r>
      <rPr>
        <strike/>
        <sz val="12"/>
        <color rgb="FFFF0000"/>
        <rFont val="Times New Roman"/>
        <family val="1"/>
      </rPr>
      <t>23</t>
    </r>
    <r>
      <rPr>
        <sz val="12"/>
        <color rgb="FFFF0000"/>
        <rFont val="Times New Roman"/>
        <family val="1"/>
      </rPr>
      <t>35</t>
    </r>
    <r>
      <rPr>
        <sz val="12"/>
        <rFont val="Times New Roman"/>
        <family val="1"/>
      </rPr>
      <t xml:space="preserve"> x Line </t>
    </r>
    <r>
      <rPr>
        <strike/>
        <sz val="12"/>
        <color rgb="FFFF0000"/>
        <rFont val="Times New Roman"/>
        <family val="1"/>
      </rPr>
      <t>25</t>
    </r>
    <r>
      <rPr>
        <sz val="12"/>
        <color rgb="FFFF0000"/>
        <rFont val="Times New Roman"/>
        <family val="1"/>
      </rPr>
      <t>37</t>
    </r>
  </si>
  <si>
    <r>
      <t xml:space="preserve">Page 5; Line </t>
    </r>
    <r>
      <rPr>
        <strike/>
        <sz val="12"/>
        <color rgb="FFFF0000"/>
        <rFont val="Times New Roman"/>
        <family val="1"/>
      </rPr>
      <t>20</t>
    </r>
    <r>
      <rPr>
        <sz val="12"/>
        <color rgb="FFFF0000"/>
        <rFont val="Times New Roman"/>
        <family val="1"/>
      </rPr>
      <t>32</t>
    </r>
  </si>
  <si>
    <r>
      <t xml:space="preserve">Page 6; Line </t>
    </r>
    <r>
      <rPr>
        <strike/>
        <sz val="12"/>
        <color rgb="FFFF0000"/>
        <rFont val="Times New Roman"/>
        <family val="1"/>
      </rPr>
      <t>20</t>
    </r>
    <r>
      <rPr>
        <sz val="12"/>
        <color rgb="FFFF0000"/>
        <rFont val="Times New Roman"/>
        <family val="1"/>
      </rPr>
      <t>32</t>
    </r>
  </si>
  <si>
    <r>
      <t xml:space="preserve">Cost of Capital Rate </t>
    </r>
    <r>
      <rPr>
        <vertAlign val="subscript"/>
        <sz val="12"/>
        <rFont val="Times New Roman"/>
        <family val="1"/>
      </rPr>
      <t>(COCR)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</si>
  <si>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CAISO Participation ROE Adder</t>
    </r>
  </si>
  <si>
    <t>Line 15 + Line 19 + Line 23 + (Sum Lines 25 thru 28)</t>
  </si>
  <si>
    <r>
      <t xml:space="preserve">Statement AV; Page 3; Line </t>
    </r>
    <r>
      <rPr>
        <strike/>
        <sz val="12"/>
        <color rgb="FFFF0000"/>
        <rFont val="Times New Roman"/>
        <family val="1"/>
      </rPr>
      <t>66</t>
    </r>
    <r>
      <rPr>
        <sz val="12"/>
        <color rgb="FFFF0000"/>
        <rFont val="Times New Roman"/>
        <family val="1"/>
      </rPr>
      <t>78</t>
    </r>
  </si>
  <si>
    <r>
      <t xml:space="preserve">Incentive Cost of Capital Rate </t>
    </r>
    <r>
      <rPr>
        <vertAlign val="subscript"/>
        <sz val="12"/>
        <rFont val="Times New Roman"/>
        <family val="1"/>
      </rPr>
      <t>(ICOCR)</t>
    </r>
    <r>
      <rPr>
        <sz val="12"/>
        <rFont val="Times New Roman"/>
        <family val="1"/>
      </rPr>
      <t xml:space="preserve"> - Base ROE</t>
    </r>
  </si>
  <si>
    <t>Base Return on Common Equity:</t>
  </si>
  <si>
    <r>
      <t>CAISO Participation ROE Adder:</t>
    </r>
    <r>
      <rPr>
        <sz val="12"/>
        <rFont val="Times New Roman"/>
        <family val="1"/>
      </rPr>
      <t xml:space="preserve"> </t>
    </r>
  </si>
  <si>
    <r>
      <t>Incentive Return on Common Equity:</t>
    </r>
    <r>
      <rPr>
        <sz val="12"/>
        <rFont val="Times New Roman"/>
        <family val="1"/>
      </rPr>
      <t xml:space="preserve"> </t>
    </r>
    <r>
      <rPr>
        <b/>
        <vertAlign val="superscript"/>
        <sz val="12"/>
        <rFont val="Times New Roman"/>
        <family val="1"/>
      </rPr>
      <t>1</t>
    </r>
  </si>
  <si>
    <r>
      <t xml:space="preserve">Amounts </t>
    </r>
    <r>
      <rPr>
        <b/>
        <vertAlign val="superscript"/>
        <sz val="12"/>
        <rFont val="Times New Roman"/>
        <family val="1"/>
      </rPr>
      <t>2</t>
    </r>
  </si>
  <si>
    <t>Col. c = Line 1 Above</t>
  </si>
  <si>
    <t>Sum Lines 6 thru 8</t>
  </si>
  <si>
    <t>Line 7 + Line 8; Col. d</t>
  </si>
  <si>
    <r>
      <t xml:space="preserve">Cost of Capital Rate </t>
    </r>
    <r>
      <rPr>
        <u/>
        <vertAlign val="subscript"/>
        <sz val="12"/>
        <rFont val="Times New Roman"/>
        <family val="1"/>
      </rPr>
      <t>(COCR)</t>
    </r>
    <r>
      <rPr>
        <u/>
        <sz val="12"/>
        <rFont val="Times New Roman"/>
        <family val="1"/>
      </rPr>
      <t xml:space="preserve"> Calculation - Base ROE:</t>
    </r>
  </si>
  <si>
    <r>
      <t xml:space="preserve">AV-1A; Line </t>
    </r>
    <r>
      <rPr>
        <strike/>
        <sz val="12"/>
        <color rgb="FFFF0000"/>
        <rFont val="Times New Roman"/>
        <family val="1"/>
      </rPr>
      <t>42</t>
    </r>
    <r>
      <rPr>
        <sz val="12"/>
        <color rgb="FFFF0000"/>
        <rFont val="Times New Roman"/>
        <family val="1"/>
      </rPr>
      <t>17</t>
    </r>
  </si>
  <si>
    <r>
      <t xml:space="preserve">E. Cost of Capital Rate </t>
    </r>
    <r>
      <rPr>
        <u/>
        <vertAlign val="subscript"/>
        <sz val="12"/>
        <rFont val="Times New Roman"/>
        <family val="1"/>
      </rPr>
      <t>(COCR)</t>
    </r>
    <r>
      <rPr>
        <u/>
        <sz val="12"/>
        <rFont val="Times New Roman"/>
        <family val="1"/>
      </rPr>
      <t xml:space="preserve"> - Base ROE:</t>
    </r>
  </si>
  <si>
    <r>
      <t xml:space="preserve">Cost of Capital Rate </t>
    </r>
    <r>
      <rPr>
        <u/>
        <vertAlign val="subscript"/>
        <sz val="12"/>
        <rFont val="Times New Roman"/>
        <family val="1"/>
      </rPr>
      <t>(COCR)</t>
    </r>
    <r>
      <rPr>
        <u/>
        <sz val="12"/>
        <rFont val="Times New Roman"/>
        <family val="1"/>
      </rPr>
      <t xml:space="preserve"> Calculation - CAISO Participation ROE Adder:</t>
    </r>
  </si>
  <si>
    <r>
      <t xml:space="preserve">E. Cost of Capital Rate </t>
    </r>
    <r>
      <rPr>
        <u/>
        <vertAlign val="subscript"/>
        <sz val="12"/>
        <rFont val="Times New Roman"/>
        <family val="1"/>
      </rPr>
      <t>(COCR)</t>
    </r>
    <r>
      <rPr>
        <u/>
        <sz val="12"/>
        <rFont val="Times New Roman"/>
        <family val="1"/>
      </rPr>
      <t xml:space="preserve"> - CAISO Participation ROE Adder:</t>
    </r>
  </si>
  <si>
    <r>
      <t xml:space="preserve">Line </t>
    </r>
    <r>
      <rPr>
        <strike/>
        <sz val="12"/>
        <color rgb="FFFF0000"/>
        <rFont val="Times New Roman"/>
        <family val="1"/>
      </rPr>
      <t>40</t>
    </r>
    <r>
      <rPr>
        <sz val="12"/>
        <color rgb="FFFF0000"/>
        <rFont val="Times New Roman"/>
        <family val="1"/>
      </rPr>
      <t>46</t>
    </r>
    <r>
      <rPr>
        <sz val="12"/>
        <rFont val="Times New Roman"/>
        <family val="1"/>
      </rPr>
      <t xml:space="preserve"> Above</t>
    </r>
  </si>
  <si>
    <r>
      <t xml:space="preserve">Line </t>
    </r>
    <r>
      <rPr>
        <strike/>
        <sz val="12"/>
        <color rgb="FFFF0000"/>
        <rFont val="Times New Roman"/>
        <family val="1"/>
      </rPr>
      <t>42</t>
    </r>
    <r>
      <rPr>
        <sz val="12"/>
        <color rgb="FFFF0000"/>
        <rFont val="Times New Roman"/>
        <family val="1"/>
      </rPr>
      <t>48</t>
    </r>
    <r>
      <rPr>
        <sz val="12"/>
        <rFont val="Times New Roman"/>
        <family val="1"/>
      </rPr>
      <t xml:space="preserve"> Above</t>
    </r>
  </si>
  <si>
    <r>
      <t xml:space="preserve">Line </t>
    </r>
    <r>
      <rPr>
        <strike/>
        <sz val="12"/>
        <color rgb="FFFF0000"/>
        <rFont val="Times New Roman"/>
        <family val="1"/>
      </rPr>
      <t>43</t>
    </r>
    <r>
      <rPr>
        <sz val="12"/>
        <color rgb="FFFF0000"/>
        <rFont val="Times New Roman"/>
        <family val="1"/>
      </rPr>
      <t>49</t>
    </r>
    <r>
      <rPr>
        <sz val="12"/>
        <rFont val="Times New Roman"/>
        <family val="1"/>
      </rPr>
      <t xml:space="preserve"> Above</t>
    </r>
  </si>
  <si>
    <r>
      <t xml:space="preserve">Line </t>
    </r>
    <r>
      <rPr>
        <strike/>
        <sz val="12"/>
        <color rgb="FFFF0000"/>
        <rFont val="Times New Roman"/>
        <family val="1"/>
      </rPr>
      <t>46</t>
    </r>
    <r>
      <rPr>
        <sz val="12"/>
        <color rgb="FFFF0000"/>
        <rFont val="Times New Roman"/>
        <family val="1"/>
      </rPr>
      <t>52</t>
    </r>
    <r>
      <rPr>
        <sz val="12"/>
        <rFont val="Times New Roman"/>
        <family val="1"/>
      </rPr>
      <t xml:space="preserve"> Above</t>
    </r>
  </si>
  <si>
    <r>
      <t xml:space="preserve">Line </t>
    </r>
    <r>
      <rPr>
        <strike/>
        <sz val="12"/>
        <color rgb="FFFF0000"/>
        <rFont val="Times New Roman"/>
        <family val="1"/>
      </rPr>
      <t>46</t>
    </r>
    <r>
      <rPr>
        <sz val="12"/>
        <color rgb="FFFF0000"/>
        <rFont val="Times New Roman"/>
        <family val="1"/>
      </rPr>
      <t>52</t>
    </r>
    <r>
      <rPr>
        <sz val="12"/>
        <rFont val="Times New Roman"/>
        <family val="1"/>
      </rPr>
      <t xml:space="preserve"> + Line </t>
    </r>
    <r>
      <rPr>
        <strike/>
        <sz val="12"/>
        <color rgb="FFFF0000"/>
        <rFont val="Times New Roman"/>
        <family val="1"/>
      </rPr>
      <t>59</t>
    </r>
    <r>
      <rPr>
        <sz val="12"/>
        <color rgb="FFFF0000"/>
        <rFont val="Times New Roman"/>
        <family val="1"/>
      </rPr>
      <t>65</t>
    </r>
  </si>
  <si>
    <t>Line 49 x Line 52</t>
  </si>
  <si>
    <t>Line 49 x Line 65</t>
  </si>
  <si>
    <t>Line 70 + Line 71</t>
  </si>
  <si>
    <t>Line 49 x Line 74</t>
  </si>
  <si>
    <r>
      <t xml:space="preserve">Line </t>
    </r>
    <r>
      <rPr>
        <strike/>
        <sz val="12"/>
        <color rgb="FFFF0000"/>
        <rFont val="Times New Roman"/>
        <family val="1"/>
      </rPr>
      <t>62</t>
    </r>
    <r>
      <rPr>
        <sz val="12"/>
        <color rgb="FFFF0000"/>
        <rFont val="Times New Roman"/>
        <family val="1"/>
      </rPr>
      <t>68</t>
    </r>
    <r>
      <rPr>
        <sz val="12"/>
        <rFont val="Times New Roman"/>
        <family val="1"/>
      </rPr>
      <t xml:space="preserve"> + Line </t>
    </r>
    <r>
      <rPr>
        <strike/>
        <sz val="12"/>
        <color rgb="FFFF0000"/>
        <rFont val="Times New Roman"/>
        <family val="1"/>
      </rPr>
      <t>64</t>
    </r>
    <r>
      <rPr>
        <sz val="12"/>
        <color rgb="FFFF0000"/>
        <rFont val="Times New Roman"/>
        <family val="1"/>
      </rPr>
      <t>74</t>
    </r>
  </si>
  <si>
    <r>
      <t xml:space="preserve">Incentive Cost of Capital Rate </t>
    </r>
    <r>
      <rPr>
        <u/>
        <vertAlign val="subscript"/>
        <sz val="12"/>
        <rFont val="Times New Roman"/>
        <family val="1"/>
      </rPr>
      <t>(ICOCR)</t>
    </r>
    <r>
      <rPr>
        <u/>
        <sz val="12"/>
        <rFont val="Times New Roman"/>
        <family val="1"/>
      </rPr>
      <t xml:space="preserve"> Calculation - Base</t>
    </r>
    <r>
      <rPr>
        <strike/>
        <u/>
        <sz val="12"/>
        <rFont val="Times New Roman"/>
        <family val="1"/>
      </rPr>
      <t xml:space="preserve"> </t>
    </r>
    <r>
      <rPr>
        <u/>
        <sz val="12"/>
        <rFont val="Times New Roman"/>
        <family val="1"/>
      </rPr>
      <t>ROE:</t>
    </r>
    <r>
      <rPr>
        <sz val="12"/>
        <rFont val="Times New Roman"/>
        <family val="1"/>
      </rPr>
      <t xml:space="preserve"> </t>
    </r>
    <r>
      <rPr>
        <b/>
        <vertAlign val="superscript"/>
        <sz val="12"/>
        <rFont val="Times New Roman"/>
        <family val="1"/>
      </rPr>
      <t>1</t>
    </r>
  </si>
  <si>
    <t>Page 2; Line 11</t>
  </si>
  <si>
    <t>Page 3; Line 10</t>
  </si>
  <si>
    <t>Page 3; Line 23</t>
  </si>
  <si>
    <r>
      <t xml:space="preserve">Page 3; Line </t>
    </r>
    <r>
      <rPr>
        <strike/>
        <sz val="12"/>
        <color rgb="FFFF0000"/>
        <rFont val="Times New Roman"/>
        <family val="1"/>
      </rPr>
      <t>44</t>
    </r>
    <r>
      <rPr>
        <sz val="12"/>
        <color rgb="FFFF0000"/>
        <rFont val="Times New Roman"/>
        <family val="1"/>
      </rPr>
      <t>50</t>
    </r>
  </si>
  <si>
    <r>
      <t xml:space="preserve">Page 3; Line </t>
    </r>
    <r>
      <rPr>
        <strike/>
        <sz val="12"/>
        <color rgb="FFFF0000"/>
        <rFont val="Times New Roman"/>
        <family val="1"/>
      </rPr>
      <t>57</t>
    </r>
    <r>
      <rPr>
        <sz val="12"/>
        <color rgb="FFFF0000"/>
        <rFont val="Times New Roman"/>
        <family val="1"/>
      </rPr>
      <t>63</t>
    </r>
  </si>
  <si>
    <r>
      <t xml:space="preserve">The Incentive Cost of Capital Rate calculation will be tracked and shown separately for each project. As a result, lines 1 through </t>
    </r>
    <r>
      <rPr>
        <strike/>
        <sz val="12"/>
        <color rgb="FFFF0000"/>
        <rFont val="Times New Roman"/>
        <family val="1"/>
      </rPr>
      <t>66</t>
    </r>
    <r>
      <rPr>
        <sz val="12"/>
        <color rgb="FFFF0000"/>
        <rFont val="Times New Roman"/>
        <family val="1"/>
      </rPr>
      <t>78</t>
    </r>
    <r>
      <rPr>
        <sz val="12"/>
        <rFont val="Times New Roman"/>
        <family val="1"/>
      </rPr>
      <t xml:space="preserve"> will be repeated for each project.</t>
    </r>
  </si>
  <si>
    <t>Line 1 + Line 5 + Line 9</t>
  </si>
  <si>
    <r>
      <t xml:space="preserve">Statement AV; Page 4; Line </t>
    </r>
    <r>
      <rPr>
        <strike/>
        <sz val="12"/>
        <color rgb="FFFF0000"/>
        <rFont val="Times New Roman"/>
        <family val="1"/>
      </rPr>
      <t>32</t>
    </r>
    <r>
      <rPr>
        <sz val="12"/>
        <color rgb="FFFF0000"/>
        <rFont val="Times New Roman"/>
        <family val="1"/>
      </rPr>
      <t>38</t>
    </r>
  </si>
  <si>
    <r>
      <t xml:space="preserve">Statement AV; Page 4; Line </t>
    </r>
    <r>
      <rPr>
        <strike/>
        <sz val="12"/>
        <color rgb="FFFF0000"/>
        <rFont val="Times New Roman"/>
        <family val="1"/>
      </rPr>
      <t>66</t>
    </r>
    <r>
      <rPr>
        <sz val="12"/>
        <color rgb="FFFF0000"/>
        <rFont val="Times New Roman"/>
        <family val="1"/>
      </rPr>
      <t>78</t>
    </r>
  </si>
  <si>
    <t xml:space="preserve">     Incentive Trans. Plant Aband. Proj. Return &amp; Assoc. Inc. Taxes - Base ROE</t>
  </si>
  <si>
    <t>Line 16 x Line 17</t>
  </si>
  <si>
    <t>Line 14 + Line 18 + Line 22</t>
  </si>
  <si>
    <t>Line 27 x Line 28</t>
  </si>
  <si>
    <t>Line 29 + Line 33</t>
  </si>
  <si>
    <t>Sum Lines 11, 24 35</t>
  </si>
  <si>
    <t>Page 1; Line 30 + Line 37</t>
  </si>
  <si>
    <t>The revenues attributed to Transmission Plant Abandoned Projects and Transmission Construction Work in Progress (CWIP) incentives are derived using the regular Cost of Capital Rate.</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</si>
  <si>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strike/>
        <vertAlign val="superscript"/>
        <sz val="12"/>
        <color rgb="FFFF0000"/>
        <rFont val="Times New Roman"/>
        <family val="1"/>
      </rPr>
      <t>3</t>
    </r>
    <r>
      <rPr>
        <b/>
        <u/>
        <vertAlign val="superscript"/>
        <sz val="12"/>
        <color rgb="FFFF0000"/>
        <rFont val="Times New Roman"/>
        <family val="1"/>
      </rPr>
      <t>4</t>
    </r>
  </si>
  <si>
    <r>
      <t xml:space="preserve">Cost of Capital Rate </t>
    </r>
    <r>
      <rPr>
        <vertAlign val="subscript"/>
        <sz val="12"/>
        <rFont val="Times New Roman"/>
        <family val="1"/>
      </rPr>
      <t>(COCR)</t>
    </r>
    <r>
      <rPr>
        <sz val="12"/>
        <rFont val="Times New Roman"/>
        <family val="1"/>
      </rPr>
      <t xml:space="preserve"> </t>
    </r>
    <r>
      <rPr>
        <vertAlign val="superscript"/>
        <sz val="12"/>
        <rFont val="Times New Roman"/>
        <family val="1"/>
      </rPr>
      <t>3</t>
    </r>
    <r>
      <rPr>
        <sz val="12"/>
        <rFont val="Times New Roman"/>
        <family val="1"/>
      </rPr>
      <t xml:space="preserve"> - Base ROE</t>
    </r>
  </si>
  <si>
    <t xml:space="preserve">     Incentive CWIP Return and Associated Income Taxes - Base ROE</t>
  </si>
  <si>
    <t>Statement AF; Line 15</t>
  </si>
  <si>
    <t>Page 1; Line 19 + Line 23</t>
  </si>
  <si>
    <t>Page 1; Line 30</t>
  </si>
  <si>
    <t>Negative of Page 1; Line 25</t>
  </si>
  <si>
    <t>Negative of Page 1; Line 28</t>
  </si>
  <si>
    <t>Page 1; Line 30 + Page 2; Line 11</t>
  </si>
  <si>
    <t xml:space="preserve">     Incentive Transmission Forecast CWIP Projects Revenue Requirements - Base ROE</t>
  </si>
  <si>
    <r>
      <t xml:space="preserve">Line </t>
    </r>
    <r>
      <rPr>
        <strike/>
        <sz val="12"/>
        <color rgb="FFFF0000"/>
        <rFont val="Times New Roman"/>
        <family val="1"/>
      </rPr>
      <t>29</t>
    </r>
    <r>
      <rPr>
        <sz val="12"/>
        <color rgb="FFFF0000"/>
        <rFont val="Times New Roman"/>
        <family val="1"/>
      </rPr>
      <t>41</t>
    </r>
    <r>
      <rPr>
        <sz val="12"/>
        <rFont val="Times New Roman"/>
        <family val="1"/>
      </rPr>
      <t xml:space="preserve"> x Line </t>
    </r>
    <r>
      <rPr>
        <strike/>
        <sz val="12"/>
        <color rgb="FFFF0000"/>
        <rFont val="Times New Roman"/>
        <family val="1"/>
      </rPr>
      <t>31</t>
    </r>
    <r>
      <rPr>
        <sz val="12"/>
        <color rgb="FFFF0000"/>
        <rFont val="Times New Roman"/>
        <family val="1"/>
      </rPr>
      <t>43</t>
    </r>
  </si>
  <si>
    <r>
      <t xml:space="preserve">Line </t>
    </r>
    <r>
      <rPr>
        <strike/>
        <sz val="12"/>
        <color rgb="FFFF0000"/>
        <rFont val="Times New Roman"/>
        <family val="1"/>
      </rPr>
      <t>27</t>
    </r>
    <r>
      <rPr>
        <sz val="12"/>
        <color rgb="FFFF0000"/>
        <rFont val="Times New Roman"/>
        <family val="1"/>
      </rPr>
      <t>39</t>
    </r>
    <r>
      <rPr>
        <sz val="12"/>
        <rFont val="Times New Roman"/>
        <family val="1"/>
      </rPr>
      <t xml:space="preserve"> + Line </t>
    </r>
    <r>
      <rPr>
        <strike/>
        <sz val="12"/>
        <color rgb="FFFF0000"/>
        <rFont val="Times New Roman"/>
        <family val="1"/>
      </rPr>
      <t>33</t>
    </r>
    <r>
      <rPr>
        <sz val="12"/>
        <color rgb="FFFF0000"/>
        <rFont val="Times New Roman"/>
        <family val="1"/>
      </rPr>
      <t>45</t>
    </r>
  </si>
  <si>
    <t>The regular Cost of Capital Rate is used for calculation purposes.</t>
  </si>
  <si>
    <r>
      <t xml:space="preserve">Cost of Capital Rate </t>
    </r>
    <r>
      <rPr>
        <vertAlign val="subscript"/>
        <sz val="12"/>
        <rFont val="Times New Roman"/>
        <family val="1"/>
      </rPr>
      <t>(COCR)</t>
    </r>
    <r>
      <rPr>
        <sz val="12"/>
        <rFont val="Times New Roman"/>
        <family val="1"/>
      </rPr>
      <t xml:space="preserve"> - Base ROE </t>
    </r>
    <r>
      <rPr>
        <vertAlign val="superscript"/>
        <sz val="12"/>
        <color rgb="FFFF0000"/>
        <rFont val="Times New Roman"/>
        <family val="1"/>
      </rPr>
      <t>1</t>
    </r>
  </si>
  <si>
    <r>
      <t xml:space="preserve">Incentive Annual Fix Charge Rate (AFCR </t>
    </r>
    <r>
      <rPr>
        <vertAlign val="subscript"/>
        <sz val="12"/>
        <rFont val="Times New Roman"/>
        <family val="1"/>
      </rPr>
      <t>EU-IR-ROE</t>
    </r>
    <r>
      <rPr>
        <sz val="12"/>
        <rFont val="Times New Roman"/>
        <family val="1"/>
      </rPr>
      <t xml:space="preserve">) </t>
    </r>
    <r>
      <rPr>
        <b/>
        <strike/>
        <vertAlign val="superscript"/>
        <sz val="12"/>
        <color rgb="FFFF0000"/>
        <rFont val="Times New Roman"/>
        <family val="1"/>
      </rPr>
      <t>1</t>
    </r>
    <r>
      <rPr>
        <vertAlign val="superscript"/>
        <sz val="12"/>
        <color rgb="FFFF0000"/>
        <rFont val="Times New Roman"/>
        <family val="1"/>
      </rPr>
      <t>2</t>
    </r>
  </si>
  <si>
    <t>Page 2; Line 37</t>
  </si>
  <si>
    <r>
      <t xml:space="preserve">Page 6; Line </t>
    </r>
    <r>
      <rPr>
        <strike/>
        <sz val="12"/>
        <color rgb="FFFF0000"/>
        <rFont val="Times New Roman"/>
        <family val="1"/>
      </rPr>
      <t>35</t>
    </r>
    <r>
      <rPr>
        <sz val="12"/>
        <color rgb="FFFF0000"/>
        <rFont val="Times New Roman"/>
        <family val="1"/>
      </rPr>
      <t>47</t>
    </r>
  </si>
  <si>
    <t>Less: CPUC Intervenor Funding Expense Revenue Adjustment - Base ROE</t>
  </si>
  <si>
    <r>
      <t xml:space="preserve">Sum Lines 1 thru </t>
    </r>
    <r>
      <rPr>
        <strike/>
        <sz val="12"/>
        <color rgb="FFFF0000"/>
        <rFont val="Times New Roman"/>
        <family val="1"/>
      </rPr>
      <t>9</t>
    </r>
    <r>
      <rPr>
        <sz val="12"/>
        <color rgb="FFFF0000"/>
        <rFont val="Times New Roman"/>
        <family val="1"/>
      </rPr>
      <t>11</t>
    </r>
  </si>
  <si>
    <r>
      <t xml:space="preserve">Col. a = Line </t>
    </r>
    <r>
      <rPr>
        <strike/>
        <sz val="12"/>
        <color rgb="FFFF0000"/>
        <rFont val="Times New Roman"/>
        <family val="1"/>
      </rPr>
      <t>11</t>
    </r>
    <r>
      <rPr>
        <sz val="12"/>
        <color rgb="FFFF0000"/>
        <rFont val="Times New Roman"/>
        <family val="1"/>
      </rPr>
      <t>13</t>
    </r>
    <r>
      <rPr>
        <sz val="12"/>
        <rFont val="Times New Roman"/>
        <family val="1"/>
      </rPr>
      <t xml:space="preserve"> minus Line </t>
    </r>
    <r>
      <rPr>
        <strike/>
        <sz val="12"/>
        <color rgb="FFFF0000"/>
        <rFont val="Times New Roman"/>
        <family val="1"/>
      </rPr>
      <t>21</t>
    </r>
    <r>
      <rPr>
        <sz val="12"/>
        <color rgb="FFFF0000"/>
        <rFont val="Times New Roman"/>
        <family val="1"/>
      </rPr>
      <t>23</t>
    </r>
  </si>
  <si>
    <r>
      <t xml:space="preserve">Col. b and c = Line </t>
    </r>
    <r>
      <rPr>
        <strike/>
        <sz val="12"/>
        <color rgb="FFFF0000"/>
        <rFont val="Times New Roman"/>
        <family val="1"/>
      </rPr>
      <t>16</t>
    </r>
    <r>
      <rPr>
        <sz val="12"/>
        <color rgb="FFFF0000"/>
        <rFont val="Times New Roman"/>
        <family val="1"/>
      </rPr>
      <t>18</t>
    </r>
    <r>
      <rPr>
        <sz val="12"/>
        <rFont val="Times New Roman"/>
        <family val="1"/>
      </rPr>
      <t xml:space="preserve"> x (Line </t>
    </r>
    <r>
      <rPr>
        <strike/>
        <sz val="12"/>
        <color rgb="FFFF0000"/>
        <rFont val="Times New Roman"/>
        <family val="1"/>
      </rPr>
      <t>17</t>
    </r>
    <r>
      <rPr>
        <sz val="12"/>
        <color rgb="FFFF0000"/>
        <rFont val="Times New Roman"/>
        <family val="1"/>
      </rPr>
      <t>19</t>
    </r>
    <r>
      <rPr>
        <sz val="12"/>
        <rFont val="Times New Roman"/>
        <family val="1"/>
      </rPr>
      <t>; Col. a)</t>
    </r>
  </si>
  <si>
    <r>
      <t xml:space="preserve">Col. b and c = Line </t>
    </r>
    <r>
      <rPr>
        <strike/>
        <sz val="12"/>
        <color rgb="FFFF0000"/>
        <rFont val="Times New Roman"/>
        <family val="1"/>
      </rPr>
      <t>20</t>
    </r>
    <r>
      <rPr>
        <sz val="12"/>
        <color rgb="FFFF0000"/>
        <rFont val="Times New Roman"/>
        <family val="1"/>
      </rPr>
      <t>22</t>
    </r>
    <r>
      <rPr>
        <sz val="12"/>
        <rFont val="Times New Roman"/>
        <family val="1"/>
      </rPr>
      <t xml:space="preserve"> x (Line </t>
    </r>
    <r>
      <rPr>
        <strike/>
        <sz val="12"/>
        <color rgb="FFFF0000"/>
        <rFont val="Times New Roman"/>
        <family val="1"/>
      </rPr>
      <t>21</t>
    </r>
    <r>
      <rPr>
        <sz val="12"/>
        <color rgb="FFFF0000"/>
        <rFont val="Times New Roman"/>
        <family val="1"/>
      </rPr>
      <t>23</t>
    </r>
    <r>
      <rPr>
        <sz val="12"/>
        <rFont val="Times New Roman"/>
        <family val="1"/>
      </rPr>
      <t>; Col. a)</t>
    </r>
  </si>
  <si>
    <r>
      <t xml:space="preserve">Line </t>
    </r>
    <r>
      <rPr>
        <strike/>
        <sz val="12"/>
        <color rgb="FFFF0000"/>
        <rFont val="Times New Roman"/>
        <family val="1"/>
      </rPr>
      <t>17</t>
    </r>
    <r>
      <rPr>
        <sz val="12"/>
        <color rgb="FFFF0000"/>
        <rFont val="Times New Roman"/>
        <family val="1"/>
      </rPr>
      <t>19</t>
    </r>
    <r>
      <rPr>
        <sz val="12"/>
        <rFont val="Times New Roman"/>
        <family val="1"/>
      </rPr>
      <t xml:space="preserve"> + Line </t>
    </r>
    <r>
      <rPr>
        <strike/>
        <sz val="12"/>
        <color rgb="FFFF0000"/>
        <rFont val="Times New Roman"/>
        <family val="1"/>
      </rPr>
      <t>21</t>
    </r>
    <r>
      <rPr>
        <sz val="12"/>
        <color rgb="FFFF0000"/>
        <rFont val="Times New Roman"/>
        <family val="1"/>
      </rPr>
      <t>23</t>
    </r>
  </si>
  <si>
    <r>
      <t xml:space="preserve">Line </t>
    </r>
    <r>
      <rPr>
        <strike/>
        <sz val="12"/>
        <color rgb="FFFF0000"/>
        <rFont val="Times New Roman"/>
        <family val="1"/>
      </rPr>
      <t>25</t>
    </r>
    <r>
      <rPr>
        <sz val="12"/>
        <color rgb="FFFF0000"/>
        <rFont val="Times New Roman"/>
        <family val="1"/>
      </rPr>
      <t>27</t>
    </r>
    <r>
      <rPr>
        <sz val="12"/>
        <rFont val="Times New Roman"/>
        <family val="1"/>
      </rPr>
      <t xml:space="preserve"> x Franchise Fee Rate</t>
    </r>
  </si>
  <si>
    <r>
      <t xml:space="preserve">Line </t>
    </r>
    <r>
      <rPr>
        <strike/>
        <sz val="12"/>
        <color rgb="FFFF0000"/>
        <rFont val="Times New Roman"/>
        <family val="1"/>
      </rPr>
      <t>25</t>
    </r>
    <r>
      <rPr>
        <sz val="12"/>
        <color rgb="FFFF0000"/>
        <rFont val="Times New Roman"/>
        <family val="1"/>
      </rPr>
      <t>27</t>
    </r>
    <r>
      <rPr>
        <sz val="12"/>
        <rFont val="Times New Roman"/>
        <family val="1"/>
      </rPr>
      <t xml:space="preserve"> + Line </t>
    </r>
    <r>
      <rPr>
        <strike/>
        <sz val="12"/>
        <color rgb="FFFF0000"/>
        <rFont val="Times New Roman"/>
        <family val="1"/>
      </rPr>
      <t>26</t>
    </r>
    <r>
      <rPr>
        <sz val="12"/>
        <color rgb="FFFF0000"/>
        <rFont val="Times New Roman"/>
        <family val="1"/>
      </rPr>
      <t>28</t>
    </r>
  </si>
  <si>
    <r>
      <t xml:space="preserve">Col. b and c = Line </t>
    </r>
    <r>
      <rPr>
        <strike/>
        <sz val="12"/>
        <color rgb="FFFF0000"/>
        <rFont val="Times New Roman"/>
        <family val="1"/>
      </rPr>
      <t>16</t>
    </r>
    <r>
      <rPr>
        <sz val="12"/>
        <color rgb="FFFF0000"/>
        <rFont val="Times New Roman"/>
        <family val="1"/>
      </rPr>
      <t>18</t>
    </r>
    <r>
      <rPr>
        <sz val="12"/>
        <rFont val="Times New Roman"/>
        <family val="1"/>
      </rPr>
      <t xml:space="preserve"> x (Line </t>
    </r>
    <r>
      <rPr>
        <strike/>
        <sz val="12"/>
        <color rgb="FFFF0000"/>
        <rFont val="Times New Roman"/>
        <family val="1"/>
      </rPr>
      <t>29</t>
    </r>
    <r>
      <rPr>
        <sz val="12"/>
        <color rgb="FFFF0000"/>
        <rFont val="Times New Roman"/>
        <family val="1"/>
      </rPr>
      <t>31</t>
    </r>
    <r>
      <rPr>
        <sz val="12"/>
        <rFont val="Times New Roman"/>
        <family val="1"/>
      </rPr>
      <t>; Col. a)</t>
    </r>
  </si>
  <si>
    <r>
      <t xml:space="preserve">Line </t>
    </r>
    <r>
      <rPr>
        <strike/>
        <sz val="12"/>
        <color rgb="FFFF0000"/>
        <rFont val="Times New Roman"/>
        <family val="1"/>
      </rPr>
      <t>27</t>
    </r>
    <r>
      <rPr>
        <sz val="12"/>
        <color rgb="FFFF0000"/>
        <rFont val="Times New Roman"/>
        <family val="1"/>
      </rPr>
      <t>29</t>
    </r>
    <r>
      <rPr>
        <sz val="12"/>
        <rFont val="Times New Roman"/>
        <family val="1"/>
      </rPr>
      <t xml:space="preserve"> + Line </t>
    </r>
    <r>
      <rPr>
        <strike/>
        <sz val="12"/>
        <color rgb="FFFF0000"/>
        <rFont val="Times New Roman"/>
        <family val="1"/>
      </rPr>
      <t>29</t>
    </r>
    <r>
      <rPr>
        <sz val="12"/>
        <color rgb="FFFF0000"/>
        <rFont val="Times New Roman"/>
        <family val="1"/>
      </rPr>
      <t>31</t>
    </r>
  </si>
  <si>
    <t>ADIT Adjustment - Annual Fixed Charge Rate (AFCR)</t>
  </si>
  <si>
    <t>AF-4; Line 1; Col. c</t>
  </si>
  <si>
    <r>
      <t xml:space="preserve">Negative of AH-2; Line </t>
    </r>
    <r>
      <rPr>
        <strike/>
        <sz val="12"/>
        <color rgb="FFFF0000"/>
        <rFont val="Times New Roman"/>
        <family val="1"/>
      </rPr>
      <t>29</t>
    </r>
    <r>
      <rPr>
        <sz val="12"/>
        <color rgb="FFFF0000"/>
        <rFont val="Times New Roman"/>
        <family val="1"/>
      </rPr>
      <t>28</t>
    </r>
    <r>
      <rPr>
        <sz val="12"/>
        <rFont val="Times New Roman"/>
        <family val="1"/>
      </rPr>
      <t>; Col. a</t>
    </r>
  </si>
  <si>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</si>
  <si>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b/>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</si>
  <si>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</si>
  <si>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b/>
        <vertAlign val="superscript"/>
        <sz val="12"/>
        <rFont val="Times New Roman"/>
        <family val="1"/>
      </rPr>
      <t>2</t>
    </r>
  </si>
  <si>
    <r>
      <t>For the Base Period &amp; True-Up Period Ending December 31,</t>
    </r>
    <r>
      <rPr>
        <b/>
        <sz val="12"/>
        <color rgb="FFFF0000"/>
        <rFont val="Times New Roman"/>
        <family val="1"/>
      </rPr>
      <t xml:space="preserve"> xxxx</t>
    </r>
  </si>
  <si>
    <r>
      <t>Line 2</t>
    </r>
    <r>
      <rPr>
        <strike/>
        <sz val="12"/>
        <color rgb="FFFF0000"/>
        <rFont val="Times New Roman"/>
        <family val="1"/>
      </rPr>
      <t xml:space="preserve"> Minus</t>
    </r>
    <r>
      <rPr>
        <sz val="12"/>
        <color rgb="FFFF0000"/>
        <rFont val="Times New Roman"/>
        <family val="1"/>
      </rPr>
      <t xml:space="preserve"> -</t>
    </r>
    <r>
      <rPr>
        <sz val="12"/>
        <rFont val="Times New Roman"/>
        <family val="1"/>
      </rPr>
      <t xml:space="preserve"> Line 9</t>
    </r>
  </si>
  <si>
    <r>
      <t xml:space="preserve">Line 3 </t>
    </r>
    <r>
      <rPr>
        <strike/>
        <sz val="12"/>
        <color rgb="FFFF0000"/>
        <rFont val="Times New Roman"/>
        <family val="1"/>
      </rPr>
      <t>Minus</t>
    </r>
    <r>
      <rPr>
        <sz val="12"/>
        <rFont val="Times New Roman"/>
        <family val="1"/>
      </rPr>
      <t xml:space="preserve"> </t>
    </r>
    <r>
      <rPr>
        <sz val="12"/>
        <color rgb="FFFF0000"/>
        <rFont val="Times New Roman"/>
        <family val="1"/>
      </rPr>
      <t>-</t>
    </r>
    <r>
      <rPr>
        <sz val="12"/>
        <rFont val="Times New Roman"/>
        <family val="1"/>
      </rPr>
      <t xml:space="preserve"> Line 10</t>
    </r>
  </si>
  <si>
    <r>
      <t xml:space="preserve">Line 4 </t>
    </r>
    <r>
      <rPr>
        <strike/>
        <sz val="12"/>
        <color rgb="FFFF0000"/>
        <rFont val="Times New Roman"/>
        <family val="1"/>
      </rPr>
      <t>Minus</t>
    </r>
    <r>
      <rPr>
        <sz val="12"/>
        <rFont val="Times New Roman"/>
        <family val="1"/>
      </rPr>
      <t xml:space="preserve"> </t>
    </r>
    <r>
      <rPr>
        <sz val="12"/>
        <color rgb="FFFF0000"/>
        <rFont val="Times New Roman"/>
        <family val="1"/>
      </rPr>
      <t>-</t>
    </r>
    <r>
      <rPr>
        <sz val="12"/>
        <rFont val="Times New Roman"/>
        <family val="1"/>
      </rPr>
      <t xml:space="preserve"> Line 11</t>
    </r>
  </si>
  <si>
    <r>
      <t xml:space="preserve">Line 5 </t>
    </r>
    <r>
      <rPr>
        <strike/>
        <sz val="12"/>
        <color rgb="FFFF0000"/>
        <rFont val="Times New Roman"/>
        <family val="1"/>
      </rPr>
      <t>Minus</t>
    </r>
    <r>
      <rPr>
        <sz val="12"/>
        <rFont val="Times New Roman"/>
        <family val="1"/>
      </rPr>
      <t xml:space="preserve"> </t>
    </r>
    <r>
      <rPr>
        <sz val="12"/>
        <color rgb="FFFF0000"/>
        <rFont val="Times New Roman"/>
        <family val="1"/>
      </rPr>
      <t xml:space="preserve">- </t>
    </r>
    <r>
      <rPr>
        <sz val="12"/>
        <rFont val="Times New Roman"/>
        <family val="1"/>
      </rPr>
      <t>Line 12</t>
    </r>
  </si>
  <si>
    <r>
      <t xml:space="preserve">Line 23 </t>
    </r>
    <r>
      <rPr>
        <strike/>
        <sz val="12"/>
        <color rgb="FFFF0000"/>
        <rFont val="Times New Roman"/>
        <family val="1"/>
      </rPr>
      <t>Minus</t>
    </r>
    <r>
      <rPr>
        <sz val="12"/>
        <rFont val="Times New Roman"/>
        <family val="1"/>
      </rPr>
      <t xml:space="preserve"> </t>
    </r>
    <r>
      <rPr>
        <sz val="12"/>
        <color rgb="FFFF0000"/>
        <rFont val="Times New Roman"/>
        <family val="1"/>
      </rPr>
      <t>-</t>
    </r>
    <r>
      <rPr>
        <sz val="12"/>
        <rFont val="Times New Roman"/>
        <family val="1"/>
      </rPr>
      <t xml:space="preserve"> Line 24</t>
    </r>
  </si>
  <si>
    <t>Positive of Page 3; Line 16</t>
  </si>
  <si>
    <r>
      <rPr>
        <b/>
        <strike/>
        <vertAlign val="superscript"/>
        <sz val="12"/>
        <color rgb="FFFF0000"/>
        <rFont val="Times New Roman"/>
        <family val="1"/>
      </rPr>
      <t>1</t>
    </r>
    <r>
      <rPr>
        <b/>
        <vertAlign val="superscript"/>
        <sz val="12"/>
        <color rgb="FFFF0000"/>
        <rFont val="Times New Roman"/>
        <family val="1"/>
      </rPr>
      <t xml:space="preserve"> 2</t>
    </r>
  </si>
  <si>
    <t>Represents the current Franchise Fees and Uncollectible (FF&amp;U) expense rates that will be updated once SDG&amp;E's General Rate Case (GRC) is approved.</t>
  </si>
  <si>
    <r>
      <t xml:space="preserve">E. Total Wholesale BTRR </t>
    </r>
    <r>
      <rPr>
        <b/>
        <u/>
        <vertAlign val="subscript"/>
        <sz val="12"/>
        <rFont val="Times New Roman"/>
        <family val="1"/>
      </rPr>
      <t>CAISO</t>
    </r>
    <r>
      <rPr>
        <b/>
        <u/>
        <sz val="12"/>
        <rFont val="Times New Roman"/>
        <family val="1"/>
      </rPr>
      <t xml:space="preserve"> With Franchise Fees </t>
    </r>
    <r>
      <rPr>
        <b/>
        <strike/>
        <u/>
        <vertAlign val="superscript"/>
        <sz val="12"/>
        <color rgb="FFFF0000"/>
        <rFont val="Times New Roman"/>
        <family val="1"/>
      </rPr>
      <t xml:space="preserve">3 </t>
    </r>
    <r>
      <rPr>
        <b/>
        <u/>
        <vertAlign val="superscript"/>
        <sz val="12"/>
        <color rgb="FFFF0000"/>
        <rFont val="Times New Roman"/>
        <family val="1"/>
      </rPr>
      <t>4</t>
    </r>
  </si>
  <si>
    <r>
      <rPr>
        <b/>
        <strike/>
        <vertAlign val="superscript"/>
        <sz val="12"/>
        <color rgb="FFFF0000"/>
        <rFont val="Times New Roman"/>
        <family val="1"/>
      </rPr>
      <t>3</t>
    </r>
    <r>
      <rPr>
        <b/>
        <vertAlign val="superscript"/>
        <sz val="12"/>
        <color rgb="FFFF0000"/>
        <rFont val="Times New Roman"/>
        <family val="1"/>
      </rPr>
      <t xml:space="preserve"> 4</t>
    </r>
  </si>
  <si>
    <t>Represents the current Franchise Fees expense rates that will be updated once SDG&amp;E's General Rate Case (GRC) is approved.</t>
  </si>
  <si>
    <r>
      <rPr>
        <b/>
        <strike/>
        <vertAlign val="superscript"/>
        <sz val="12"/>
        <color rgb="FFFF0000"/>
        <rFont val="Times New Roman"/>
        <family val="1"/>
      </rPr>
      <t>3</t>
    </r>
    <r>
      <rPr>
        <b/>
        <vertAlign val="superscript"/>
        <sz val="12"/>
        <rFont val="Times New Roman"/>
        <family val="1"/>
      </rPr>
      <t xml:space="preserve"> </t>
    </r>
    <r>
      <rPr>
        <b/>
        <vertAlign val="superscript"/>
        <sz val="12"/>
        <color rgb="FFFF0000"/>
        <rFont val="Times New Roman"/>
        <family val="1"/>
      </rPr>
      <t>4</t>
    </r>
  </si>
  <si>
    <r>
      <t>Base Period &amp; True-Up Period 12 - Months Ending  December 31,</t>
    </r>
    <r>
      <rPr>
        <b/>
        <sz val="12"/>
        <color rgb="FFFF0000"/>
        <rFont val="Times New Roman"/>
        <family val="1"/>
      </rPr>
      <t xml:space="preserve"> xxxx</t>
    </r>
  </si>
  <si>
    <r>
      <t xml:space="preserve">Base Period 12 Months Ending </t>
    </r>
    <r>
      <rPr>
        <b/>
        <sz val="12"/>
        <color rgb="FFFF0000"/>
        <rFont val="Times New Roman"/>
        <family val="1"/>
      </rPr>
      <t xml:space="preserve"> </t>
    </r>
    <r>
      <rPr>
        <b/>
        <sz val="12"/>
        <rFont val="Times New Roman"/>
        <family val="1"/>
      </rPr>
      <t>December 31,</t>
    </r>
    <r>
      <rPr>
        <b/>
        <sz val="12"/>
        <color rgb="FFFF0000"/>
        <rFont val="Times New Roman"/>
        <family val="1"/>
      </rPr>
      <t xml:space="preserve"> xxxx</t>
    </r>
  </si>
  <si>
    <r>
      <t xml:space="preserve">Base Period 12 Months Ending December 31, </t>
    </r>
    <r>
      <rPr>
        <b/>
        <sz val="12"/>
        <color rgb="FFFF0000"/>
        <rFont val="Times New Roman"/>
        <family val="1"/>
      </rPr>
      <t>xxxx</t>
    </r>
  </si>
  <si>
    <t>Form 1; Page 274-275; Footnote Data (b)</t>
  </si>
  <si>
    <r>
      <t>Base Period 12 Months Ending December 31,</t>
    </r>
    <r>
      <rPr>
        <b/>
        <sz val="12"/>
        <color rgb="FFFF0000"/>
        <rFont val="Times New Roman"/>
        <family val="1"/>
      </rPr>
      <t xml:space="preserve"> xxxx</t>
    </r>
  </si>
  <si>
    <r>
      <t>Page 2; Line 9;</t>
    </r>
    <r>
      <rPr>
        <sz val="12"/>
        <color rgb="FFFF0000"/>
        <rFont val="Times New Roman"/>
        <family val="1"/>
      </rPr>
      <t xml:space="preserve"> Col. d</t>
    </r>
  </si>
  <si>
    <t>xxxx</t>
  </si>
  <si>
    <r>
      <t>Base Period &amp; True-Up Period Ending December 31,</t>
    </r>
    <r>
      <rPr>
        <b/>
        <sz val="10"/>
        <color rgb="FFFF0000"/>
        <rFont val="Times New Roman"/>
        <family val="1"/>
      </rPr>
      <t xml:space="preserve"> xxxx</t>
    </r>
  </si>
  <si>
    <r>
      <t xml:space="preserve">Base Period &amp; True-Up Period Ending </t>
    </r>
    <r>
      <rPr>
        <b/>
        <sz val="10"/>
        <rFont val="Times New Roman"/>
        <family val="1"/>
      </rPr>
      <t>December 31,</t>
    </r>
    <r>
      <rPr>
        <b/>
        <sz val="10"/>
        <color rgb="FFFF0000"/>
        <rFont val="Times New Roman"/>
        <family val="1"/>
      </rPr>
      <t xml:space="preserve"> xxxx</t>
    </r>
  </si>
  <si>
    <t>No</t>
  </si>
  <si>
    <r>
      <t xml:space="preserve">Base Period &amp; True-Up Period Ending December 31, </t>
    </r>
    <r>
      <rPr>
        <b/>
        <sz val="10"/>
        <color rgb="FFFF0000"/>
        <rFont val="Times New Roman"/>
        <family val="1"/>
      </rPr>
      <t>xxxx</t>
    </r>
  </si>
  <si>
    <r>
      <t xml:space="preserve">For 12-Month True-Up Period </t>
    </r>
    <r>
      <rPr>
        <b/>
        <sz val="12"/>
        <rFont val="Times New Roman"/>
        <family val="1"/>
      </rPr>
      <t>January 1,</t>
    </r>
    <r>
      <rPr>
        <b/>
        <sz val="12"/>
        <color rgb="FFFF0000"/>
        <rFont val="Times New Roman"/>
        <family val="1"/>
      </rPr>
      <t xml:space="preserve"> xxxx </t>
    </r>
    <r>
      <rPr>
        <b/>
        <sz val="12"/>
        <rFont val="Times New Roman"/>
        <family val="1"/>
      </rPr>
      <t>Through December 31,</t>
    </r>
    <r>
      <rPr>
        <b/>
        <sz val="12"/>
        <color rgb="FFFF0000"/>
        <rFont val="Times New Roman"/>
        <family val="1"/>
      </rPr>
      <t xml:space="preserve"> xxxx</t>
    </r>
  </si>
  <si>
    <r>
      <t>TO</t>
    </r>
    <r>
      <rPr>
        <b/>
        <strike/>
        <sz val="12"/>
        <color rgb="FFFF0000"/>
        <rFont val="Times New Roman"/>
        <family val="1"/>
      </rPr>
      <t xml:space="preserve">5 </t>
    </r>
    <r>
      <rPr>
        <b/>
        <sz val="12"/>
        <color rgb="FFFF0000"/>
        <rFont val="Times New Roman"/>
        <family val="1"/>
      </rPr>
      <t>6</t>
    </r>
    <r>
      <rPr>
        <b/>
        <strike/>
        <sz val="12"/>
        <color rgb="FFFF0000"/>
        <rFont val="Times New Roman"/>
        <family val="1"/>
      </rPr>
      <t xml:space="preserve"> </t>
    </r>
    <r>
      <rPr>
        <b/>
        <sz val="12"/>
        <rFont val="Times New Roman"/>
        <family val="1"/>
      </rPr>
      <t>- Cycle x Interest True-Up Adjustment</t>
    </r>
  </si>
  <si>
    <r>
      <t xml:space="preserve">For 12-Month True-Up Period </t>
    </r>
    <r>
      <rPr>
        <b/>
        <sz val="12"/>
        <rFont val="Times New Roman"/>
        <family val="1"/>
      </rPr>
      <t>January 1,</t>
    </r>
    <r>
      <rPr>
        <b/>
        <sz val="12"/>
        <color rgb="FFFF0000"/>
        <rFont val="Times New Roman"/>
        <family val="1"/>
      </rPr>
      <t xml:space="preserve"> xxxx</t>
    </r>
    <r>
      <rPr>
        <b/>
        <sz val="12"/>
        <color theme="1"/>
        <rFont val="Times New Roman"/>
        <family val="1"/>
      </rPr>
      <t xml:space="preserve"> Through </t>
    </r>
    <r>
      <rPr>
        <b/>
        <sz val="12"/>
        <rFont val="Times New Roman"/>
        <family val="1"/>
      </rPr>
      <t>December 31,</t>
    </r>
    <r>
      <rPr>
        <b/>
        <sz val="12"/>
        <color rgb="FFFF0000"/>
        <rFont val="Times New Roman"/>
        <family val="1"/>
      </rPr>
      <t xml:space="preserve"> xxxx</t>
    </r>
  </si>
  <si>
    <t>Transmission Rate Base Excluding ADIT Adjustment</t>
  </si>
  <si>
    <t xml:space="preserve">Transmission Rate Base Excluding ADIT Adjustment </t>
  </si>
  <si>
    <r>
      <t xml:space="preserve">Statement AK; Line </t>
    </r>
    <r>
      <rPr>
        <strike/>
        <sz val="12"/>
        <color rgb="FFFF0000"/>
        <rFont val="Times New Roman"/>
        <family val="1"/>
      </rPr>
      <t>13</t>
    </r>
    <r>
      <rPr>
        <sz val="12"/>
        <color rgb="FFFF0000"/>
        <rFont val="Times New Roman"/>
        <family val="1"/>
      </rPr>
      <t>5</t>
    </r>
  </si>
  <si>
    <r>
      <t xml:space="preserve">Statement AK; Line </t>
    </r>
    <r>
      <rPr>
        <strike/>
        <sz val="12"/>
        <color rgb="FFFF0000"/>
        <rFont val="Times New Roman"/>
        <family val="1"/>
      </rPr>
      <t>20</t>
    </r>
    <r>
      <rPr>
        <sz val="12"/>
        <color rgb="FFFF0000"/>
        <rFont val="Times New Roman"/>
        <family val="1"/>
      </rPr>
      <t>12</t>
    </r>
  </si>
  <si>
    <t xml:space="preserve">Remeasured amount reported in column (a) includes ($X.X) million in state related deferred tax liabilities.  Deficient reserve amount in column (b) and the Grand Total calculated on Order 864-1; Line 32; Col. 12 for federal taxes </t>
  </si>
  <si>
    <t>includes $XM related to Federal Benefit of State Taxes.</t>
  </si>
  <si>
    <t>Remeasured amount reported in column (a) includes ($X) million in state related deferred tax liabilities. Deficient reserve amount in column (b) and the Grand Total calculated on Order 864-3; Line 32; Col. 12 for federal taxes</t>
  </si>
  <si>
    <t xml:space="preserve">includes $X.XM related to Federal Benefit of State Taxes. </t>
  </si>
  <si>
    <t>As of July 1, 2018, SDG&amp;E is no longer assessed property taxes on SONGS.</t>
  </si>
  <si>
    <t>4 2</t>
  </si>
  <si>
    <t>TO5 Offer of Settlement; Section II.A.1.5.1</t>
  </si>
  <si>
    <r>
      <t>24-Month Forecast Period (January 1,</t>
    </r>
    <r>
      <rPr>
        <b/>
        <sz val="12"/>
        <color rgb="FFFF0000"/>
        <rFont val="Times New Roman"/>
        <family val="1"/>
      </rPr>
      <t xml:space="preserve"> xxxx </t>
    </r>
    <r>
      <rPr>
        <b/>
        <sz val="12"/>
        <rFont val="Times New Roman"/>
        <family val="1"/>
      </rPr>
      <t>- December 31,</t>
    </r>
    <r>
      <rPr>
        <b/>
        <sz val="12"/>
        <color rgb="FFFF0000"/>
        <rFont val="Times New Roman"/>
        <family val="1"/>
      </rPr>
      <t xml:space="preserve"> xxxx</t>
    </r>
    <r>
      <rPr>
        <b/>
        <sz val="12"/>
        <rFont val="Times New Roman"/>
        <family val="1"/>
      </rPr>
      <t>)</t>
    </r>
  </si>
  <si>
    <t>The allocated general and common accumulated deferred income taxes are included in the total transmission related accumulated deferred income taxes. See FERC Form 1; Page 274-275; Footnote Data (a) and (b)</t>
  </si>
  <si>
    <t xml:space="preserve">XXXX Form 1; Page 234; Footnote Data (c) </t>
  </si>
  <si>
    <t>XXXX Form 1; Page 276-277; Footnote Data (a)</t>
  </si>
  <si>
    <t>XXXX Form 1; Page 234; Footnote Data (d)</t>
  </si>
  <si>
    <t xml:space="preserve">XXXX Form 1; Page 274-275; Footnote Data (b) </t>
  </si>
  <si>
    <t>XXXX Form 1; Page 276-277; Footnote Data (b)</t>
  </si>
  <si>
    <r>
      <t xml:space="preserve">Statement AH; Line </t>
    </r>
    <r>
      <rPr>
        <strike/>
        <sz val="12"/>
        <color rgb="FFFF0000"/>
        <rFont val="Times New Roman"/>
        <family val="1"/>
      </rPr>
      <t>50</t>
    </r>
    <r>
      <rPr>
        <sz val="12"/>
        <color rgb="FFFF0000"/>
        <rFont val="Times New Roman"/>
        <family val="1"/>
      </rPr>
      <t>38</t>
    </r>
  </si>
  <si>
    <t>Property tax expense excludes Citizens property taxes as shown in FERC Form 1; Page 262-263; Footnote Data (e).</t>
  </si>
  <si>
    <t>Payroll tax expense excludes Citizens payroll taxes as shown in FERC Form 1; Page 262-263; Footnote Data (d).</t>
  </si>
  <si>
    <t>Negative of AH-2; Line 16; Col. B + AH-2; Line 28; Col. A</t>
  </si>
  <si>
    <r>
      <t xml:space="preserve">Statement AH; Line </t>
    </r>
    <r>
      <rPr>
        <strike/>
        <sz val="12"/>
        <color rgb="FFFF0000"/>
        <rFont val="Times New Roman"/>
        <family val="1"/>
      </rPr>
      <t>3120</t>
    </r>
  </si>
  <si>
    <t>Transmission Wages and Plant Blended Allocation Factor</t>
  </si>
  <si>
    <t xml:space="preserve"> ((Line 16 x 0.5) + (Stmt AD; Line 35 x 0.5))</t>
  </si>
  <si>
    <t>Negative of AH-2; Line 6; Col. c</t>
  </si>
  <si>
    <t>Less: Injuries and Damages (Due to different allocation factor)</t>
  </si>
  <si>
    <r>
      <rPr>
        <sz val="12"/>
        <color rgb="FFFF0000"/>
        <rFont val="Times New Roman"/>
        <family val="1"/>
      </rPr>
      <t>Sum Lines 12 thru 14</t>
    </r>
    <r>
      <rPr>
        <sz val="12"/>
        <rFont val="Times New Roman"/>
        <family val="1"/>
      </rPr>
      <t xml:space="preserve"> </t>
    </r>
    <r>
      <rPr>
        <strike/>
        <sz val="12"/>
        <color rgb="FFFF0000"/>
        <rFont val="Times New Roman"/>
        <family val="1"/>
      </rPr>
      <t>Line 25 + Line 26</t>
    </r>
  </si>
  <si>
    <r>
      <t xml:space="preserve">Line </t>
    </r>
    <r>
      <rPr>
        <strike/>
        <sz val="12"/>
        <color rgb="FFFF0000"/>
        <rFont val="Times New Roman"/>
        <family val="1"/>
      </rPr>
      <t>27</t>
    </r>
    <r>
      <rPr>
        <sz val="12"/>
        <color rgb="FFFF0000"/>
        <rFont val="Times New Roman"/>
        <family val="1"/>
      </rPr>
      <t>15</t>
    </r>
    <r>
      <rPr>
        <sz val="12"/>
        <rFont val="Times New Roman"/>
        <family val="1"/>
      </rPr>
      <t xml:space="preserve"> x Line </t>
    </r>
    <r>
      <rPr>
        <strike/>
        <sz val="12"/>
        <color rgb="FFFF0000"/>
        <rFont val="Times New Roman"/>
        <family val="1"/>
      </rPr>
      <t>28</t>
    </r>
    <r>
      <rPr>
        <sz val="12"/>
        <color rgb="FFFF0000"/>
        <rFont val="Times New Roman"/>
        <family val="1"/>
      </rPr>
      <t>16</t>
    </r>
  </si>
  <si>
    <r>
      <t xml:space="preserve">Negative of Line </t>
    </r>
    <r>
      <rPr>
        <strike/>
        <sz val="12"/>
        <color rgb="FFFF0000"/>
        <rFont val="Times New Roman"/>
        <family val="1"/>
      </rPr>
      <t>26</t>
    </r>
    <r>
      <rPr>
        <sz val="12"/>
        <color rgb="FFFF0000"/>
        <rFont val="Times New Roman"/>
        <family val="1"/>
      </rPr>
      <t>13</t>
    </r>
    <r>
      <rPr>
        <sz val="12"/>
        <rFont val="Times New Roman"/>
        <family val="1"/>
      </rPr>
      <t xml:space="preserve"> x Line </t>
    </r>
    <r>
      <rPr>
        <strike/>
        <sz val="12"/>
        <color rgb="FFFF0000"/>
        <rFont val="Times New Roman"/>
        <family val="1"/>
      </rPr>
      <t>50</t>
    </r>
    <r>
      <rPr>
        <sz val="12"/>
        <color rgb="FFFF0000"/>
        <rFont val="Times New Roman"/>
        <family val="1"/>
      </rPr>
      <t>39</t>
    </r>
  </si>
  <si>
    <t xml:space="preserve">Injuries &amp; Damages - Cost Recovery </t>
  </si>
  <si>
    <t>Negative of Line 14 x Line 41</t>
  </si>
  <si>
    <r>
      <rPr>
        <strike/>
        <sz val="12"/>
        <color rgb="FFFF0000"/>
        <rFont val="Times New Roman"/>
        <family val="1"/>
      </rPr>
      <t>Line 29 + Line 30</t>
    </r>
    <r>
      <rPr>
        <sz val="12"/>
        <color rgb="FFFF0000"/>
        <rFont val="Times New Roman"/>
        <family val="1"/>
      </rPr>
      <t xml:space="preserve"> Sum Lines 17 thru 19</t>
    </r>
  </si>
  <si>
    <r>
      <t xml:space="preserve">Sum Lines </t>
    </r>
    <r>
      <rPr>
        <strike/>
        <sz val="12"/>
        <color rgb="FFFF0000"/>
        <rFont val="Times New Roman"/>
        <family val="1"/>
      </rPr>
      <t>34</t>
    </r>
    <r>
      <rPr>
        <sz val="12"/>
        <color rgb="FFFF0000"/>
        <rFont val="Times New Roman"/>
        <family val="1"/>
      </rPr>
      <t>23</t>
    </r>
    <r>
      <rPr>
        <sz val="12"/>
        <rFont val="Times New Roman"/>
        <family val="1"/>
      </rPr>
      <t xml:space="preserve"> thru </t>
    </r>
    <r>
      <rPr>
        <strike/>
        <sz val="12"/>
        <color rgb="FFFF0000"/>
        <rFont val="Times New Roman"/>
        <family val="1"/>
      </rPr>
      <t>37</t>
    </r>
    <r>
      <rPr>
        <sz val="12"/>
        <color rgb="FFFF0000"/>
        <rFont val="Times New Roman"/>
        <family val="1"/>
      </rPr>
      <t>26</t>
    </r>
  </si>
  <si>
    <r>
      <t xml:space="preserve">Line </t>
    </r>
    <r>
      <rPr>
        <strike/>
        <sz val="12"/>
        <color rgb="FFFF0000"/>
        <rFont val="Times New Roman"/>
        <family val="1"/>
      </rPr>
      <t>34</t>
    </r>
    <r>
      <rPr>
        <sz val="12"/>
        <color rgb="FFFF0000"/>
        <rFont val="Times New Roman"/>
        <family val="1"/>
      </rPr>
      <t>23</t>
    </r>
    <r>
      <rPr>
        <sz val="12"/>
        <rFont val="Times New Roman"/>
        <family val="1"/>
      </rPr>
      <t xml:space="preserve"> Above</t>
    </r>
  </si>
  <si>
    <r>
      <t xml:space="preserve">Sum Lines </t>
    </r>
    <r>
      <rPr>
        <strike/>
        <sz val="12"/>
        <color rgb="FFFF0000"/>
        <rFont val="Times New Roman"/>
        <family val="1"/>
      </rPr>
      <t>40</t>
    </r>
    <r>
      <rPr>
        <sz val="12"/>
        <color rgb="FFFF0000"/>
        <rFont val="Times New Roman"/>
        <family val="1"/>
      </rPr>
      <t>29</t>
    </r>
    <r>
      <rPr>
        <sz val="12"/>
        <rFont val="Times New Roman"/>
        <family val="1"/>
      </rPr>
      <t xml:space="preserve"> thru </t>
    </r>
    <r>
      <rPr>
        <strike/>
        <sz val="12"/>
        <color rgb="FFFF0000"/>
        <rFont val="Times New Roman"/>
        <family val="1"/>
      </rPr>
      <t>47</t>
    </r>
    <r>
      <rPr>
        <sz val="12"/>
        <color rgb="FFFF0000"/>
        <rFont val="Times New Roman"/>
        <family val="1"/>
      </rPr>
      <t>36</t>
    </r>
  </si>
  <si>
    <r>
      <t xml:space="preserve">Line </t>
    </r>
    <r>
      <rPr>
        <strike/>
        <sz val="12"/>
        <color rgb="FFFF0000"/>
        <rFont val="Times New Roman"/>
        <family val="1"/>
      </rPr>
      <t>38</t>
    </r>
    <r>
      <rPr>
        <sz val="12"/>
        <color rgb="FFFF0000"/>
        <rFont val="Times New Roman"/>
        <family val="1"/>
      </rPr>
      <t>27</t>
    </r>
    <r>
      <rPr>
        <sz val="12"/>
        <rFont val="Times New Roman"/>
        <family val="1"/>
      </rPr>
      <t xml:space="preserve"> / Line </t>
    </r>
    <r>
      <rPr>
        <strike/>
        <sz val="12"/>
        <color rgb="FFFF0000"/>
        <rFont val="Times New Roman"/>
        <family val="1"/>
      </rPr>
      <t>48</t>
    </r>
    <r>
      <rPr>
        <sz val="12"/>
        <color rgb="FFFF0000"/>
        <rFont val="Times New Roman"/>
        <family val="1"/>
      </rPr>
      <t>37</t>
    </r>
  </si>
  <si>
    <t>State Wildfire Fund Total Contributions (after-tax)</t>
  </si>
  <si>
    <t>2007 WEMA Write-off (after-tax)</t>
  </si>
  <si>
    <r>
      <t xml:space="preserve">Sum Lines 25 thru </t>
    </r>
    <r>
      <rPr>
        <strike/>
        <sz val="12"/>
        <color rgb="FFFF0000"/>
        <rFont val="Times New Roman"/>
        <family val="1"/>
      </rPr>
      <t>28</t>
    </r>
    <r>
      <rPr>
        <sz val="12"/>
        <color rgb="FFFF0000"/>
        <rFont val="Times New Roman"/>
        <family val="1"/>
      </rPr>
      <t>30</t>
    </r>
  </si>
  <si>
    <r>
      <t xml:space="preserve">Col. c = Line </t>
    </r>
    <r>
      <rPr>
        <strike/>
        <sz val="12"/>
        <color rgb="FFFF0000"/>
        <rFont val="Times New Roman"/>
        <family val="1"/>
      </rPr>
      <t>32</t>
    </r>
    <r>
      <rPr>
        <sz val="12"/>
        <color rgb="FFFF0000"/>
        <rFont val="Times New Roman"/>
        <family val="1"/>
      </rPr>
      <t>34</t>
    </r>
    <r>
      <rPr>
        <sz val="12"/>
        <rFont val="Times New Roman"/>
        <family val="1"/>
      </rPr>
      <t xml:space="preserve"> Above</t>
    </r>
  </si>
  <si>
    <r>
      <t xml:space="preserve">Sum Lines </t>
    </r>
    <r>
      <rPr>
        <strike/>
        <sz val="12"/>
        <color rgb="FFFF0000"/>
        <rFont val="Times New Roman"/>
        <family val="1"/>
      </rPr>
      <t>37</t>
    </r>
    <r>
      <rPr>
        <sz val="12"/>
        <color rgb="FFFF0000"/>
        <rFont val="Times New Roman"/>
        <family val="1"/>
      </rPr>
      <t>39</t>
    </r>
    <r>
      <rPr>
        <sz val="12"/>
        <rFont val="Times New Roman"/>
        <family val="1"/>
      </rPr>
      <t xml:space="preserve"> thru </t>
    </r>
    <r>
      <rPr>
        <strike/>
        <sz val="12"/>
        <color rgb="FFFF0000"/>
        <rFont val="Times New Roman"/>
        <family val="1"/>
      </rPr>
      <t>39</t>
    </r>
    <r>
      <rPr>
        <sz val="12"/>
        <color rgb="FFFF0000"/>
        <rFont val="Times New Roman"/>
        <family val="1"/>
      </rPr>
      <t>41</t>
    </r>
  </si>
  <si>
    <r>
      <t xml:space="preserve">Line </t>
    </r>
    <r>
      <rPr>
        <strike/>
        <sz val="12"/>
        <color rgb="FFFF0000"/>
        <rFont val="Times New Roman"/>
        <family val="1"/>
      </rPr>
      <t>38</t>
    </r>
    <r>
      <rPr>
        <sz val="12"/>
        <color rgb="FFFF0000"/>
        <rFont val="Times New Roman"/>
        <family val="1"/>
      </rPr>
      <t>40</t>
    </r>
    <r>
      <rPr>
        <sz val="12"/>
        <rFont val="Times New Roman"/>
        <family val="1"/>
      </rPr>
      <t xml:space="preserve"> + Line </t>
    </r>
    <r>
      <rPr>
        <strike/>
        <sz val="12"/>
        <color rgb="FFFF0000"/>
        <rFont val="Times New Roman"/>
        <family val="1"/>
      </rPr>
      <t>39</t>
    </r>
    <r>
      <rPr>
        <sz val="12"/>
        <color rgb="FFFF0000"/>
        <rFont val="Times New Roman"/>
        <family val="1"/>
      </rPr>
      <t>41</t>
    </r>
    <r>
      <rPr>
        <sz val="12"/>
        <rFont val="Times New Roman"/>
        <family val="1"/>
      </rPr>
      <t>; Col. d</t>
    </r>
  </si>
  <si>
    <r>
      <t xml:space="preserve">Col. c = Line </t>
    </r>
    <r>
      <rPr>
        <strike/>
        <sz val="12"/>
        <color rgb="FFFF0000"/>
        <rFont val="Times New Roman"/>
        <family val="1"/>
      </rPr>
      <t>45</t>
    </r>
    <r>
      <rPr>
        <sz val="12"/>
        <color rgb="FFFF0000"/>
        <rFont val="Times New Roman"/>
        <family val="1"/>
      </rPr>
      <t>47</t>
    </r>
    <r>
      <rPr>
        <sz val="12"/>
        <rFont val="Times New Roman"/>
        <family val="1"/>
      </rPr>
      <t xml:space="preserve"> Above</t>
    </r>
  </si>
  <si>
    <r>
      <t xml:space="preserve">Sum Lines </t>
    </r>
    <r>
      <rPr>
        <strike/>
        <sz val="12"/>
        <color rgb="FFFF0000"/>
        <rFont val="Times New Roman"/>
        <family val="1"/>
      </rPr>
      <t>50</t>
    </r>
    <r>
      <rPr>
        <sz val="12"/>
        <rFont val="Times New Roman"/>
        <family val="1"/>
      </rPr>
      <t xml:space="preserve"> </t>
    </r>
    <r>
      <rPr>
        <sz val="12"/>
        <color rgb="FFFF0000"/>
        <rFont val="Times New Roman"/>
        <family val="1"/>
      </rPr>
      <t>52</t>
    </r>
    <r>
      <rPr>
        <sz val="12"/>
        <rFont val="Times New Roman"/>
        <family val="1"/>
      </rPr>
      <t xml:space="preserve"> thru </t>
    </r>
    <r>
      <rPr>
        <strike/>
        <sz val="12"/>
        <color rgb="FFFF0000"/>
        <rFont val="Times New Roman"/>
        <family val="1"/>
      </rPr>
      <t>52</t>
    </r>
    <r>
      <rPr>
        <sz val="12"/>
        <color rgb="FFFF0000"/>
        <rFont val="Times New Roman"/>
        <family val="1"/>
      </rPr>
      <t xml:space="preserve"> 54</t>
    </r>
  </si>
  <si>
    <r>
      <t xml:space="preserve">Line </t>
    </r>
    <r>
      <rPr>
        <strike/>
        <sz val="12"/>
        <color rgb="FFFF0000"/>
        <rFont val="Times New Roman"/>
        <family val="1"/>
      </rPr>
      <t xml:space="preserve">52 </t>
    </r>
    <r>
      <rPr>
        <sz val="12"/>
        <color rgb="FFFF0000"/>
        <rFont val="Times New Roman"/>
        <family val="1"/>
      </rPr>
      <t>54</t>
    </r>
    <r>
      <rPr>
        <sz val="12"/>
        <rFont val="Times New Roman"/>
        <family val="1"/>
      </rPr>
      <t>; Col. d</t>
    </r>
  </si>
  <si>
    <r>
      <t xml:space="preserve">Page 1; Line </t>
    </r>
    <r>
      <rPr>
        <strike/>
        <sz val="12"/>
        <color rgb="FFFF0000"/>
        <rFont val="Times New Roman"/>
        <family val="1"/>
      </rPr>
      <t>42</t>
    </r>
    <r>
      <rPr>
        <sz val="12"/>
        <color rgb="FFFF0000"/>
        <rFont val="Times New Roman"/>
        <family val="1"/>
      </rPr>
      <t>44</t>
    </r>
  </si>
  <si>
    <r>
      <t>Page 1;</t>
    </r>
    <r>
      <rPr>
        <sz val="12"/>
        <color rgb="FFFF0000"/>
        <rFont val="Times New Roman"/>
        <family val="1"/>
      </rPr>
      <t xml:space="preserve"> </t>
    </r>
    <r>
      <rPr>
        <sz val="12"/>
        <rFont val="Times New Roman"/>
        <family val="1"/>
      </rPr>
      <t xml:space="preserve">Line </t>
    </r>
    <r>
      <rPr>
        <strike/>
        <sz val="12"/>
        <color rgb="FFFF0000"/>
        <rFont val="Times New Roman"/>
        <family val="1"/>
      </rPr>
      <t>40</t>
    </r>
    <r>
      <rPr>
        <sz val="12"/>
        <color rgb="FFFF0000"/>
        <rFont val="Times New Roman"/>
        <family val="1"/>
      </rPr>
      <t>42; Col. d</t>
    </r>
  </si>
  <si>
    <r>
      <t xml:space="preserve">Page 1; Line </t>
    </r>
    <r>
      <rPr>
        <strike/>
        <sz val="12"/>
        <color rgb="FFFF0000"/>
        <rFont val="Times New Roman"/>
        <family val="1"/>
      </rPr>
      <t>55</t>
    </r>
    <r>
      <rPr>
        <sz val="12"/>
        <color rgb="FFFF0000"/>
        <rFont val="Times New Roman"/>
        <family val="1"/>
      </rPr>
      <t>57</t>
    </r>
  </si>
  <si>
    <r>
      <t xml:space="preserve">Page 1; Line </t>
    </r>
    <r>
      <rPr>
        <strike/>
        <sz val="12"/>
        <color rgb="FFFF0000"/>
        <rFont val="Times New Roman"/>
        <family val="1"/>
      </rPr>
      <t>53</t>
    </r>
    <r>
      <rPr>
        <sz val="12"/>
        <color rgb="FFFF0000"/>
        <rFont val="Times New Roman"/>
        <family val="1"/>
      </rPr>
      <t>55</t>
    </r>
    <r>
      <rPr>
        <sz val="12"/>
        <rFont val="Times New Roman"/>
        <family val="1"/>
      </rPr>
      <t>;</t>
    </r>
    <r>
      <rPr>
        <sz val="12"/>
        <color rgb="FFFF0000"/>
        <rFont val="Times New Roman"/>
        <family val="1"/>
      </rPr>
      <t xml:space="preserve"> Col. d</t>
    </r>
  </si>
  <si>
    <t>Less: Electric Power Research Institute (EPRI) Dues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</si>
</sst>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0.000%"/>
    <numFmt numFmtId="169" formatCode="_(* #,##0.000_);_(* \(#,##0.000\);_(* &quot;-&quot;??_);_(@_)"/>
    <numFmt numFmtId="170" formatCode="#,##0.0_);\(#,##0.0\)"/>
    <numFmt numFmtId="171" formatCode="_(* #,##0.0000_);_(* \(#,##0.0000\);_(* &quot;-&quot;??_);_(@_)"/>
    <numFmt numFmtId="172" formatCode="0.0000"/>
    <numFmt numFmtId="173" formatCode="0.000000"/>
    <numFmt numFmtId="174" formatCode="0_);\(0\)"/>
    <numFmt numFmtId="175" formatCode="&quot;$&quot;#,##0"/>
    <numFmt numFmtId="176" formatCode="0.0%"/>
    <numFmt numFmtId="177" formatCode="&quot;$&quot;#,##0,_);[Red]\(&quot;$&quot;#,##0,\)"/>
    <numFmt numFmtId="178" formatCode="_(&quot;$&quot;* #,##0,_);_(&quot;$&quot;* \(#,##0,\);_(&quot;$&quot;* &quot;-&quot;??_);_(@_)"/>
    <numFmt numFmtId="179" formatCode="_(&quot;$&quot;* #,##0.0000000_);_(&quot;$&quot;* \(#,##0.0000000\);_(&quot;$&quot;* &quot;-&quot;??_);_(@_)"/>
    <numFmt numFmtId="180" formatCode="_(&quot;$&quot;* #,##0.00000_);_(&quot;$&quot;* \(#,##0.00000\);_(&quot;$&quot;* &quot;-&quot;??_);_(@_)"/>
    <numFmt numFmtId="181" formatCode="0.000000000%"/>
    <numFmt numFmtId="182" formatCode="&quot;$&quot;#,##0.00"/>
    <numFmt numFmtId="183" formatCode="0.00000000000000000%"/>
    <numFmt numFmtId="184" formatCode="0.00000%"/>
    <numFmt numFmtId="185" formatCode="0.000"/>
  </numFmts>
  <fonts count="66" x14ac:knownFonts="1">
    <font>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vertAlign val="superscript"/>
      <sz val="12"/>
      <name val="Times New Roman"/>
      <family val="1"/>
    </font>
    <font>
      <sz val="10"/>
      <name val="Times New Roman"/>
      <family val="1"/>
    </font>
    <font>
      <sz val="12"/>
      <color indexed="10"/>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sz val="11"/>
      <color theme="1"/>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
      <b/>
      <strike/>
      <sz val="12"/>
      <name val="Times New Roman"/>
      <family val="1"/>
    </font>
    <font>
      <b/>
      <strike/>
      <sz val="12"/>
      <color rgb="FFFF0000"/>
      <name val="Times New Roman"/>
      <family val="1"/>
    </font>
    <font>
      <vertAlign val="subscript"/>
      <sz val="12"/>
      <color rgb="FFFF0000"/>
      <name val="Times New Roman"/>
      <family val="1"/>
    </font>
    <font>
      <b/>
      <strike/>
      <vertAlign val="superscript"/>
      <sz val="12"/>
      <color rgb="FFFF0000"/>
      <name val="Times New Roman"/>
      <family val="1"/>
    </font>
    <font>
      <strike/>
      <u/>
      <sz val="12"/>
      <color rgb="FFFF0000"/>
      <name val="Times New Roman"/>
      <family val="1"/>
    </font>
    <font>
      <b/>
      <strike/>
      <u/>
      <sz val="12"/>
      <color rgb="FFFF0000"/>
      <name val="Times New Roman"/>
      <family val="1"/>
    </font>
    <font>
      <b/>
      <vertAlign val="superscript"/>
      <sz val="12"/>
      <color rgb="FFFF0000"/>
      <name val="Times New Roman"/>
      <family val="1"/>
    </font>
    <font>
      <b/>
      <u/>
      <sz val="12"/>
      <color rgb="FFFF0000"/>
      <name val="Times New Roman"/>
      <family val="1"/>
    </font>
    <font>
      <vertAlign val="superscript"/>
      <sz val="12"/>
      <color rgb="FFFF0000"/>
      <name val="Times New Roman"/>
      <family val="1"/>
    </font>
    <font>
      <b/>
      <sz val="10"/>
      <color rgb="FFFF0000"/>
      <name val="Times New Roman"/>
      <family val="1"/>
    </font>
    <font>
      <strike/>
      <u/>
      <sz val="12"/>
      <name val="Times New Roman"/>
      <family val="1"/>
    </font>
    <font>
      <b/>
      <u/>
      <vertAlign val="superscript"/>
      <sz val="12"/>
      <color rgb="FFFF0000"/>
      <name val="Times New Roman"/>
      <family val="1"/>
    </font>
    <font>
      <b/>
      <strike/>
      <u/>
      <vertAlign val="superscript"/>
      <sz val="12"/>
      <color rgb="FFFF0000"/>
      <name val="Times New Roman"/>
      <family val="1"/>
    </font>
    <font>
      <sz val="10"/>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29">
    <border>
      <left/>
      <right/>
      <top/>
      <bottom/>
      <diagonal/>
    </border>
    <border>
      <left/>
      <right/>
      <top/>
      <bottom style="thin">
        <color auto="1"/>
      </bottom>
      <diagonal/>
    </border>
    <border>
      <left/>
      <right/>
      <top/>
      <bottom style="double">
        <color auto="1"/>
      </bottom>
      <diagonal/>
    </border>
    <border>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right/>
      <top/>
      <bottom style="medium">
        <color auto="1"/>
      </bottom>
      <diagonal/>
    </border>
    <border>
      <left/>
      <right/>
      <top style="thin">
        <color auto="1"/>
      </top>
      <bottom style="double">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bottom style="medium">
        <color auto="1"/>
      </bottom>
      <diagonal/>
    </border>
    <border>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7">
    <xf numFmtId="0" fontId="0" fillId="0" borderId="0"/>
    <xf numFmtId="43" fontId="50" fillId="0" borderId="0" applyFont="0" applyFill="0" applyBorder="0" applyAlignment="0" applyProtection="0"/>
    <xf numFmtId="0" fontId="51" fillId="0" borderId="0"/>
    <xf numFmtId="44" fontId="50" fillId="0" borderId="0" applyFont="0" applyFill="0" applyBorder="0" applyAlignment="0" applyProtection="0"/>
    <xf numFmtId="9" fontId="50" fillId="0" borderId="0" applyFont="0" applyFill="0" applyBorder="0" applyAlignment="0" applyProtection="0"/>
    <xf numFmtId="0" fontId="51" fillId="0" borderId="0"/>
    <xf numFmtId="0" fontId="51" fillId="0" borderId="0"/>
  </cellStyleXfs>
  <cellXfs count="605">
    <xf numFmtId="0" fontId="0" fillId="0" borderId="0" xfId="0"/>
    <xf numFmtId="0" fontId="2"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166" fontId="1" fillId="0" borderId="0" xfId="0" applyNumberFormat="1" applyFont="1" applyAlignment="1">
      <alignment vertical="center"/>
    </xf>
    <xf numFmtId="165" fontId="1" fillId="2" borderId="0" xfId="0" applyNumberFormat="1" applyFont="1" applyFill="1" applyAlignment="1">
      <alignment horizontal="right" vertical="center"/>
    </xf>
    <xf numFmtId="166" fontId="1" fillId="0" borderId="0" xfId="0" applyNumberFormat="1" applyFont="1" applyAlignment="1">
      <alignment horizontal="right" vertical="center"/>
    </xf>
    <xf numFmtId="166" fontId="1" fillId="2" borderId="0" xfId="0" applyNumberFormat="1" applyFont="1" applyFill="1" applyAlignment="1">
      <alignment horizontal="right" vertical="center"/>
    </xf>
    <xf numFmtId="166" fontId="1" fillId="2" borderId="1" xfId="0" applyNumberFormat="1" applyFont="1" applyFill="1" applyBorder="1" applyAlignment="1">
      <alignment horizontal="right" vertical="center"/>
    </xf>
    <xf numFmtId="165" fontId="1" fillId="0" borderId="0" xfId="0" applyNumberFormat="1" applyFont="1" applyAlignment="1">
      <alignment horizontal="right" vertical="center"/>
    </xf>
    <xf numFmtId="166" fontId="1" fillId="0" borderId="0" xfId="0" applyNumberFormat="1" applyFont="1" applyAlignment="1">
      <alignment horizontal="center" vertical="center"/>
    </xf>
    <xf numFmtId="166" fontId="1" fillId="2" borderId="0" xfId="0" applyNumberFormat="1" applyFont="1" applyFill="1" applyAlignment="1">
      <alignment vertical="center"/>
    </xf>
    <xf numFmtId="6" fontId="1" fillId="0" borderId="0" xfId="0" applyNumberFormat="1" applyFont="1" applyAlignment="1">
      <alignment horizontal="right" vertical="center"/>
    </xf>
    <xf numFmtId="165" fontId="1" fillId="2" borderId="1" xfId="0" applyNumberFormat="1" applyFont="1" applyFill="1" applyBorder="1" applyAlignment="1">
      <alignment horizontal="right" vertical="center"/>
    </xf>
    <xf numFmtId="165" fontId="1" fillId="0" borderId="3" xfId="0" applyNumberFormat="1" applyFont="1" applyBorder="1" applyAlignment="1">
      <alignment horizontal="right" vertical="center"/>
    </xf>
    <xf numFmtId="165" fontId="1" fillId="0" borderId="2" xfId="0" quotePrefix="1" applyNumberFormat="1" applyFont="1" applyBorder="1" applyAlignment="1">
      <alignment horizontal="right" vertical="center"/>
    </xf>
    <xf numFmtId="165" fontId="1" fillId="0" borderId="0" xfId="0" quotePrefix="1" applyNumberFormat="1" applyFont="1" applyAlignment="1">
      <alignment horizontal="right" vertical="center"/>
    </xf>
    <xf numFmtId="165" fontId="1" fillId="2" borderId="0" xfId="0" quotePrefix="1" applyNumberFormat="1" applyFont="1" applyFill="1" applyAlignment="1">
      <alignment horizontal="right" vertical="center"/>
    </xf>
    <xf numFmtId="165" fontId="1" fillId="0" borderId="10" xfId="0" applyNumberFormat="1" applyFont="1" applyBorder="1" applyAlignment="1">
      <alignment horizontal="right" vertical="center"/>
    </xf>
    <xf numFmtId="43" fontId="1" fillId="0" borderId="0" xfId="0" applyNumberFormat="1" applyFont="1" applyAlignment="1">
      <alignment horizontal="right" vertical="center"/>
    </xf>
    <xf numFmtId="167" fontId="1" fillId="2" borderId="1" xfId="0" applyNumberFormat="1" applyFont="1" applyFill="1" applyBorder="1" applyAlignment="1">
      <alignment horizontal="right" vertical="center"/>
    </xf>
    <xf numFmtId="167" fontId="1" fillId="2" borderId="0" xfId="0" quotePrefix="1" applyNumberFormat="1" applyFont="1" applyFill="1" applyAlignment="1">
      <alignment horizontal="right" vertical="center"/>
    </xf>
    <xf numFmtId="165" fontId="2" fillId="0" borderId="0" xfId="0" quotePrefix="1" applyNumberFormat="1" applyFont="1" applyAlignment="1">
      <alignment horizontal="right" vertical="center"/>
    </xf>
    <xf numFmtId="165" fontId="1" fillId="2" borderId="0" xfId="0" applyNumberFormat="1" applyFont="1" applyFill="1" applyAlignment="1" applyProtection="1">
      <alignment horizontal="right" vertical="center"/>
      <protection locked="0"/>
    </xf>
    <xf numFmtId="166" fontId="1" fillId="2" borderId="0" xfId="0" applyNumberFormat="1" applyFont="1" applyFill="1" applyAlignment="1" applyProtection="1">
      <alignment horizontal="right" vertical="center"/>
      <protection locked="0"/>
    </xf>
    <xf numFmtId="166" fontId="1" fillId="2" borderId="1" xfId="0" applyNumberFormat="1" applyFont="1" applyFill="1" applyBorder="1" applyAlignment="1" applyProtection="1">
      <alignment horizontal="right" vertical="center"/>
      <protection locked="0"/>
    </xf>
    <xf numFmtId="165" fontId="1" fillId="2" borderId="0" xfId="0" applyNumberFormat="1" applyFont="1" applyFill="1" applyAlignment="1">
      <alignment horizontal="center" vertical="center"/>
    </xf>
    <xf numFmtId="166" fontId="1" fillId="2" borderId="0" xfId="0" applyNumberFormat="1" applyFont="1" applyFill="1" applyAlignment="1">
      <alignment horizontal="center" vertical="center"/>
    </xf>
    <xf numFmtId="165" fontId="1" fillId="0" borderId="2" xfId="0" applyNumberFormat="1" applyFont="1" applyBorder="1" applyAlignment="1">
      <alignment horizontal="right" vertical="center"/>
    </xf>
    <xf numFmtId="170" fontId="1" fillId="0" borderId="0" xfId="0" applyNumberFormat="1" applyFont="1" applyAlignment="1">
      <alignment horizontal="center" vertical="center"/>
    </xf>
    <xf numFmtId="165" fontId="1" fillId="0" borderId="8" xfId="0" applyNumberFormat="1" applyFont="1" applyBorder="1" applyAlignment="1">
      <alignment horizontal="right" vertical="center"/>
    </xf>
    <xf numFmtId="166" fontId="1" fillId="0" borderId="1" xfId="0" applyNumberFormat="1" applyFont="1" applyBorder="1" applyAlignment="1">
      <alignment horizontal="right" vertical="center"/>
    </xf>
    <xf numFmtId="167" fontId="1" fillId="0" borderId="0" xfId="0" applyNumberFormat="1" applyFont="1" applyAlignment="1">
      <alignment horizontal="right" vertical="center"/>
    </xf>
    <xf numFmtId="10" fontId="1" fillId="0" borderId="0" xfId="0" applyNumberFormat="1" applyFont="1" applyAlignment="1">
      <alignment horizontal="right" vertical="center"/>
    </xf>
    <xf numFmtId="0" fontId="1" fillId="0" borderId="0" xfId="0" applyFont="1" applyAlignment="1">
      <alignment horizontal="right" vertical="center"/>
    </xf>
    <xf numFmtId="166" fontId="1" fillId="2" borderId="16" xfId="0" applyNumberFormat="1" applyFont="1" applyFill="1" applyBorder="1" applyAlignment="1">
      <alignment horizontal="right" vertical="center"/>
    </xf>
    <xf numFmtId="6" fontId="2" fillId="0" borderId="0" xfId="0" applyNumberFormat="1" applyFont="1" applyAlignment="1">
      <alignment vertical="center"/>
    </xf>
    <xf numFmtId="167" fontId="1" fillId="3" borderId="0" xfId="0" applyNumberFormat="1" applyFont="1" applyFill="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7" fillId="0" borderId="0" xfId="0" applyFont="1" applyAlignment="1">
      <alignment vertical="center"/>
    </xf>
    <xf numFmtId="0" fontId="1" fillId="0" borderId="0" xfId="0" quotePrefix="1" applyFont="1" applyAlignment="1">
      <alignment horizontal="center" vertical="center"/>
    </xf>
    <xf numFmtId="0" fontId="1" fillId="0" borderId="1" xfId="0" applyFont="1" applyBorder="1" applyAlignment="1">
      <alignment horizontal="center" vertical="center"/>
    </xf>
    <xf numFmtId="165" fontId="1" fillId="0" borderId="0" xfId="0" applyNumberFormat="1" applyFont="1" applyAlignment="1">
      <alignment vertical="center"/>
    </xf>
    <xf numFmtId="165" fontId="1" fillId="2" borderId="3" xfId="0" applyNumberFormat="1" applyFont="1" applyFill="1" applyBorder="1" applyAlignment="1">
      <alignment horizontal="right" vertical="center"/>
    </xf>
    <xf numFmtId="0" fontId="0" fillId="0" borderId="0" xfId="0" applyAlignment="1">
      <alignment vertical="center"/>
    </xf>
    <xf numFmtId="166" fontId="1" fillId="0" borderId="16" xfId="0" applyNumberFormat="1" applyFont="1" applyBorder="1" applyAlignment="1">
      <alignment horizontal="right" vertical="center"/>
    </xf>
    <xf numFmtId="165" fontId="1" fillId="0" borderId="2" xfId="0" applyNumberFormat="1" applyFont="1" applyBorder="1" applyAlignment="1">
      <alignment vertical="center"/>
    </xf>
    <xf numFmtId="166" fontId="1" fillId="0" borderId="0" xfId="0" applyNumberFormat="1" applyFont="1" applyAlignment="1" applyProtection="1">
      <alignment vertical="center"/>
      <protection locked="0"/>
    </xf>
    <xf numFmtId="166" fontId="1" fillId="0" borderId="0" xfId="0" applyNumberFormat="1" applyFont="1" applyAlignment="1" applyProtection="1">
      <alignment horizontal="center" vertical="center"/>
      <protection locked="0"/>
    </xf>
    <xf numFmtId="165" fontId="1" fillId="3" borderId="0" xfId="0" applyNumberFormat="1" applyFont="1" applyFill="1" applyAlignment="1" applyProtection="1">
      <alignment vertical="center"/>
      <protection locked="0"/>
    </xf>
    <xf numFmtId="5" fontId="1" fillId="0" borderId="0" xfId="0" applyNumberFormat="1" applyFont="1" applyAlignment="1" applyProtection="1">
      <alignment horizontal="center" vertical="center"/>
      <protection locked="0"/>
    </xf>
    <xf numFmtId="166" fontId="1" fillId="3" borderId="0" xfId="0" applyNumberFormat="1" applyFont="1" applyFill="1" applyAlignment="1" applyProtection="1">
      <alignment vertical="center"/>
      <protection locked="0"/>
    </xf>
    <xf numFmtId="165" fontId="2" fillId="0" borderId="0" xfId="0" applyNumberFormat="1" applyFont="1" applyAlignment="1">
      <alignment vertical="center"/>
    </xf>
    <xf numFmtId="166" fontId="1" fillId="0" borderId="1" xfId="0" applyNumberFormat="1" applyFont="1" applyBorder="1" applyAlignment="1" applyProtection="1">
      <alignment vertical="center"/>
      <protection locked="0"/>
    </xf>
    <xf numFmtId="165" fontId="1" fillId="0" borderId="0" xfId="0" applyNumberFormat="1" applyFont="1" applyAlignment="1">
      <alignment horizontal="center" vertical="center"/>
    </xf>
    <xf numFmtId="5" fontId="1" fillId="0" borderId="0" xfId="0" applyNumberFormat="1" applyFont="1" applyAlignment="1">
      <alignment vertical="center"/>
    </xf>
    <xf numFmtId="5" fontId="1" fillId="0" borderId="0" xfId="0" applyNumberFormat="1" applyFont="1" applyAlignment="1">
      <alignment horizontal="center" vertical="center"/>
    </xf>
    <xf numFmtId="10" fontId="1" fillId="0" borderId="0" xfId="0" applyNumberFormat="1" applyFont="1" applyAlignment="1">
      <alignment vertical="center"/>
    </xf>
    <xf numFmtId="10" fontId="1" fillId="2" borderId="1" xfId="0" applyNumberFormat="1" applyFont="1" applyFill="1" applyBorder="1" applyAlignment="1">
      <alignment horizontal="right" vertical="center"/>
    </xf>
    <xf numFmtId="165" fontId="1" fillId="0" borderId="0" xfId="0" applyNumberFormat="1" applyFont="1" applyAlignment="1" applyProtection="1">
      <alignment vertical="center"/>
      <protection locked="0"/>
    </xf>
    <xf numFmtId="5" fontId="1" fillId="0" borderId="0" xfId="0" applyNumberFormat="1" applyFont="1" applyAlignment="1">
      <alignment horizontal="right" vertical="center"/>
    </xf>
    <xf numFmtId="10" fontId="1" fillId="0" borderId="0" xfId="0" applyNumberFormat="1" applyFont="1" applyAlignment="1">
      <alignment horizontal="center" vertical="center"/>
    </xf>
    <xf numFmtId="10" fontId="1" fillId="0" borderId="2" xfId="0" applyNumberFormat="1" applyFont="1" applyBorder="1" applyAlignment="1">
      <alignment horizontal="right" vertical="center"/>
    </xf>
    <xf numFmtId="165" fontId="1" fillId="0" borderId="6" xfId="0" applyNumberFormat="1" applyFont="1" applyBorder="1" applyAlignment="1">
      <alignment vertical="center"/>
    </xf>
    <xf numFmtId="166" fontId="1" fillId="0" borderId="6" xfId="0" applyNumberFormat="1" applyFont="1" applyBorder="1" applyAlignment="1">
      <alignment vertical="center"/>
    </xf>
    <xf numFmtId="165" fontId="1" fillId="0" borderId="7" xfId="0" applyNumberFormat="1" applyFont="1" applyBorder="1" applyAlignment="1">
      <alignment vertical="center"/>
    </xf>
    <xf numFmtId="166" fontId="1" fillId="0" borderId="7" xfId="0" applyNumberFormat="1" applyFont="1" applyBorder="1" applyAlignment="1">
      <alignment vertical="center"/>
    </xf>
    <xf numFmtId="0" fontId="1" fillId="0" borderId="7" xfId="0" applyFont="1" applyBorder="1" applyAlignment="1">
      <alignment vertical="center"/>
    </xf>
    <xf numFmtId="165" fontId="1" fillId="0" borderId="0" xfId="0" applyNumberFormat="1" applyFont="1" applyAlignment="1" applyProtection="1">
      <alignment horizontal="center" vertical="center"/>
      <protection locked="0"/>
    </xf>
    <xf numFmtId="5" fontId="1" fillId="0" borderId="0" xfId="0" applyNumberFormat="1" applyFont="1" applyAlignment="1" applyProtection="1">
      <alignment vertical="center"/>
      <protection locked="0"/>
    </xf>
    <xf numFmtId="5" fontId="2" fillId="0" borderId="0" xfId="0" applyNumberFormat="1" applyFont="1" applyAlignment="1" applyProtection="1">
      <alignment horizontal="center" vertical="center"/>
      <protection locked="0"/>
    </xf>
    <xf numFmtId="10" fontId="1" fillId="0" borderId="0" xfId="0" applyNumberFormat="1" applyFont="1" applyAlignment="1" applyProtection="1">
      <alignment vertical="center"/>
      <protection locked="0"/>
    </xf>
    <xf numFmtId="10" fontId="1" fillId="0" borderId="0" xfId="0" applyNumberFormat="1" applyFont="1" applyAlignment="1" applyProtection="1">
      <alignment horizontal="center" vertical="center"/>
      <protection locked="0"/>
    </xf>
    <xf numFmtId="10" fontId="1" fillId="2" borderId="1" xfId="0" applyNumberFormat="1" applyFont="1" applyFill="1" applyBorder="1" applyAlignment="1" applyProtection="1">
      <alignment horizontal="right" vertical="center"/>
      <protection locked="0"/>
    </xf>
    <xf numFmtId="5" fontId="1" fillId="0" borderId="0" xfId="0" applyNumberFormat="1" applyFont="1" applyAlignment="1" applyProtection="1">
      <alignment horizontal="right" vertical="center"/>
      <protection locked="0"/>
    </xf>
    <xf numFmtId="165" fontId="1" fillId="0" borderId="0" xfId="0" applyNumberFormat="1" applyFont="1" applyAlignment="1" applyProtection="1">
      <alignment horizontal="right" vertical="center"/>
      <protection locked="0"/>
    </xf>
    <xf numFmtId="166" fontId="1" fillId="0" borderId="0" xfId="0" applyNumberFormat="1" applyFont="1" applyAlignment="1" applyProtection="1">
      <alignment horizontal="right" vertical="center"/>
      <protection locked="0"/>
    </xf>
    <xf numFmtId="166" fontId="1" fillId="0" borderId="1" xfId="0" applyNumberFormat="1" applyFont="1" applyBorder="1" applyAlignment="1" applyProtection="1">
      <alignment horizontal="right" vertical="center"/>
      <protection locked="0"/>
    </xf>
    <xf numFmtId="165" fontId="1" fillId="0" borderId="2" xfId="0" applyNumberFormat="1" applyFont="1" applyBorder="1" applyAlignment="1" applyProtection="1">
      <alignment horizontal="right" vertical="center"/>
      <protection locked="0"/>
    </xf>
    <xf numFmtId="165" fontId="1" fillId="3" borderId="2" xfId="0" applyNumberFormat="1" applyFont="1" applyFill="1" applyBorder="1" applyAlignment="1" applyProtection="1">
      <alignment vertical="center"/>
      <protection locked="0"/>
    </xf>
    <xf numFmtId="165" fontId="1" fillId="3" borderId="0" xfId="0" applyNumberFormat="1" applyFont="1" applyFill="1" applyAlignment="1">
      <alignment horizontal="left" vertical="center"/>
    </xf>
    <xf numFmtId="165" fontId="1" fillId="3" borderId="0" xfId="0" applyNumberFormat="1" applyFont="1" applyFill="1" applyAlignment="1">
      <alignment vertical="center"/>
    </xf>
    <xf numFmtId="41" fontId="1" fillId="0" borderId="0" xfId="0" applyNumberFormat="1" applyFont="1" applyAlignment="1">
      <alignment vertical="center"/>
    </xf>
    <xf numFmtId="166" fontId="1" fillId="3" borderId="16" xfId="0" applyNumberFormat="1" applyFont="1" applyFill="1" applyBorder="1" applyAlignment="1">
      <alignment vertical="center"/>
    </xf>
    <xf numFmtId="41" fontId="1" fillId="0" borderId="16" xfId="0" applyNumberFormat="1" applyFont="1" applyBorder="1" applyAlignment="1">
      <alignment vertical="center"/>
    </xf>
    <xf numFmtId="165" fontId="5" fillId="0" borderId="0" xfId="0" applyNumberFormat="1" applyFont="1" applyAlignment="1">
      <alignment horizontal="center" vertical="center"/>
    </xf>
    <xf numFmtId="166" fontId="2" fillId="0" borderId="0" xfId="0" applyNumberFormat="1" applyFont="1" applyAlignment="1">
      <alignment vertical="center"/>
    </xf>
    <xf numFmtId="179" fontId="1" fillId="0" borderId="0" xfId="0" applyNumberFormat="1" applyFont="1" applyAlignment="1">
      <alignment vertical="center"/>
    </xf>
    <xf numFmtId="165" fontId="2" fillId="0" borderId="10" xfId="0" applyNumberFormat="1" applyFont="1" applyBorder="1" applyAlignment="1">
      <alignment vertical="center"/>
    </xf>
    <xf numFmtId="14" fontId="1" fillId="0" borderId="0" xfId="0" applyNumberFormat="1" applyFont="1" applyAlignment="1">
      <alignment horizontal="center" vertical="center"/>
    </xf>
    <xf numFmtId="165" fontId="1" fillId="3" borderId="2" xfId="0" applyNumberFormat="1" applyFont="1" applyFill="1" applyBorder="1" applyAlignment="1">
      <alignment vertical="center"/>
    </xf>
    <xf numFmtId="165" fontId="1" fillId="0" borderId="3" xfId="0" applyNumberFormat="1" applyFont="1" applyBorder="1" applyAlignment="1">
      <alignment vertical="center"/>
    </xf>
    <xf numFmtId="166" fontId="1" fillId="3" borderId="1" xfId="0" applyNumberFormat="1" applyFont="1" applyFill="1" applyBorder="1" applyAlignment="1" applyProtection="1">
      <alignment vertical="center"/>
      <protection locked="0"/>
    </xf>
    <xf numFmtId="166" fontId="1" fillId="4" borderId="0" xfId="0" applyNumberFormat="1" applyFont="1" applyFill="1" applyAlignment="1">
      <alignment horizontal="right" vertical="center"/>
    </xf>
    <xf numFmtId="166" fontId="1" fillId="2" borderId="1" xfId="0" applyNumberFormat="1" applyFont="1" applyFill="1" applyBorder="1" applyAlignment="1">
      <alignment vertical="center"/>
    </xf>
    <xf numFmtId="165" fontId="1" fillId="0" borderId="10" xfId="0" applyNumberFormat="1" applyFont="1" applyBorder="1" applyAlignment="1">
      <alignment vertical="center"/>
    </xf>
    <xf numFmtId="165" fontId="1" fillId="3" borderId="0" xfId="0" applyNumberFormat="1" applyFont="1" applyFill="1" applyAlignment="1">
      <alignment horizontal="center" vertical="center"/>
    </xf>
    <xf numFmtId="166" fontId="2" fillId="0" borderId="0" xfId="0" applyNumberFormat="1" applyFont="1" applyAlignment="1" applyProtection="1">
      <alignment vertical="center"/>
      <protection locked="0"/>
    </xf>
    <xf numFmtId="166" fontId="1" fillId="3" borderId="0" xfId="0" applyNumberFormat="1" applyFont="1" applyFill="1" applyAlignment="1">
      <alignment vertical="center"/>
    </xf>
    <xf numFmtId="10" fontId="1" fillId="2" borderId="16" xfId="0" applyNumberFormat="1" applyFont="1" applyFill="1" applyBorder="1" applyAlignment="1" applyProtection="1">
      <alignment horizontal="right" vertical="center"/>
      <protection locked="0"/>
    </xf>
    <xf numFmtId="10" fontId="1" fillId="0" borderId="0" xfId="0" applyNumberFormat="1" applyFont="1" applyAlignment="1" applyProtection="1">
      <alignment horizontal="right" vertical="center"/>
      <protection locked="0"/>
    </xf>
    <xf numFmtId="165" fontId="2" fillId="0" borderId="0" xfId="0" applyNumberFormat="1" applyFont="1" applyAlignment="1" applyProtection="1">
      <alignment vertical="center"/>
      <protection locked="0"/>
    </xf>
    <xf numFmtId="0" fontId="1" fillId="0" borderId="18" xfId="0" applyFont="1" applyBorder="1" applyAlignment="1">
      <alignment vertical="center"/>
    </xf>
    <xf numFmtId="166" fontId="13" fillId="0" borderId="0" xfId="0" applyNumberFormat="1" applyFont="1" applyAlignment="1">
      <alignment vertical="center"/>
    </xf>
    <xf numFmtId="166" fontId="1" fillId="0" borderId="15" xfId="0" applyNumberFormat="1" applyFont="1" applyBorder="1" applyAlignment="1">
      <alignment vertical="center"/>
    </xf>
    <xf numFmtId="166" fontId="1" fillId="0" borderId="3" xfId="0" applyNumberFormat="1" applyFont="1" applyBorder="1" applyAlignment="1" applyProtection="1">
      <alignment vertical="center"/>
      <protection locked="0"/>
    </xf>
    <xf numFmtId="0" fontId="1" fillId="0" borderId="9" xfId="0" applyFont="1" applyBorder="1" applyAlignment="1">
      <alignment vertical="center"/>
    </xf>
    <xf numFmtId="165" fontId="1" fillId="3" borderId="1" xfId="0" applyNumberFormat="1" applyFont="1" applyFill="1" applyBorder="1" applyAlignment="1" applyProtection="1">
      <alignment horizontal="center" vertical="center"/>
      <protection locked="0"/>
    </xf>
    <xf numFmtId="165" fontId="1" fillId="2" borderId="0" xfId="0" applyNumberFormat="1" applyFont="1" applyFill="1" applyAlignment="1" applyProtection="1">
      <alignment vertical="center"/>
      <protection locked="0"/>
    </xf>
    <xf numFmtId="166" fontId="1" fillId="2" borderId="1" xfId="0" applyNumberFormat="1" applyFont="1" applyFill="1" applyBorder="1" applyAlignment="1" applyProtection="1">
      <alignment vertical="center"/>
      <protection locked="0"/>
    </xf>
    <xf numFmtId="10" fontId="1" fillId="3" borderId="1" xfId="0" applyNumberFormat="1" applyFont="1" applyFill="1" applyBorder="1" applyAlignment="1">
      <alignment vertical="center"/>
    </xf>
    <xf numFmtId="10" fontId="1" fillId="0" borderId="1" xfId="0" applyNumberFormat="1" applyFont="1" applyBorder="1" applyAlignment="1">
      <alignment vertical="center"/>
    </xf>
    <xf numFmtId="165" fontId="1" fillId="0" borderId="2" xfId="0" applyNumberFormat="1" applyFont="1" applyBorder="1" applyAlignment="1" applyProtection="1">
      <alignment vertical="center"/>
      <protection locked="0"/>
    </xf>
    <xf numFmtId="165" fontId="1" fillId="0" borderId="8" xfId="0" applyNumberFormat="1" applyFont="1" applyBorder="1" applyAlignment="1" applyProtection="1">
      <alignment vertical="center"/>
      <protection locked="0"/>
    </xf>
    <xf numFmtId="165" fontId="1" fillId="3" borderId="16" xfId="0" applyNumberFormat="1" applyFont="1" applyFill="1" applyBorder="1" applyAlignment="1" applyProtection="1">
      <alignment vertical="center"/>
      <protection locked="0"/>
    </xf>
    <xf numFmtId="10" fontId="1" fillId="3" borderId="2" xfId="0" applyNumberFormat="1" applyFont="1" applyFill="1" applyBorder="1" applyAlignment="1">
      <alignment vertical="center"/>
    </xf>
    <xf numFmtId="10" fontId="1" fillId="0" borderId="1" xfId="0" applyNumberFormat="1" applyFont="1" applyBorder="1" applyAlignment="1">
      <alignment horizontal="right" vertical="center"/>
    </xf>
    <xf numFmtId="10" fontId="1" fillId="2" borderId="0" xfId="0" applyNumberFormat="1" applyFont="1" applyFill="1" applyAlignment="1">
      <alignment horizontal="right" vertical="center"/>
    </xf>
    <xf numFmtId="173" fontId="1" fillId="0" borderId="0" xfId="0" applyNumberFormat="1" applyFont="1" applyAlignment="1">
      <alignment horizontal="center" vertical="center"/>
    </xf>
    <xf numFmtId="9" fontId="1" fillId="0" borderId="0" xfId="0" applyNumberFormat="1" applyFont="1" applyAlignment="1">
      <alignment horizontal="right" vertical="center"/>
    </xf>
    <xf numFmtId="167" fontId="1" fillId="0" borderId="16" xfId="0" applyNumberFormat="1" applyFont="1" applyBorder="1" applyAlignment="1">
      <alignment horizontal="right" vertical="center"/>
    </xf>
    <xf numFmtId="167" fontId="1" fillId="0" borderId="2" xfId="0" applyNumberFormat="1" applyFont="1" applyBorder="1" applyAlignment="1">
      <alignment horizontal="right" vertical="center"/>
    </xf>
    <xf numFmtId="165" fontId="1" fillId="4" borderId="0" xfId="0" applyNumberFormat="1" applyFont="1" applyFill="1" applyAlignment="1">
      <alignment horizontal="right" vertical="center"/>
    </xf>
    <xf numFmtId="10" fontId="1" fillId="2" borderId="16" xfId="0" applyNumberFormat="1" applyFont="1" applyFill="1" applyBorder="1" applyAlignment="1">
      <alignment horizontal="right" vertical="center"/>
    </xf>
    <xf numFmtId="165" fontId="13" fillId="2" borderId="0" xfId="0" applyNumberFormat="1" applyFont="1" applyFill="1" applyAlignment="1">
      <alignment vertical="center"/>
    </xf>
    <xf numFmtId="165" fontId="13" fillId="0" borderId="0" xfId="0" applyNumberFormat="1" applyFont="1" applyAlignment="1">
      <alignment horizontal="right" vertical="center"/>
    </xf>
    <xf numFmtId="165" fontId="13" fillId="3" borderId="0" xfId="0" applyNumberFormat="1" applyFont="1" applyFill="1" applyAlignment="1">
      <alignment vertical="center"/>
    </xf>
    <xf numFmtId="165" fontId="13" fillId="0" borderId="0" xfId="0" applyNumberFormat="1" applyFont="1" applyAlignment="1">
      <alignment vertical="center"/>
    </xf>
    <xf numFmtId="10" fontId="13" fillId="3" borderId="0" xfId="0" applyNumberFormat="1" applyFont="1" applyFill="1" applyAlignment="1">
      <alignment horizontal="center" vertical="center"/>
    </xf>
    <xf numFmtId="165" fontId="13" fillId="0" borderId="0" xfId="0" applyNumberFormat="1" applyFont="1" applyAlignment="1">
      <alignment horizontal="center" vertical="center"/>
    </xf>
    <xf numFmtId="166" fontId="13" fillId="0" borderId="0" xfId="0" applyNumberFormat="1" applyFont="1" applyAlignment="1">
      <alignment horizontal="right" vertical="center"/>
    </xf>
    <xf numFmtId="166" fontId="13" fillId="3" borderId="0" xfId="0" applyNumberFormat="1" applyFont="1" applyFill="1" applyAlignment="1">
      <alignment vertical="center"/>
    </xf>
    <xf numFmtId="166" fontId="13" fillId="0" borderId="0" xfId="0" applyNumberFormat="1" applyFont="1" applyAlignment="1">
      <alignment horizontal="center" vertical="center"/>
    </xf>
    <xf numFmtId="166" fontId="13" fillId="0" borderId="16" xfId="0" applyNumberFormat="1" applyFont="1" applyBorder="1" applyAlignment="1">
      <alignment horizontal="right" vertical="center"/>
    </xf>
    <xf numFmtId="166" fontId="13" fillId="0" borderId="16" xfId="0" applyNumberFormat="1" applyFont="1" applyBorder="1" applyAlignment="1">
      <alignment vertical="center"/>
    </xf>
    <xf numFmtId="165" fontId="13" fillId="0" borderId="10" xfId="0" applyNumberFormat="1" applyFont="1" applyBorder="1" applyAlignment="1">
      <alignment vertical="center"/>
    </xf>
    <xf numFmtId="165" fontId="13" fillId="3" borderId="10" xfId="0" applyNumberFormat="1" applyFont="1" applyFill="1" applyBorder="1" applyAlignment="1">
      <alignment vertical="center"/>
    </xf>
    <xf numFmtId="178" fontId="13" fillId="0" borderId="10" xfId="0" applyNumberFormat="1" applyFont="1" applyBorder="1" applyAlignment="1">
      <alignment vertical="center"/>
    </xf>
    <xf numFmtId="178" fontId="13" fillId="0" borderId="0" xfId="0" applyNumberFormat="1" applyFont="1" applyAlignment="1">
      <alignment vertical="center"/>
    </xf>
    <xf numFmtId="165" fontId="1" fillId="3" borderId="0" xfId="0" applyNumberFormat="1" applyFont="1" applyFill="1" applyAlignment="1">
      <alignment horizontal="right" vertical="center"/>
    </xf>
    <xf numFmtId="10" fontId="13" fillId="2" borderId="0" xfId="0" applyNumberFormat="1" applyFont="1" applyFill="1" applyAlignment="1">
      <alignment vertical="center"/>
    </xf>
    <xf numFmtId="175" fontId="1" fillId="0" borderId="0" xfId="0" applyNumberFormat="1" applyFont="1" applyAlignment="1">
      <alignment horizontal="right" vertical="center"/>
    </xf>
    <xf numFmtId="175" fontId="1" fillId="0" borderId="16" xfId="0" applyNumberFormat="1" applyFont="1" applyBorder="1" applyAlignment="1">
      <alignment horizontal="right" vertical="center"/>
    </xf>
    <xf numFmtId="10" fontId="13" fillId="2" borderId="16" xfId="0" applyNumberFormat="1" applyFont="1" applyFill="1" applyBorder="1" applyAlignment="1">
      <alignment vertical="center"/>
    </xf>
    <xf numFmtId="10" fontId="13" fillId="0" borderId="0" xfId="0" applyNumberFormat="1" applyFont="1" applyAlignment="1">
      <alignment vertical="center"/>
    </xf>
    <xf numFmtId="177" fontId="13" fillId="0" borderId="0" xfId="0" applyNumberFormat="1" applyFont="1" applyAlignment="1">
      <alignment horizontal="right" vertical="center"/>
    </xf>
    <xf numFmtId="165" fontId="13" fillId="0" borderId="10" xfId="0" applyNumberFormat="1" applyFont="1" applyBorder="1" applyAlignment="1">
      <alignment horizontal="right" vertical="center"/>
    </xf>
    <xf numFmtId="165" fontId="13" fillId="2" borderId="0" xfId="0" applyNumberFormat="1" applyFont="1" applyFill="1" applyAlignment="1">
      <alignment horizontal="right" vertical="center"/>
    </xf>
    <xf numFmtId="165" fontId="1" fillId="0" borderId="0" xfId="0" quotePrefix="1" applyNumberFormat="1" applyFont="1" applyAlignment="1">
      <alignment horizontal="center" vertical="center"/>
    </xf>
    <xf numFmtId="166" fontId="1" fillId="0" borderId="0" xfId="0" quotePrefix="1" applyNumberFormat="1" applyFont="1" applyAlignment="1">
      <alignment horizontal="center" vertical="center"/>
    </xf>
    <xf numFmtId="10" fontId="13" fillId="0" borderId="16" xfId="0" applyNumberFormat="1" applyFont="1" applyBorder="1" applyAlignment="1">
      <alignment vertical="center"/>
    </xf>
    <xf numFmtId="166" fontId="1" fillId="0" borderId="16" xfId="0" quotePrefix="1" applyNumberFormat="1" applyFont="1" applyBorder="1" applyAlignment="1">
      <alignment horizontal="center" vertical="center"/>
    </xf>
    <xf numFmtId="175" fontId="13" fillId="0" borderId="0" xfId="0" quotePrefix="1" applyNumberFormat="1" applyFont="1" applyAlignment="1">
      <alignment horizontal="center" vertical="center"/>
    </xf>
    <xf numFmtId="177" fontId="13" fillId="0" borderId="0" xfId="0" quotePrefix="1" applyNumberFormat="1" applyFont="1" applyAlignment="1">
      <alignment horizontal="center" vertical="center"/>
    </xf>
    <xf numFmtId="177" fontId="13" fillId="0" borderId="0" xfId="0" applyNumberFormat="1" applyFont="1" applyAlignment="1">
      <alignment vertical="center"/>
    </xf>
    <xf numFmtId="166" fontId="13" fillId="2" borderId="16" xfId="0" applyNumberFormat="1" applyFont="1" applyFill="1" applyBorder="1" applyAlignment="1">
      <alignment vertical="center"/>
    </xf>
    <xf numFmtId="166" fontId="1" fillId="0" borderId="7" xfId="0" applyNumberFormat="1" applyFont="1" applyBorder="1" applyAlignment="1">
      <alignment horizontal="center" vertical="center"/>
    </xf>
    <xf numFmtId="0" fontId="1" fillId="0" borderId="7" xfId="0" applyFont="1" applyBorder="1" applyAlignment="1">
      <alignment horizontal="center" vertical="center"/>
    </xf>
    <xf numFmtId="166" fontId="1" fillId="0" borderId="6" xfId="0" applyNumberFormat="1" applyFont="1" applyBorder="1" applyAlignment="1">
      <alignment horizontal="center" vertical="center"/>
    </xf>
    <xf numFmtId="166" fontId="1" fillId="0" borderId="18" xfId="0" applyNumberFormat="1" applyFont="1" applyBorder="1" applyAlignment="1">
      <alignment vertical="center"/>
    </xf>
    <xf numFmtId="165" fontId="1" fillId="0" borderId="15" xfId="0" applyNumberFormat="1" applyFont="1" applyBorder="1" applyAlignment="1">
      <alignment vertical="center"/>
    </xf>
    <xf numFmtId="165" fontId="1" fillId="0" borderId="20" xfId="0" applyNumberFormat="1" applyFont="1" applyBorder="1" applyAlignment="1">
      <alignment vertical="center"/>
    </xf>
    <xf numFmtId="10" fontId="1" fillId="0" borderId="20" xfId="0" applyNumberFormat="1" applyFont="1" applyBorder="1" applyAlignment="1">
      <alignment vertical="center"/>
    </xf>
    <xf numFmtId="165" fontId="1" fillId="3" borderId="7" xfId="0" applyNumberFormat="1" applyFont="1" applyFill="1" applyBorder="1" applyAlignment="1">
      <alignment vertical="center"/>
    </xf>
    <xf numFmtId="0" fontId="2" fillId="0" borderId="0" xfId="0" applyFont="1" applyAlignment="1">
      <alignment horizontal="center" vertical="center"/>
    </xf>
    <xf numFmtId="166" fontId="1" fillId="3" borderId="7" xfId="0" applyNumberFormat="1" applyFont="1" applyFill="1" applyBorder="1" applyAlignment="1">
      <alignment vertical="center"/>
    </xf>
    <xf numFmtId="167" fontId="13" fillId="3" borderId="0" xfId="0" applyNumberFormat="1" applyFont="1" applyFill="1" applyAlignment="1">
      <alignment vertical="center"/>
    </xf>
    <xf numFmtId="166" fontId="1" fillId="3" borderId="16" xfId="0" applyNumberFormat="1" applyFont="1" applyFill="1" applyBorder="1" applyAlignment="1" applyProtection="1">
      <alignment vertical="center"/>
      <protection locked="0"/>
    </xf>
    <xf numFmtId="0" fontId="7" fillId="0" borderId="0" xfId="0" applyFont="1" applyAlignment="1">
      <alignment horizontal="left" vertical="center"/>
    </xf>
    <xf numFmtId="0" fontId="1" fillId="0" borderId="0" xfId="0" quotePrefix="1"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6" fontId="1" fillId="0" borderId="0" xfId="0" applyNumberFormat="1" applyFont="1" applyAlignment="1">
      <alignment vertical="center"/>
    </xf>
    <xf numFmtId="0" fontId="5" fillId="0" borderId="0" xfId="0" quotePrefix="1" applyFont="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165" fontId="1" fillId="0" borderId="1" xfId="0" applyNumberFormat="1" applyFont="1" applyBorder="1" applyAlignment="1">
      <alignment horizontal="center" vertical="center"/>
    </xf>
    <xf numFmtId="0" fontId="1" fillId="0" borderId="1" xfId="0" applyFont="1" applyBorder="1" applyAlignment="1">
      <alignment vertical="center"/>
    </xf>
    <xf numFmtId="0" fontId="19" fillId="0" borderId="0" xfId="0" applyFont="1" applyAlignment="1">
      <alignment vertical="center"/>
    </xf>
    <xf numFmtId="0" fontId="1" fillId="0" borderId="0" xfId="0" applyFont="1" applyAlignment="1">
      <alignment vertical="center" wrapText="1"/>
    </xf>
    <xf numFmtId="0" fontId="6" fillId="0" borderId="0" xfId="0" applyFont="1" applyAlignment="1">
      <alignment horizontal="center" vertical="center"/>
    </xf>
    <xf numFmtId="6" fontId="1" fillId="0" borderId="0" xfId="0" applyNumberFormat="1" applyFont="1" applyAlignment="1">
      <alignment horizontal="center" vertical="center"/>
    </xf>
    <xf numFmtId="5" fontId="1" fillId="0" borderId="1" xfId="0" applyNumberFormat="1" applyFont="1" applyBorder="1" applyAlignment="1">
      <alignment horizontal="center" vertical="center"/>
    </xf>
    <xf numFmtId="3" fontId="1" fillId="0" borderId="0" xfId="0" applyNumberFormat="1" applyFont="1" applyAlignment="1">
      <alignment vertical="center"/>
    </xf>
    <xf numFmtId="0" fontId="11" fillId="0" borderId="0" xfId="0" applyFont="1" applyAlignment="1">
      <alignment vertical="center"/>
    </xf>
    <xf numFmtId="0" fontId="1" fillId="0" borderId="0" xfId="0" applyFont="1" applyAlignment="1" applyProtection="1">
      <alignment horizontal="center" vertical="center"/>
      <protection locked="0"/>
    </xf>
    <xf numFmtId="5" fontId="1" fillId="0" borderId="0" xfId="0" quotePrefix="1" applyNumberFormat="1" applyFont="1" applyAlignment="1">
      <alignment horizontal="center" vertical="center"/>
    </xf>
    <xf numFmtId="0" fontId="2" fillId="0" borderId="0" xfId="0" quotePrefix="1" applyFont="1" applyAlignment="1">
      <alignment horizontal="center" vertical="center"/>
    </xf>
    <xf numFmtId="15" fontId="1" fillId="0" borderId="1" xfId="0" applyNumberFormat="1" applyFont="1" applyBorder="1" applyAlignment="1">
      <alignment horizontal="center" vertical="center"/>
    </xf>
    <xf numFmtId="0" fontId="4" fillId="0" borderId="0" xfId="0" applyFont="1" applyAlignment="1">
      <alignment horizontal="center" vertical="center"/>
    </xf>
    <xf numFmtId="5" fontId="19" fillId="0" borderId="0" xfId="0" applyNumberFormat="1" applyFont="1" applyAlignment="1" applyProtection="1">
      <alignment horizontal="center" vertical="center"/>
      <protection locked="0"/>
    </xf>
    <xf numFmtId="165" fontId="19" fillId="0" borderId="0" xfId="0" applyNumberFormat="1" applyFont="1" applyAlignment="1">
      <alignment horizontal="left" vertical="center"/>
    </xf>
    <xf numFmtId="0" fontId="5" fillId="0" borderId="0" xfId="0" applyFont="1" applyAlignment="1">
      <alignment horizontal="center" vertical="center"/>
    </xf>
    <xf numFmtId="0" fontId="2" fillId="0" borderId="5" xfId="0" applyFont="1" applyBorder="1" applyAlignment="1">
      <alignment vertical="center"/>
    </xf>
    <xf numFmtId="0" fontId="2" fillId="0" borderId="15" xfId="0" applyFont="1" applyBorder="1" applyAlignment="1">
      <alignment horizontal="center" vertical="center"/>
    </xf>
    <xf numFmtId="0" fontId="2" fillId="0" borderId="15" xfId="0" applyFont="1" applyBorder="1" applyAlignment="1">
      <alignment vertical="center"/>
    </xf>
    <xf numFmtId="0" fontId="2" fillId="0" borderId="5" xfId="0" quotePrefix="1" applyFont="1" applyBorder="1" applyAlignment="1">
      <alignment horizontal="center" vertical="center"/>
    </xf>
    <xf numFmtId="0" fontId="2" fillId="0" borderId="5" xfId="0" applyFont="1" applyBorder="1" applyAlignment="1">
      <alignment horizontal="center" vertical="center"/>
    </xf>
    <xf numFmtId="0" fontId="13" fillId="0" borderId="0" xfId="0" applyFont="1" applyAlignment="1">
      <alignment vertical="center" wrapText="1"/>
    </xf>
    <xf numFmtId="15" fontId="1" fillId="2" borderId="1" xfId="0" applyNumberFormat="1" applyFont="1" applyFill="1" applyBorder="1" applyAlignment="1">
      <alignment horizontal="center" vertical="center"/>
    </xf>
    <xf numFmtId="5" fontId="19" fillId="0" borderId="0" xfId="0" applyNumberFormat="1" applyFont="1" applyAlignment="1">
      <alignment horizontal="center" vertical="center"/>
    </xf>
    <xf numFmtId="0" fontId="1" fillId="0" borderId="4" xfId="0" applyFont="1" applyBorder="1" applyAlignment="1">
      <alignment vertical="center"/>
    </xf>
    <xf numFmtId="0" fontId="20" fillId="0" borderId="0" xfId="0" applyFont="1" applyAlignment="1">
      <alignment horizontal="center" vertical="center"/>
    </xf>
    <xf numFmtId="164" fontId="1" fillId="0" borderId="0" xfId="0" applyNumberFormat="1" applyFont="1" applyAlignment="1">
      <alignment horizontal="center" vertical="center"/>
    </xf>
    <xf numFmtId="0" fontId="2"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20" fillId="0" borderId="0" xfId="0" quotePrefix="1" applyFont="1" applyAlignment="1">
      <alignment horizontal="center" vertical="center"/>
    </xf>
    <xf numFmtId="15" fontId="1" fillId="0" borderId="0" xfId="0" applyNumberFormat="1" applyFont="1" applyAlignment="1">
      <alignment horizontal="center" vertical="center"/>
    </xf>
    <xf numFmtId="0" fontId="19" fillId="0" borderId="0" xfId="0" applyFont="1" applyAlignment="1">
      <alignment horizontal="center" vertical="center"/>
    </xf>
    <xf numFmtId="5" fontId="19" fillId="0" borderId="0" xfId="0" applyNumberFormat="1" applyFont="1" applyAlignment="1">
      <alignment horizontal="left" vertical="center"/>
    </xf>
    <xf numFmtId="0" fontId="19" fillId="0" borderId="0" xfId="0" applyFont="1" applyAlignment="1">
      <alignment horizontal="left" vertical="center"/>
    </xf>
    <xf numFmtId="0" fontId="2" fillId="0" borderId="16" xfId="0" applyFont="1" applyBorder="1" applyAlignment="1">
      <alignment horizontal="center" vertical="center"/>
    </xf>
    <xf numFmtId="5" fontId="10" fillId="0" borderId="0" xfId="0" applyNumberFormat="1" applyFont="1" applyAlignment="1" applyProtection="1">
      <alignment vertical="center"/>
      <protection locked="0"/>
    </xf>
    <xf numFmtId="5" fontId="10" fillId="0" borderId="0" xfId="0" applyNumberFormat="1" applyFont="1" applyAlignment="1" applyProtection="1">
      <alignment horizontal="center" vertical="center"/>
      <protection locked="0"/>
    </xf>
    <xf numFmtId="0" fontId="1" fillId="0" borderId="3" xfId="0" applyFont="1" applyBorder="1" applyAlignment="1">
      <alignment horizontal="center" vertical="center"/>
    </xf>
    <xf numFmtId="5" fontId="20" fillId="0" borderId="0" xfId="0" applyNumberFormat="1" applyFont="1" applyAlignment="1">
      <alignment horizontal="center" vertical="center"/>
    </xf>
    <xf numFmtId="0" fontId="20" fillId="0" borderId="0" xfId="0" applyFont="1" applyAlignment="1">
      <alignment vertical="center"/>
    </xf>
    <xf numFmtId="0" fontId="3" fillId="0" borderId="0" xfId="0" applyFont="1" applyAlignment="1">
      <alignment horizontal="center" vertical="center"/>
    </xf>
    <xf numFmtId="165" fontId="19" fillId="0" borderId="0" xfId="0" applyNumberFormat="1" applyFont="1" applyAlignment="1" applyProtection="1">
      <alignment vertical="center"/>
      <protection locked="0"/>
    </xf>
    <xf numFmtId="5" fontId="2" fillId="0" borderId="0" xfId="0" applyNumberFormat="1" applyFont="1" applyAlignment="1">
      <alignment horizontal="center" vertical="center"/>
    </xf>
    <xf numFmtId="0" fontId="1" fillId="0" borderId="15" xfId="0" applyFont="1" applyBorder="1" applyAlignment="1">
      <alignment vertical="center"/>
    </xf>
    <xf numFmtId="5" fontId="1" fillId="0" borderId="0" xfId="0" applyNumberFormat="1" applyFont="1" applyAlignment="1">
      <alignment horizontal="center" vertical="center" wrapText="1"/>
    </xf>
    <xf numFmtId="0" fontId="1" fillId="0" borderId="16" xfId="0" applyFont="1" applyBorder="1" applyAlignment="1">
      <alignment horizontal="left" vertical="center"/>
    </xf>
    <xf numFmtId="0" fontId="1" fillId="0" borderId="9" xfId="0" applyFont="1" applyBorder="1" applyAlignment="1">
      <alignment horizontal="right" vertical="center"/>
    </xf>
    <xf numFmtId="0" fontId="20" fillId="0" borderId="0" xfId="0" applyFont="1" applyAlignment="1">
      <alignment horizontal="center" vertical="center" wrapText="1"/>
    </xf>
    <xf numFmtId="0" fontId="19" fillId="0" borderId="0" xfId="0" applyFont="1" applyAlignment="1">
      <alignment horizontal="right" vertical="center"/>
    </xf>
    <xf numFmtId="0" fontId="19" fillId="0" borderId="0" xfId="0" applyFont="1" applyAlignment="1">
      <alignment horizontal="center" vertical="center" wrapText="1"/>
    </xf>
    <xf numFmtId="166" fontId="2" fillId="0" borderId="5" xfId="0" applyNumberFormat="1" applyFont="1" applyBorder="1" applyAlignment="1">
      <alignment horizontal="center" vertical="center"/>
    </xf>
    <xf numFmtId="166" fontId="2" fillId="0" borderId="15" xfId="0" applyNumberFormat="1" applyFont="1" applyBorder="1" applyAlignment="1">
      <alignment horizontal="center" vertical="center"/>
    </xf>
    <xf numFmtId="0" fontId="2" fillId="0" borderId="3" xfId="0" applyFont="1" applyBorder="1" applyAlignment="1">
      <alignment horizontal="center" vertical="center"/>
    </xf>
    <xf numFmtId="0" fontId="1" fillId="0" borderId="1" xfId="0" applyFont="1" applyBorder="1" applyAlignment="1">
      <alignment horizontal="center" vertical="center" wrapText="1"/>
    </xf>
    <xf numFmtId="0" fontId="22" fillId="0" borderId="0" xfId="0" applyFont="1" applyAlignment="1">
      <alignment horizontal="center" vertical="center" wrapText="1"/>
    </xf>
    <xf numFmtId="0" fontId="1" fillId="0" borderId="9" xfId="0" applyFont="1" applyBorder="1" applyAlignment="1">
      <alignment horizontal="center" vertical="center" wrapText="1"/>
    </xf>
    <xf numFmtId="173" fontId="1" fillId="0" borderId="0" xfId="0" applyNumberFormat="1" applyFont="1" applyAlignment="1">
      <alignment horizontal="center" vertical="center" wrapText="1"/>
    </xf>
    <xf numFmtId="1" fontId="2" fillId="0" borderId="0" xfId="0" applyNumberFormat="1" applyFont="1" applyAlignment="1">
      <alignment horizontal="center" vertical="center"/>
    </xf>
    <xf numFmtId="167" fontId="2" fillId="0" borderId="0" xfId="0" applyNumberFormat="1" applyFont="1" applyAlignment="1">
      <alignment vertical="center"/>
    </xf>
    <xf numFmtId="173" fontId="2" fillId="0" borderId="0" xfId="0" applyNumberFormat="1" applyFont="1" applyAlignment="1">
      <alignment horizontal="center" vertical="center" wrapText="1"/>
    </xf>
    <xf numFmtId="173" fontId="2" fillId="0" borderId="0" xfId="0" applyNumberFormat="1" applyFont="1" applyAlignment="1">
      <alignment horizontal="center" vertical="center"/>
    </xf>
    <xf numFmtId="0" fontId="2" fillId="0" borderId="0" xfId="0" applyFont="1" applyAlignment="1">
      <alignment horizontal="center" vertical="center" wrapText="1"/>
    </xf>
    <xf numFmtId="167" fontId="2" fillId="0" borderId="0" xfId="0" applyNumberFormat="1" applyFont="1" applyAlignment="1">
      <alignment horizontal="center" vertical="center"/>
    </xf>
    <xf numFmtId="167" fontId="2" fillId="0" borderId="0" xfId="0" applyNumberFormat="1" applyFont="1" applyAlignment="1">
      <alignment horizontal="right" vertical="center"/>
    </xf>
    <xf numFmtId="0" fontId="2" fillId="0" borderId="0" xfId="0" applyFont="1" applyAlignment="1">
      <alignment horizontal="right" vertical="center"/>
    </xf>
    <xf numFmtId="0" fontId="1" fillId="0" borderId="0" xfId="0" applyFont="1" applyAlignment="1">
      <alignment horizontal="right" vertical="center" wrapText="1"/>
    </xf>
    <xf numFmtId="0" fontId="16" fillId="0" borderId="0" xfId="0" applyFont="1" applyAlignment="1">
      <alignment horizontal="center" vertical="center"/>
    </xf>
    <xf numFmtId="0" fontId="15" fillId="0" borderId="0" xfId="0" applyFont="1" applyAlignment="1">
      <alignment vertical="center"/>
    </xf>
    <xf numFmtId="0" fontId="2" fillId="0" borderId="0" xfId="0" quotePrefix="1" applyFont="1" applyAlignment="1">
      <alignment horizontal="centerContinuous" vertical="center"/>
    </xf>
    <xf numFmtId="0" fontId="3" fillId="0" borderId="0" xfId="0" applyFont="1" applyAlignment="1">
      <alignment vertical="center"/>
    </xf>
    <xf numFmtId="0" fontId="15" fillId="0" borderId="0" xfId="0" applyFont="1" applyAlignment="1">
      <alignment horizontal="center" vertical="center"/>
    </xf>
    <xf numFmtId="0" fontId="13" fillId="0" borderId="0" xfId="0" applyFont="1" applyAlignment="1">
      <alignment horizontal="center" vertical="center" wrapText="1"/>
    </xf>
    <xf numFmtId="175" fontId="13" fillId="0" borderId="0" xfId="0" applyNumberFormat="1" applyFont="1" applyAlignment="1">
      <alignment vertical="center"/>
    </xf>
    <xf numFmtId="168" fontId="13" fillId="0" borderId="0" xfId="0" applyNumberFormat="1" applyFont="1" applyAlignment="1">
      <alignment vertical="center"/>
    </xf>
    <xf numFmtId="0" fontId="7" fillId="0" borderId="0" xfId="0" quotePrefix="1" applyFont="1" applyAlignment="1">
      <alignment horizontal="center" vertical="center"/>
    </xf>
    <xf numFmtId="1" fontId="1" fillId="0" borderId="0" xfId="0" applyNumberFormat="1" applyFont="1" applyAlignment="1">
      <alignment horizontal="center" vertical="center"/>
    </xf>
    <xf numFmtId="176" fontId="13" fillId="0" borderId="0" xfId="0" applyNumberFormat="1" applyFont="1" applyAlignment="1">
      <alignment vertical="center"/>
    </xf>
    <xf numFmtId="1" fontId="1" fillId="0" borderId="16" xfId="0" applyNumberFormat="1" applyFont="1" applyBorder="1" applyAlignment="1">
      <alignment horizontal="center" vertical="center"/>
    </xf>
    <xf numFmtId="8" fontId="13" fillId="0" borderId="0" xfId="0" applyNumberFormat="1" applyFont="1" applyAlignment="1">
      <alignment vertical="center"/>
    </xf>
    <xf numFmtId="175" fontId="13" fillId="0" borderId="0" xfId="0" applyNumberFormat="1" applyFont="1" applyAlignment="1">
      <alignment horizontal="right" vertical="center"/>
    </xf>
    <xf numFmtId="175" fontId="15" fillId="0" borderId="0" xfId="0" quotePrefix="1" applyNumberFormat="1" applyFont="1" applyAlignment="1">
      <alignment horizontal="center" vertical="center"/>
    </xf>
    <xf numFmtId="175" fontId="2" fillId="0" borderId="0" xfId="0" applyNumberFormat="1" applyFont="1" applyAlignment="1">
      <alignment horizontal="right" vertical="center"/>
    </xf>
    <xf numFmtId="175" fontId="15" fillId="0" borderId="0" xfId="0" applyNumberFormat="1" applyFont="1" applyAlignment="1">
      <alignment vertical="center"/>
    </xf>
    <xf numFmtId="10" fontId="15" fillId="0" borderId="0" xfId="0" applyNumberFormat="1" applyFont="1" applyAlignment="1">
      <alignment vertical="center"/>
    </xf>
    <xf numFmtId="175" fontId="15" fillId="0" borderId="0" xfId="0" applyNumberFormat="1" applyFont="1" applyAlignment="1">
      <alignment horizontal="right" vertical="center"/>
    </xf>
    <xf numFmtId="175" fontId="15" fillId="0" borderId="0" xfId="0" applyNumberFormat="1" applyFont="1" applyAlignment="1">
      <alignment horizontal="center" vertical="center"/>
    </xf>
    <xf numFmtId="175" fontId="25" fillId="0" borderId="0" xfId="0" applyNumberFormat="1" applyFont="1" applyAlignment="1">
      <alignment horizontal="center" vertical="center"/>
    </xf>
    <xf numFmtId="0" fontId="25" fillId="0" borderId="0" xfId="0" applyFont="1" applyAlignment="1">
      <alignment horizontal="center" vertical="center"/>
    </xf>
    <xf numFmtId="0" fontId="27" fillId="0" borderId="0" xfId="0" applyFont="1" applyAlignment="1">
      <alignment vertical="center"/>
    </xf>
    <xf numFmtId="177" fontId="26" fillId="0" borderId="0" xfId="0" applyNumberFormat="1" applyFont="1" applyAlignment="1">
      <alignment vertical="center"/>
    </xf>
    <xf numFmtId="0" fontId="27" fillId="0" borderId="0" xfId="0" applyFont="1" applyAlignment="1">
      <alignment horizontal="left" vertical="center"/>
    </xf>
    <xf numFmtId="0" fontId="24" fillId="0" borderId="0" xfId="0" applyFont="1" applyAlignment="1">
      <alignment vertical="center"/>
    </xf>
    <xf numFmtId="0" fontId="7" fillId="0" borderId="7" xfId="0" applyFont="1" applyBorder="1" applyAlignment="1">
      <alignment vertical="center"/>
    </xf>
    <xf numFmtId="166" fontId="2" fillId="0" borderId="7" xfId="0" applyNumberFormat="1" applyFont="1" applyBorder="1" applyAlignment="1">
      <alignment horizontal="center" vertical="center"/>
    </xf>
    <xf numFmtId="0" fontId="7" fillId="0" borderId="15" xfId="0" applyFont="1" applyBorder="1" applyAlignment="1">
      <alignment vertical="center"/>
    </xf>
    <xf numFmtId="0" fontId="7" fillId="0" borderId="4" xfId="0" applyFont="1" applyBorder="1" applyAlignment="1">
      <alignment vertical="center" wrapText="1"/>
    </xf>
    <xf numFmtId="0" fontId="1" fillId="0" borderId="4" xfId="0" applyFont="1" applyBorder="1" applyAlignment="1">
      <alignment vertical="center" wrapText="1"/>
    </xf>
    <xf numFmtId="165" fontId="1" fillId="0" borderId="6" xfId="0" applyNumberFormat="1" applyFont="1" applyBorder="1" applyAlignment="1">
      <alignment horizontal="center" vertical="center"/>
    </xf>
    <xf numFmtId="0" fontId="1" fillId="0" borderId="4" xfId="0" applyFont="1" applyBorder="1" applyAlignment="1">
      <alignment horizontal="left" vertical="center" wrapText="1"/>
    </xf>
    <xf numFmtId="10" fontId="1" fillId="0" borderId="7" xfId="0" applyNumberFormat="1" applyFont="1" applyBorder="1" applyAlignment="1">
      <alignment horizontal="center" vertical="center" wrapText="1"/>
    </xf>
    <xf numFmtId="0" fontId="1" fillId="0" borderId="19" xfId="0" applyFont="1" applyBorder="1" applyAlignment="1">
      <alignment vertical="center"/>
    </xf>
    <xf numFmtId="180" fontId="1" fillId="0" borderId="0" xfId="0" applyNumberFormat="1" applyFont="1" applyAlignment="1">
      <alignment vertical="center"/>
    </xf>
    <xf numFmtId="10" fontId="1" fillId="3" borderId="0" xfId="0" applyNumberFormat="1" applyFont="1" applyFill="1" applyAlignment="1">
      <alignment horizontal="right" vertical="center"/>
    </xf>
    <xf numFmtId="165" fontId="19" fillId="0" borderId="0" xfId="0" applyNumberFormat="1" applyFont="1" applyAlignment="1">
      <alignment vertical="center"/>
    </xf>
    <xf numFmtId="166" fontId="1" fillId="3" borderId="15" xfId="0" applyNumberFormat="1" applyFont="1" applyFill="1" applyBorder="1" applyAlignment="1">
      <alignment vertical="center"/>
    </xf>
    <xf numFmtId="5" fontId="15" fillId="0" borderId="0" xfId="0" quotePrefix="1" applyNumberFormat="1" applyFont="1" applyAlignment="1">
      <alignment horizontal="center" vertical="center"/>
    </xf>
    <xf numFmtId="175" fontId="13" fillId="0" borderId="0" xfId="0" applyNumberFormat="1" applyFont="1" applyAlignment="1">
      <alignment horizontal="center" vertical="center"/>
    </xf>
    <xf numFmtId="10" fontId="1" fillId="2" borderId="16" xfId="0" applyNumberFormat="1" applyFont="1" applyFill="1" applyBorder="1" applyAlignment="1">
      <alignment vertical="center"/>
    </xf>
    <xf numFmtId="164" fontId="2" fillId="0" borderId="16" xfId="0" applyNumberFormat="1" applyFont="1" applyBorder="1" applyAlignment="1">
      <alignment horizontal="center" vertical="center"/>
    </xf>
    <xf numFmtId="167" fontId="1" fillId="0" borderId="0" xfId="0" applyNumberFormat="1" applyFont="1" applyAlignment="1">
      <alignment vertical="center"/>
    </xf>
    <xf numFmtId="181" fontId="1" fillId="0" borderId="0" xfId="0" applyNumberFormat="1" applyFont="1" applyAlignment="1">
      <alignment vertical="center"/>
    </xf>
    <xf numFmtId="0" fontId="1" fillId="0" borderId="0" xfId="0" quotePrefix="1" applyFont="1" applyAlignment="1">
      <alignment horizontal="center" vertical="center" wrapText="1"/>
    </xf>
    <xf numFmtId="0" fontId="7" fillId="0" borderId="0" xfId="0" quotePrefix="1" applyFont="1" applyAlignment="1">
      <alignment horizontal="center"/>
    </xf>
    <xf numFmtId="0" fontId="1" fillId="0" borderId="0" xfId="0" applyFont="1"/>
    <xf numFmtId="175" fontId="2" fillId="0" borderId="0" xfId="0" applyNumberFormat="1" applyFont="1" applyAlignment="1">
      <alignment horizontal="center"/>
    </xf>
    <xf numFmtId="175" fontId="1" fillId="0" borderId="0" xfId="0" applyNumberFormat="1" applyFont="1"/>
    <xf numFmtId="175" fontId="1" fillId="0" borderId="0" xfId="0" applyNumberFormat="1" applyFont="1" applyAlignment="1">
      <alignment horizontal="left" indent="1"/>
    </xf>
    <xf numFmtId="0" fontId="1" fillId="0" borderId="0" xfId="0" applyFont="1" applyAlignment="1">
      <alignment horizontal="left" indent="1"/>
    </xf>
    <xf numFmtId="0" fontId="7" fillId="0" borderId="0" xfId="0" applyFont="1" applyAlignment="1">
      <alignment horizontal="center"/>
    </xf>
    <xf numFmtId="0" fontId="2" fillId="0" borderId="0" xfId="0" applyFont="1" applyAlignment="1">
      <alignment horizontal="center"/>
    </xf>
    <xf numFmtId="175" fontId="7" fillId="0" borderId="0" xfId="0" applyNumberFormat="1" applyFont="1" applyAlignment="1">
      <alignment horizontal="center"/>
    </xf>
    <xf numFmtId="0" fontId="1" fillId="0" borderId="0" xfId="0" applyFont="1" applyAlignment="1">
      <alignment wrapText="1"/>
    </xf>
    <xf numFmtId="182" fontId="1" fillId="0" borderId="0" xfId="0" applyNumberFormat="1" applyFont="1" applyAlignment="1">
      <alignment horizontal="left" indent="1"/>
    </xf>
    <xf numFmtId="3" fontId="1" fillId="0" borderId="0" xfId="0" applyNumberFormat="1" applyFont="1"/>
    <xf numFmtId="10" fontId="1" fillId="0" borderId="0" xfId="0" applyNumberFormat="1" applyFont="1"/>
    <xf numFmtId="175" fontId="13" fillId="0" borderId="0" xfId="0" applyNumberFormat="1" applyFont="1" applyAlignment="1">
      <alignment horizontal="right"/>
    </xf>
    <xf numFmtId="0" fontId="13" fillId="0" borderId="0" xfId="0" applyFont="1"/>
    <xf numFmtId="175" fontId="1" fillId="0" borderId="0" xfId="0" applyNumberFormat="1" applyFont="1" applyAlignment="1">
      <alignment horizontal="center"/>
    </xf>
    <xf numFmtId="0" fontId="1" fillId="0" borderId="0" xfId="0" quotePrefix="1" applyFont="1" applyAlignment="1">
      <alignment horizontal="left" indent="1"/>
    </xf>
    <xf numFmtId="0" fontId="13" fillId="3" borderId="0" xfId="0" applyFont="1" applyFill="1" applyAlignment="1">
      <alignment wrapText="1"/>
    </xf>
    <xf numFmtId="165" fontId="1" fillId="0" borderId="17" xfId="0" applyNumberFormat="1" applyFont="1" applyBorder="1" applyAlignment="1">
      <alignment horizontal="center" vertical="center"/>
    </xf>
    <xf numFmtId="3" fontId="13" fillId="0" borderId="0" xfId="0" applyNumberFormat="1" applyFont="1" applyAlignment="1">
      <alignment wrapText="1"/>
    </xf>
    <xf numFmtId="10" fontId="1" fillId="3" borderId="16" xfId="0" applyNumberFormat="1" applyFont="1" applyFill="1" applyBorder="1" applyAlignment="1">
      <alignment vertical="center"/>
    </xf>
    <xf numFmtId="165" fontId="1" fillId="3" borderId="16" xfId="0" applyNumberFormat="1" applyFont="1" applyFill="1" applyBorder="1" applyAlignment="1">
      <alignment horizontal="right" vertical="center"/>
    </xf>
    <xf numFmtId="0" fontId="28" fillId="0" borderId="0" xfId="0" applyFont="1" applyAlignment="1">
      <alignment vertical="center"/>
    </xf>
    <xf numFmtId="0" fontId="22" fillId="0" borderId="0" xfId="0" applyFont="1" applyAlignment="1">
      <alignment horizontal="center" vertical="center"/>
    </xf>
    <xf numFmtId="0" fontId="1" fillId="0" borderId="0" xfId="0" applyFont="1" applyAlignment="1">
      <alignment horizontal="center"/>
    </xf>
    <xf numFmtId="0" fontId="13" fillId="0" borderId="1" xfId="0" applyFont="1" applyBorder="1" applyAlignment="1">
      <alignment vertical="center"/>
    </xf>
    <xf numFmtId="0" fontId="1" fillId="0" borderId="1" xfId="0" applyFont="1" applyBorder="1" applyAlignment="1">
      <alignment horizontal="left" vertical="center"/>
    </xf>
    <xf numFmtId="1" fontId="1" fillId="0" borderId="1" xfId="0" applyNumberFormat="1" applyFont="1" applyBorder="1" applyAlignment="1">
      <alignment horizontal="center" vertical="center"/>
    </xf>
    <xf numFmtId="166" fontId="13" fillId="0" borderId="1" xfId="0" applyNumberFormat="1" applyFont="1" applyBorder="1" applyAlignment="1">
      <alignment horizontal="right" vertical="center"/>
    </xf>
    <xf numFmtId="166" fontId="13" fillId="3" borderId="1" xfId="0" applyNumberFormat="1" applyFont="1" applyFill="1" applyBorder="1" applyAlignment="1">
      <alignment vertical="center"/>
    </xf>
    <xf numFmtId="166" fontId="13" fillId="0" borderId="1" xfId="0" applyNumberFormat="1" applyFont="1" applyBorder="1" applyAlignment="1">
      <alignment vertical="center"/>
    </xf>
    <xf numFmtId="166" fontId="13" fillId="0" borderId="1" xfId="0" applyNumberFormat="1" applyFont="1" applyBorder="1" applyAlignment="1">
      <alignment horizontal="center" vertical="center"/>
    </xf>
    <xf numFmtId="165" fontId="1" fillId="3" borderId="25" xfId="0" applyNumberFormat="1" applyFont="1" applyFill="1" applyBorder="1" applyAlignment="1">
      <alignment vertical="center"/>
    </xf>
    <xf numFmtId="183" fontId="13" fillId="0" borderId="0" xfId="0" applyNumberFormat="1" applyFont="1" applyAlignment="1">
      <alignment vertical="center"/>
    </xf>
    <xf numFmtId="184" fontId="1" fillId="0" borderId="0" xfId="0" applyNumberFormat="1" applyFont="1" applyAlignment="1">
      <alignment vertical="center"/>
    </xf>
    <xf numFmtId="1" fontId="1" fillId="0" borderId="0" xfId="0" applyNumberFormat="1" applyFont="1" applyAlignment="1">
      <alignment vertical="center"/>
    </xf>
    <xf numFmtId="166" fontId="1" fillId="0" borderId="2" xfId="0" applyNumberFormat="1" applyFont="1" applyBorder="1" applyAlignment="1">
      <alignment vertical="center"/>
    </xf>
    <xf numFmtId="178" fontId="1" fillId="0" borderId="0" xfId="0" applyNumberFormat="1" applyFont="1" applyAlignment="1">
      <alignment vertical="center"/>
    </xf>
    <xf numFmtId="177" fontId="1" fillId="0" borderId="0" xfId="0" applyNumberFormat="1" applyFont="1" applyAlignment="1">
      <alignment vertical="center"/>
    </xf>
    <xf numFmtId="0" fontId="29" fillId="0" borderId="0" xfId="0" applyFont="1"/>
    <xf numFmtId="0" fontId="30" fillId="0" borderId="0" xfId="0" applyFont="1" applyAlignment="1">
      <alignment horizontal="centerContinuous"/>
    </xf>
    <xf numFmtId="0" fontId="31" fillId="0" borderId="0" xfId="0" applyFont="1" applyAlignment="1">
      <alignment horizontal="centerContinuous"/>
    </xf>
    <xf numFmtId="0" fontId="31" fillId="0" borderId="0" xfId="0" applyFont="1"/>
    <xf numFmtId="166" fontId="33" fillId="0" borderId="0" xfId="0" applyNumberFormat="1" applyFont="1"/>
    <xf numFmtId="166" fontId="30" fillId="0" borderId="0" xfId="0" applyNumberFormat="1" applyFont="1"/>
    <xf numFmtId="166" fontId="33" fillId="0" borderId="0" xfId="0" quotePrefix="1" applyNumberFormat="1" applyFont="1" applyAlignment="1">
      <alignment horizontal="right"/>
    </xf>
    <xf numFmtId="166" fontId="33" fillId="0" borderId="0" xfId="0" applyNumberFormat="1" applyFont="1" applyAlignment="1">
      <alignment horizontal="center"/>
    </xf>
    <xf numFmtId="166" fontId="34" fillId="0" borderId="0" xfId="0" quotePrefix="1" applyNumberFormat="1" applyFont="1" applyAlignment="1">
      <alignment horizontal="center"/>
    </xf>
    <xf numFmtId="166" fontId="33" fillId="0" borderId="24" xfId="0" applyNumberFormat="1" applyFont="1" applyBorder="1" applyAlignment="1">
      <alignment horizontal="center" wrapText="1"/>
    </xf>
    <xf numFmtId="166" fontId="33" fillId="0" borderId="24" xfId="0" applyNumberFormat="1" applyFont="1" applyBorder="1" applyAlignment="1">
      <alignment horizontal="center"/>
    </xf>
    <xf numFmtId="166" fontId="33" fillId="0" borderId="13" xfId="0" applyNumberFormat="1" applyFont="1" applyBorder="1" applyAlignment="1">
      <alignment horizontal="center" wrapText="1"/>
    </xf>
    <xf numFmtId="0" fontId="33" fillId="0" borderId="0" xfId="0" applyFont="1" applyAlignment="1">
      <alignment horizontal="center"/>
    </xf>
    <xf numFmtId="0" fontId="35" fillId="0" borderId="0" xfId="0" applyFont="1"/>
    <xf numFmtId="166" fontId="27" fillId="0" borderId="0" xfId="0" applyNumberFormat="1" applyFont="1"/>
    <xf numFmtId="41" fontId="33" fillId="0" borderId="0" xfId="0" applyNumberFormat="1" applyFont="1"/>
    <xf numFmtId="166" fontId="36" fillId="0" borderId="0" xfId="0" applyNumberFormat="1" applyFont="1"/>
    <xf numFmtId="166" fontId="33" fillId="0" borderId="0" xfId="0" applyNumberFormat="1" applyFont="1" applyAlignment="1">
      <alignment horizontal="left" indent="1"/>
    </xf>
    <xf numFmtId="166" fontId="33" fillId="0" borderId="0" xfId="0" applyNumberFormat="1" applyFont="1" applyAlignment="1">
      <alignment horizontal="right"/>
    </xf>
    <xf numFmtId="174" fontId="33" fillId="0" borderId="0" xfId="0" applyNumberFormat="1" applyFont="1" applyAlignment="1">
      <alignment horizontal="right"/>
    </xf>
    <xf numFmtId="0" fontId="32" fillId="0" borderId="0" xfId="0" quotePrefix="1" applyFont="1" applyAlignment="1">
      <alignment vertical="center"/>
    </xf>
    <xf numFmtId="166" fontId="30" fillId="0" borderId="0" xfId="0" quotePrefix="1" applyNumberFormat="1" applyFont="1" applyAlignment="1">
      <alignment horizontal="center"/>
    </xf>
    <xf numFmtId="166" fontId="30" fillId="0" borderId="0" xfId="0" applyNumberFormat="1" applyFont="1" applyAlignment="1">
      <alignment horizontal="center"/>
    </xf>
    <xf numFmtId="166" fontId="30" fillId="0" borderId="0" xfId="0" applyNumberFormat="1" applyFont="1" applyAlignment="1">
      <alignment horizontal="right"/>
    </xf>
    <xf numFmtId="166" fontId="33" fillId="0" borderId="0" xfId="0" applyNumberFormat="1" applyFont="1" applyAlignment="1">
      <alignment horizontal="center" wrapText="1"/>
    </xf>
    <xf numFmtId="0" fontId="33" fillId="0" borderId="0" xfId="0" applyFont="1"/>
    <xf numFmtId="166" fontId="9" fillId="0" borderId="26" xfId="0" applyNumberFormat="1" applyFont="1" applyBorder="1" applyAlignment="1">
      <alignment horizontal="center" vertical="center" wrapText="1"/>
    </xf>
    <xf numFmtId="166" fontId="9" fillId="0" borderId="2" xfId="0" applyNumberFormat="1" applyFont="1" applyBorder="1"/>
    <xf numFmtId="166" fontId="32" fillId="0" borderId="0" xfId="0" applyNumberFormat="1" applyFont="1" applyAlignment="1">
      <alignment horizontal="center" vertical="center" wrapText="1"/>
    </xf>
    <xf numFmtId="166" fontId="9" fillId="0" borderId="0" xfId="0" applyNumberFormat="1" applyFont="1"/>
    <xf numFmtId="166" fontId="33" fillId="3" borderId="0" xfId="0" applyNumberFormat="1" applyFont="1" applyFill="1"/>
    <xf numFmtId="166" fontId="33" fillId="3" borderId="0" xfId="0" quotePrefix="1" applyNumberFormat="1" applyFont="1" applyFill="1" applyAlignment="1">
      <alignment horizontal="center"/>
    </xf>
    <xf numFmtId="10" fontId="33" fillId="3" borderId="0" xfId="0" applyNumberFormat="1" applyFont="1" applyFill="1" applyAlignment="1">
      <alignment horizontal="center"/>
    </xf>
    <xf numFmtId="166" fontId="9" fillId="3" borderId="0" xfId="0" applyNumberFormat="1" applyFont="1" applyFill="1"/>
    <xf numFmtId="0" fontId="30" fillId="3" borderId="0" xfId="0" applyFont="1" applyFill="1" applyAlignment="1">
      <alignment horizontal="centerContinuous"/>
    </xf>
    <xf numFmtId="0" fontId="31" fillId="3" borderId="0" xfId="0" applyFont="1" applyFill="1" applyAlignment="1">
      <alignment horizontal="centerContinuous"/>
    </xf>
    <xf numFmtId="168" fontId="1" fillId="0" borderId="0" xfId="0" applyNumberFormat="1" applyFont="1" applyAlignment="1">
      <alignment horizontal="center" vertical="center"/>
    </xf>
    <xf numFmtId="166" fontId="9" fillId="0" borderId="27" xfId="0" applyNumberFormat="1" applyFont="1" applyBorder="1"/>
    <xf numFmtId="0" fontId="32" fillId="0" borderId="0" xfId="0" quotePrefix="1" applyFont="1" applyAlignment="1">
      <alignment horizontal="center" vertical="center"/>
    </xf>
    <xf numFmtId="0" fontId="1" fillId="0" borderId="0" xfId="0" applyFont="1" applyAlignment="1">
      <alignment horizontal="left" vertical="center" wrapText="1"/>
    </xf>
    <xf numFmtId="166" fontId="32" fillId="0" borderId="0" xfId="0" quotePrefix="1" applyNumberFormat="1" applyFont="1" applyAlignment="1">
      <alignment horizontal="centerContinuous"/>
    </xf>
    <xf numFmtId="0" fontId="37" fillId="0" borderId="0" xfId="0" applyFont="1" applyAlignment="1">
      <alignment vertical="center"/>
    </xf>
    <xf numFmtId="0" fontId="21" fillId="0" borderId="0" xfId="0" applyFont="1" applyAlignment="1">
      <alignment vertical="center"/>
    </xf>
    <xf numFmtId="6" fontId="1" fillId="0" borderId="0" xfId="0" applyNumberFormat="1" applyFont="1" applyAlignment="1">
      <alignment horizontal="left" vertical="center"/>
    </xf>
    <xf numFmtId="164" fontId="2" fillId="0" borderId="25" xfId="0" applyNumberFormat="1" applyFont="1" applyBorder="1" applyAlignment="1">
      <alignment horizontal="center" vertical="center"/>
    </xf>
    <xf numFmtId="0" fontId="9" fillId="0" borderId="0" xfId="0" applyFont="1" applyAlignment="1">
      <alignment horizontal="center"/>
    </xf>
    <xf numFmtId="166" fontId="9" fillId="0" borderId="0" xfId="0" applyNumberFormat="1" applyFont="1" applyAlignment="1">
      <alignment horizontal="center"/>
    </xf>
    <xf numFmtId="0" fontId="9" fillId="0" borderId="0" xfId="0" applyFont="1"/>
    <xf numFmtId="41" fontId="9" fillId="0" borderId="26" xfId="0" applyNumberFormat="1" applyFont="1" applyBorder="1"/>
    <xf numFmtId="43" fontId="9" fillId="0" borderId="2" xfId="0" applyNumberFormat="1" applyFont="1" applyBorder="1"/>
    <xf numFmtId="41" fontId="9" fillId="0" borderId="0" xfId="0" applyNumberFormat="1" applyFont="1"/>
    <xf numFmtId="166" fontId="38" fillId="0" borderId="0" xfId="0" applyNumberFormat="1" applyFont="1"/>
    <xf numFmtId="0" fontId="38" fillId="0" borderId="0" xfId="0" applyFont="1"/>
    <xf numFmtId="0" fontId="9" fillId="0" borderId="0" xfId="0" quotePrefix="1" applyFont="1" applyAlignment="1">
      <alignment horizontal="center"/>
    </xf>
    <xf numFmtId="43" fontId="9" fillId="0" borderId="25" xfId="0" applyNumberFormat="1" applyFont="1" applyBorder="1"/>
    <xf numFmtId="41" fontId="9" fillId="0" borderId="25" xfId="0" applyNumberFormat="1" applyFont="1" applyBorder="1"/>
    <xf numFmtId="0" fontId="9" fillId="0" borderId="26" xfId="0" applyFont="1" applyBorder="1"/>
    <xf numFmtId="166" fontId="9" fillId="0" borderId="28" xfId="0" applyNumberFormat="1" applyFont="1" applyBorder="1"/>
    <xf numFmtId="166" fontId="23" fillId="0" borderId="0" xfId="0" applyNumberFormat="1" applyFont="1"/>
    <xf numFmtId="166" fontId="39" fillId="0" borderId="0" xfId="0" applyNumberFormat="1" applyFont="1"/>
    <xf numFmtId="166" fontId="9" fillId="0" borderId="0" xfId="0" applyNumberFormat="1" applyFont="1" applyAlignment="1">
      <alignment horizontal="left" indent="1"/>
    </xf>
    <xf numFmtId="0" fontId="39" fillId="0" borderId="0" xfId="0" applyFont="1"/>
    <xf numFmtId="166" fontId="9" fillId="0" borderId="0" xfId="0" applyNumberFormat="1" applyFont="1" applyAlignment="1">
      <alignment horizontal="center" wrapText="1"/>
    </xf>
    <xf numFmtId="166" fontId="32" fillId="0" borderId="0" xfId="0" applyNumberFormat="1" applyFont="1" applyAlignment="1">
      <alignment horizontal="center"/>
    </xf>
    <xf numFmtId="166" fontId="32" fillId="0" borderId="0" xfId="0" applyNumberFormat="1" applyFont="1" applyAlignment="1">
      <alignment horizontal="center" wrapText="1"/>
    </xf>
    <xf numFmtId="166" fontId="9" fillId="3" borderId="25" xfId="0" applyNumberFormat="1" applyFont="1" applyFill="1" applyBorder="1"/>
    <xf numFmtId="166" fontId="9" fillId="0" borderId="25" xfId="0" applyNumberFormat="1" applyFont="1" applyBorder="1"/>
    <xf numFmtId="166" fontId="28" fillId="0" borderId="0" xfId="0" applyNumberFormat="1" applyFont="1"/>
    <xf numFmtId="0" fontId="28" fillId="0" borderId="0" xfId="0" applyFont="1"/>
    <xf numFmtId="166" fontId="9" fillId="0" borderId="0" xfId="0" applyNumberFormat="1" applyFont="1" applyAlignment="1">
      <alignment horizontal="right"/>
    </xf>
    <xf numFmtId="166" fontId="9" fillId="0" borderId="0" xfId="0" quotePrefix="1" applyNumberFormat="1" applyFont="1" applyAlignment="1">
      <alignment horizontal="right"/>
    </xf>
    <xf numFmtId="0" fontId="41" fillId="0" borderId="0" xfId="0" applyFont="1"/>
    <xf numFmtId="0" fontId="32" fillId="0" borderId="0" xfId="0" applyFont="1" applyAlignment="1">
      <alignment horizontal="centerContinuous"/>
    </xf>
    <xf numFmtId="0" fontId="42" fillId="0" borderId="0" xfId="0" applyFont="1" applyAlignment="1">
      <alignment horizontal="centerContinuous"/>
    </xf>
    <xf numFmtId="0" fontId="42" fillId="0" borderId="0" xfId="0" applyFont="1"/>
    <xf numFmtId="166" fontId="32" fillId="0" borderId="0" xfId="0" quotePrefix="1" applyNumberFormat="1" applyFont="1"/>
    <xf numFmtId="166" fontId="32" fillId="3" borderId="0" xfId="0" applyNumberFormat="1" applyFont="1" applyFill="1" applyAlignment="1">
      <alignment horizontal="centerContinuous"/>
    </xf>
    <xf numFmtId="166" fontId="43" fillId="3" borderId="0" xfId="0" applyNumberFormat="1" applyFont="1" applyFill="1" applyAlignment="1">
      <alignment horizontal="centerContinuous"/>
    </xf>
    <xf numFmtId="166" fontId="44" fillId="0" borderId="0" xfId="0" applyNumberFormat="1" applyFont="1"/>
    <xf numFmtId="166" fontId="32" fillId="0" borderId="0" xfId="0" applyNumberFormat="1" applyFont="1"/>
    <xf numFmtId="0" fontId="32" fillId="0" borderId="0" xfId="0" applyFont="1"/>
    <xf numFmtId="166" fontId="42" fillId="0" borderId="0" xfId="0" applyNumberFormat="1" applyFont="1"/>
    <xf numFmtId="166" fontId="45" fillId="0" borderId="0" xfId="0" quotePrefix="1" applyNumberFormat="1" applyFont="1" applyAlignment="1">
      <alignment horizontal="center"/>
    </xf>
    <xf numFmtId="166" fontId="42" fillId="0" borderId="0" xfId="0" applyNumberFormat="1" applyFont="1" applyAlignment="1">
      <alignment horizontal="center"/>
    </xf>
    <xf numFmtId="166" fontId="28" fillId="0" borderId="0" xfId="0" applyNumberFormat="1" applyFont="1" applyAlignment="1">
      <alignment horizontal="center"/>
    </xf>
    <xf numFmtId="166" fontId="9" fillId="0" borderId="13" xfId="0" applyNumberFormat="1" applyFont="1" applyBorder="1" applyAlignment="1">
      <alignment horizontal="center" vertical="center"/>
    </xf>
    <xf numFmtId="166" fontId="9" fillId="0" borderId="13" xfId="0" quotePrefix="1" applyNumberFormat="1" applyFont="1" applyBorder="1" applyAlignment="1">
      <alignment horizontal="center" vertical="center"/>
    </xf>
    <xf numFmtId="166" fontId="9" fillId="0" borderId="24" xfId="0" applyNumberFormat="1" applyFont="1" applyBorder="1" applyAlignment="1">
      <alignment horizontal="center" wrapText="1"/>
    </xf>
    <xf numFmtId="166" fontId="9" fillId="0" borderId="13" xfId="0" applyNumberFormat="1" applyFont="1" applyBorder="1" applyAlignment="1">
      <alignment horizontal="center" wrapText="1"/>
    </xf>
    <xf numFmtId="166" fontId="9" fillId="0" borderId="13" xfId="0" applyNumberFormat="1" applyFont="1" applyBorder="1" applyAlignment="1">
      <alignment horizontal="center" vertical="center" wrapText="1"/>
    </xf>
    <xf numFmtId="166" fontId="9" fillId="0" borderId="23" xfId="0" applyNumberFormat="1" applyFont="1" applyBorder="1" applyAlignment="1">
      <alignment horizontal="center" vertical="center" wrapText="1"/>
    </xf>
    <xf numFmtId="166" fontId="28" fillId="0" borderId="0" xfId="0" applyNumberFormat="1" applyFont="1" applyAlignment="1">
      <alignment horizontal="center" vertical="center" wrapText="1"/>
    </xf>
    <xf numFmtId="0" fontId="32" fillId="0" borderId="0" xfId="0" applyFont="1" applyAlignment="1">
      <alignment horizontal="center"/>
    </xf>
    <xf numFmtId="174" fontId="9" fillId="0" borderId="0" xfId="0" applyNumberFormat="1" applyFont="1" applyAlignment="1">
      <alignment horizontal="right"/>
    </xf>
    <xf numFmtId="166" fontId="32" fillId="0" borderId="0" xfId="0" applyNumberFormat="1" applyFont="1" applyAlignment="1">
      <alignment horizontal="centerContinuous"/>
    </xf>
    <xf numFmtId="166" fontId="43" fillId="0" borderId="0" xfId="0" applyNumberFormat="1" applyFont="1" applyAlignment="1">
      <alignment horizontal="centerContinuous"/>
    </xf>
    <xf numFmtId="166" fontId="9" fillId="0" borderId="0" xfId="0" quotePrefix="1" applyNumberFormat="1" applyFont="1"/>
    <xf numFmtId="166" fontId="9" fillId="0" borderId="26" xfId="0" applyNumberFormat="1" applyFont="1" applyBorder="1"/>
    <xf numFmtId="41" fontId="9" fillId="3" borderId="25" xfId="0" applyNumberFormat="1" applyFont="1" applyFill="1" applyBorder="1"/>
    <xf numFmtId="166" fontId="9" fillId="0" borderId="0" xfId="0" quotePrefix="1" applyNumberFormat="1" applyFont="1" applyAlignment="1">
      <alignment horizontal="left"/>
    </xf>
    <xf numFmtId="0" fontId="32" fillId="3" borderId="0" xfId="0" applyFont="1" applyFill="1" applyAlignment="1">
      <alignment horizontal="centerContinuous"/>
    </xf>
    <xf numFmtId="0" fontId="42" fillId="3" borderId="0" xfId="0" applyFont="1" applyFill="1" applyAlignment="1">
      <alignment horizontal="centerContinuous"/>
    </xf>
    <xf numFmtId="166" fontId="43" fillId="0" borderId="0" xfId="0" applyNumberFormat="1" applyFont="1"/>
    <xf numFmtId="166" fontId="9" fillId="0" borderId="0" xfId="0" quotePrefix="1" applyNumberFormat="1" applyFont="1" applyAlignment="1">
      <alignment horizontal="center"/>
    </xf>
    <xf numFmtId="166" fontId="9" fillId="3" borderId="0" xfId="0" quotePrefix="1" applyNumberFormat="1" applyFont="1" applyFill="1" applyAlignment="1">
      <alignment horizontal="center"/>
    </xf>
    <xf numFmtId="10" fontId="9" fillId="3" borderId="0" xfId="0" applyNumberFormat="1" applyFont="1" applyFill="1" applyAlignment="1">
      <alignment horizontal="center"/>
    </xf>
    <xf numFmtId="166" fontId="9" fillId="0" borderId="13" xfId="0" quotePrefix="1" applyNumberFormat="1" applyFont="1" applyBorder="1" applyAlignment="1">
      <alignment horizontal="center"/>
    </xf>
    <xf numFmtId="166" fontId="9" fillId="0" borderId="24" xfId="0" quotePrefix="1" applyNumberFormat="1" applyFont="1" applyBorder="1" applyAlignment="1">
      <alignment horizontal="center"/>
    </xf>
    <xf numFmtId="41" fontId="9" fillId="3" borderId="0" xfId="0" applyNumberFormat="1" applyFont="1" applyFill="1"/>
    <xf numFmtId="43" fontId="9" fillId="3" borderId="25" xfId="0" applyNumberFormat="1" applyFont="1" applyFill="1" applyBorder="1"/>
    <xf numFmtId="166" fontId="46" fillId="0" borderId="13" xfId="0" quotePrefix="1" applyNumberFormat="1" applyFont="1" applyBorder="1" applyAlignment="1">
      <alignment horizontal="center" vertical="center" wrapText="1"/>
    </xf>
    <xf numFmtId="166" fontId="46" fillId="0" borderId="13" xfId="0" quotePrefix="1" applyNumberFormat="1" applyFont="1" applyBorder="1" applyAlignment="1">
      <alignment horizontal="center" vertical="center"/>
    </xf>
    <xf numFmtId="166" fontId="9" fillId="0" borderId="24" xfId="0" applyNumberFormat="1" applyFont="1" applyBorder="1" applyAlignment="1">
      <alignment horizontal="center"/>
    </xf>
    <xf numFmtId="0" fontId="9" fillId="0" borderId="0" xfId="0" applyFont="1" applyAlignment="1">
      <alignment horizontal="center" vertical="center" wrapText="1"/>
    </xf>
    <xf numFmtId="169" fontId="28" fillId="0" borderId="0" xfId="0" applyNumberFormat="1" applyFont="1"/>
    <xf numFmtId="171" fontId="28" fillId="0" borderId="0" xfId="0" applyNumberFormat="1" applyFont="1"/>
    <xf numFmtId="166" fontId="33" fillId="0" borderId="21" xfId="0" applyNumberFormat="1" applyFont="1" applyBorder="1" applyAlignment="1">
      <alignment horizontal="center"/>
    </xf>
    <xf numFmtId="166" fontId="33" fillId="0" borderId="13" xfId="0" quotePrefix="1" applyNumberFormat="1" applyFont="1" applyBorder="1" applyAlignment="1">
      <alignment horizontal="center"/>
    </xf>
    <xf numFmtId="166" fontId="33" fillId="0" borderId="24" xfId="0" quotePrefix="1" applyNumberFormat="1" applyFont="1" applyBorder="1" applyAlignment="1">
      <alignment horizontal="center"/>
    </xf>
    <xf numFmtId="166" fontId="33" fillId="0" borderId="13" xfId="0" applyNumberFormat="1" applyFont="1" applyBorder="1" applyAlignment="1">
      <alignment horizontal="center" vertical="center" wrapText="1"/>
    </xf>
    <xf numFmtId="166" fontId="9" fillId="0" borderId="0" xfId="0" applyNumberFormat="1" applyFont="1" applyAlignment="1">
      <alignment horizontal="left"/>
    </xf>
    <xf numFmtId="165" fontId="19" fillId="0" borderId="0" xfId="0" applyNumberFormat="1" applyFont="1" applyAlignment="1">
      <alignment horizontal="center" vertical="center"/>
    </xf>
    <xf numFmtId="185" fontId="1" fillId="0" borderId="0" xfId="0" applyNumberFormat="1" applyFont="1" applyAlignment="1">
      <alignment vertical="center"/>
    </xf>
    <xf numFmtId="165" fontId="20" fillId="0" borderId="0" xfId="0" applyNumberFormat="1"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center"/>
    </xf>
    <xf numFmtId="49" fontId="9" fillId="0" borderId="0" xfId="0" applyNumberFormat="1" applyFont="1" applyAlignment="1">
      <alignment horizontal="left" indent="1"/>
    </xf>
    <xf numFmtId="166" fontId="9" fillId="0" borderId="25" xfId="0" applyNumberFormat="1" applyFont="1" applyBorder="1" applyAlignment="1">
      <alignment horizontal="center"/>
    </xf>
    <xf numFmtId="0" fontId="9" fillId="0" borderId="25" xfId="0" applyFont="1" applyBorder="1" applyAlignment="1">
      <alignment horizontal="center"/>
    </xf>
    <xf numFmtId="0" fontId="9" fillId="0" borderId="25" xfId="0" applyFont="1" applyBorder="1" applyAlignment="1">
      <alignment horizontal="center" wrapText="1"/>
    </xf>
    <xf numFmtId="0" fontId="32" fillId="0" borderId="0" xfId="0" applyFont="1" applyAlignment="1">
      <alignment horizontal="right"/>
    </xf>
    <xf numFmtId="10" fontId="9" fillId="5" borderId="0" xfId="0" applyNumberFormat="1" applyFont="1" applyFill="1"/>
    <xf numFmtId="10" fontId="9" fillId="0" borderId="0" xfId="0" applyNumberFormat="1" applyFont="1"/>
    <xf numFmtId="172" fontId="9" fillId="0" borderId="0" xfId="0" applyNumberFormat="1" applyFont="1"/>
    <xf numFmtId="167" fontId="9" fillId="0" borderId="0" xfId="0" applyNumberFormat="1" applyFont="1"/>
    <xf numFmtId="10" fontId="49" fillId="0" borderId="25" xfId="0" applyNumberFormat="1" applyFont="1" applyBorder="1"/>
    <xf numFmtId="167" fontId="49" fillId="0" borderId="0" xfId="0" applyNumberFormat="1" applyFont="1"/>
    <xf numFmtId="172" fontId="49" fillId="0" borderId="0" xfId="0" applyNumberFormat="1" applyFont="1"/>
    <xf numFmtId="164" fontId="1" fillId="3" borderId="1" xfId="0" quotePrefix="1" applyNumberFormat="1" applyFont="1" applyFill="1" applyBorder="1" applyAlignment="1">
      <alignment horizontal="center" vertical="center"/>
    </xf>
    <xf numFmtId="0" fontId="3" fillId="0" borderId="0" xfId="0" quotePrefix="1" applyFont="1" applyAlignment="1">
      <alignment horizontal="center" vertical="center"/>
    </xf>
    <xf numFmtId="43" fontId="1" fillId="3" borderId="0" xfId="1" applyFont="1" applyFill="1" applyAlignment="1">
      <alignment horizontal="right"/>
    </xf>
    <xf numFmtId="43" fontId="1" fillId="3" borderId="0" xfId="1" applyFont="1" applyFill="1" applyAlignment="1">
      <alignment vertical="center"/>
    </xf>
    <xf numFmtId="0" fontId="6" fillId="0" borderId="0" xfId="0" applyFont="1" applyAlignment="1">
      <alignment horizontal="right" vertical="center"/>
    </xf>
    <xf numFmtId="165" fontId="1" fillId="0" borderId="16" xfId="0" applyNumberFormat="1" applyFont="1" applyBorder="1" applyAlignment="1">
      <alignment horizontal="right" vertical="center"/>
    </xf>
    <xf numFmtId="164" fontId="3" fillId="0" borderId="0" xfId="0" applyNumberFormat="1" applyFont="1" applyAlignment="1">
      <alignment horizontal="center" vertical="center"/>
    </xf>
    <xf numFmtId="0" fontId="2" fillId="0" borderId="0" xfId="0" quotePrefix="1" applyFont="1" applyAlignment="1">
      <alignment horizontal="center" vertical="center" wrapText="1"/>
    </xf>
    <xf numFmtId="0" fontId="52" fillId="0" borderId="0" xfId="0" quotePrefix="1" applyFont="1" applyAlignment="1">
      <alignment horizontal="center" vertical="center" wrapText="1"/>
    </xf>
    <xf numFmtId="164" fontId="2" fillId="0" borderId="25" xfId="0" applyNumberFormat="1" applyFont="1" applyBorder="1" applyAlignment="1">
      <alignment horizontal="center" vertical="center" wrapText="1"/>
    </xf>
    <xf numFmtId="0" fontId="9" fillId="0" borderId="13" xfId="0" quotePrefix="1" applyFont="1" applyBorder="1" applyAlignment="1">
      <alignment horizontal="center" vertical="center" wrapText="1"/>
    </xf>
    <xf numFmtId="166" fontId="20" fillId="3" borderId="0" xfId="0" applyNumberFormat="1" applyFont="1" applyFill="1" applyAlignment="1" applyProtection="1">
      <alignment vertical="center"/>
      <protection locked="0"/>
    </xf>
    <xf numFmtId="166" fontId="20" fillId="3" borderId="1" xfId="0" applyNumberFormat="1" applyFont="1" applyFill="1" applyBorder="1" applyAlignment="1">
      <alignment vertical="center"/>
    </xf>
    <xf numFmtId="165" fontId="19" fillId="3" borderId="0" xfId="0" applyNumberFormat="1" applyFont="1" applyFill="1" applyAlignment="1" applyProtection="1">
      <alignment vertical="center"/>
      <protection locked="0"/>
    </xf>
    <xf numFmtId="0" fontId="20" fillId="0" borderId="0" xfId="0" applyFont="1" applyAlignment="1">
      <alignment horizontal="left" vertical="center"/>
    </xf>
    <xf numFmtId="166" fontId="20" fillId="3" borderId="1" xfId="0" applyNumberFormat="1" applyFont="1" applyFill="1" applyBorder="1" applyAlignment="1" applyProtection="1">
      <alignment vertical="center"/>
      <protection locked="0"/>
    </xf>
    <xf numFmtId="3" fontId="20" fillId="0" borderId="0" xfId="0" applyNumberFormat="1" applyFont="1" applyAlignment="1">
      <alignment vertical="center"/>
    </xf>
    <xf numFmtId="166" fontId="20" fillId="0" borderId="0" xfId="0" applyNumberFormat="1" applyFont="1" applyAlignment="1">
      <alignment horizontal="right" vertical="center"/>
    </xf>
    <xf numFmtId="0" fontId="53" fillId="0" borderId="0" xfId="0" applyFont="1" applyAlignment="1">
      <alignment vertical="center"/>
    </xf>
    <xf numFmtId="166" fontId="19" fillId="2" borderId="0" xfId="0" applyNumberFormat="1" applyFont="1" applyFill="1" applyAlignment="1">
      <alignment horizontal="right" vertical="center"/>
    </xf>
    <xf numFmtId="165" fontId="20" fillId="0" borderId="0" xfId="0" applyNumberFormat="1" applyFont="1" applyAlignment="1" applyProtection="1">
      <alignment horizontal="right" vertical="center"/>
      <protection locked="0"/>
    </xf>
    <xf numFmtId="0" fontId="20" fillId="0" borderId="9" xfId="0" applyFont="1" applyBorder="1" applyAlignment="1">
      <alignment horizontal="center" vertical="center"/>
    </xf>
    <xf numFmtId="0" fontId="20" fillId="0" borderId="9" xfId="0" applyFont="1" applyBorder="1" applyAlignment="1">
      <alignment vertical="center"/>
    </xf>
    <xf numFmtId="0" fontId="20" fillId="0" borderId="9" xfId="0" applyFont="1" applyBorder="1" applyAlignment="1">
      <alignment horizontal="center" vertical="center" wrapText="1"/>
    </xf>
    <xf numFmtId="0" fontId="56" fillId="0" borderId="0" xfId="0" applyFont="1" applyAlignment="1">
      <alignment vertical="center"/>
    </xf>
    <xf numFmtId="10" fontId="20" fillId="0" borderId="0" xfId="0" applyNumberFormat="1" applyFont="1" applyAlignment="1">
      <alignment horizontal="right" vertical="center"/>
    </xf>
    <xf numFmtId="0" fontId="20" fillId="0" borderId="22" xfId="0" applyFont="1" applyBorder="1" applyAlignment="1">
      <alignment horizontal="center" vertical="center"/>
    </xf>
    <xf numFmtId="0" fontId="56" fillId="0" borderId="22" xfId="0" applyFont="1" applyBorder="1" applyAlignment="1">
      <alignment vertical="center"/>
    </xf>
    <xf numFmtId="0" fontId="20" fillId="0" borderId="22" xfId="0" applyFont="1" applyBorder="1" applyAlignment="1">
      <alignment vertical="center"/>
    </xf>
    <xf numFmtId="10" fontId="20" fillId="0" borderId="22" xfId="0" applyNumberFormat="1" applyFont="1" applyBorder="1" applyAlignment="1">
      <alignment horizontal="right" vertical="center"/>
    </xf>
    <xf numFmtId="0" fontId="20" fillId="0" borderId="22" xfId="0" applyFont="1" applyBorder="1" applyAlignment="1">
      <alignment horizontal="center" vertical="center" wrapText="1"/>
    </xf>
    <xf numFmtId="0" fontId="53" fillId="0" borderId="0" xfId="0" applyFont="1" applyAlignment="1">
      <alignment horizontal="center" vertical="center"/>
    </xf>
    <xf numFmtId="0" fontId="57" fillId="0" borderId="0" xfId="0" applyFont="1" applyAlignment="1">
      <alignment vertical="center"/>
    </xf>
    <xf numFmtId="0" fontId="20" fillId="0" borderId="0" xfId="0" applyFont="1" applyAlignment="1">
      <alignment vertical="center" wrapText="1"/>
    </xf>
    <xf numFmtId="167" fontId="20" fillId="0" borderId="0" xfId="0" applyNumberFormat="1" applyFont="1" applyAlignment="1">
      <alignment horizontal="right" vertical="center"/>
    </xf>
    <xf numFmtId="167" fontId="20" fillId="0" borderId="22" xfId="0" applyNumberFormat="1" applyFont="1" applyBorder="1" applyAlignment="1">
      <alignment horizontal="right" vertical="center"/>
    </xf>
    <xf numFmtId="5" fontId="20" fillId="0" borderId="0" xfId="0" applyNumberFormat="1" applyFont="1" applyAlignment="1">
      <alignment horizontal="center" vertical="center" wrapText="1"/>
    </xf>
    <xf numFmtId="0" fontId="19" fillId="0" borderId="0" xfId="0" applyFont="1"/>
    <xf numFmtId="0" fontId="19" fillId="0" borderId="0" xfId="5" applyFont="1" applyAlignment="1">
      <alignment vertical="center"/>
    </xf>
    <xf numFmtId="165" fontId="19" fillId="2" borderId="0" xfId="3" applyNumberFormat="1" applyFont="1" applyFill="1"/>
    <xf numFmtId="0" fontId="3" fillId="0" borderId="0" xfId="5" applyFont="1" applyAlignment="1">
      <alignment horizontal="center" vertical="center"/>
    </xf>
    <xf numFmtId="0" fontId="19" fillId="0" borderId="0" xfId="0" applyFont="1" applyAlignment="1">
      <alignment horizontal="center"/>
    </xf>
    <xf numFmtId="166" fontId="19" fillId="2" borderId="25" xfId="1" applyNumberFormat="1" applyFont="1" applyFill="1" applyBorder="1"/>
    <xf numFmtId="5" fontId="3" fillId="0" borderId="0" xfId="5" applyNumberFormat="1" applyFont="1" applyAlignment="1" applyProtection="1">
      <alignment horizontal="center" vertical="center"/>
      <protection locked="0"/>
    </xf>
    <xf numFmtId="165" fontId="19" fillId="0" borderId="0" xfId="0" applyNumberFormat="1" applyFont="1"/>
    <xf numFmtId="167" fontId="19" fillId="2" borderId="25" xfId="4" applyNumberFormat="1" applyFont="1" applyFill="1" applyBorder="1"/>
    <xf numFmtId="165" fontId="19" fillId="0" borderId="10" xfId="0" applyNumberFormat="1" applyFont="1" applyBorder="1"/>
    <xf numFmtId="0" fontId="19" fillId="0" borderId="0" xfId="6" applyFont="1" applyAlignment="1">
      <alignment horizontal="center" vertical="center"/>
    </xf>
    <xf numFmtId="0" fontId="58" fillId="0" borderId="0" xfId="0" applyFont="1" applyAlignment="1">
      <alignment horizontal="center" vertical="center"/>
    </xf>
    <xf numFmtId="5" fontId="20" fillId="0" borderId="0" xfId="0" applyNumberFormat="1" applyFont="1" applyAlignment="1" applyProtection="1">
      <alignment vertical="center"/>
      <protection locked="0"/>
    </xf>
    <xf numFmtId="165" fontId="19" fillId="0" borderId="0" xfId="3" applyNumberFormat="1" applyFont="1" applyAlignment="1">
      <alignment horizontal="right" vertical="center"/>
    </xf>
    <xf numFmtId="167" fontId="19" fillId="0" borderId="0" xfId="0" applyNumberFormat="1" applyFont="1" applyAlignment="1">
      <alignment horizontal="right" vertical="center"/>
    </xf>
    <xf numFmtId="166" fontId="19" fillId="0" borderId="25" xfId="1" applyNumberFormat="1" applyFont="1" applyBorder="1" applyAlignment="1">
      <alignment horizontal="right" vertical="center"/>
    </xf>
    <xf numFmtId="165" fontId="19" fillId="0" borderId="10" xfId="3" applyNumberFormat="1" applyFont="1" applyBorder="1" applyAlignment="1">
      <alignment horizontal="right" vertical="center"/>
    </xf>
    <xf numFmtId="165" fontId="19" fillId="0" borderId="25" xfId="3" applyNumberFormat="1" applyFont="1" applyBorder="1" applyAlignment="1">
      <alignment horizontal="right" vertical="center"/>
    </xf>
    <xf numFmtId="0" fontId="55" fillId="0" borderId="0" xfId="0" applyFont="1" applyAlignment="1">
      <alignment vertical="center"/>
    </xf>
    <xf numFmtId="0" fontId="19" fillId="0" borderId="26" xfId="5" applyFont="1" applyBorder="1" applyAlignment="1">
      <alignment vertical="center"/>
    </xf>
    <xf numFmtId="166" fontId="19" fillId="3" borderId="0" xfId="1" applyNumberFormat="1" applyFont="1" applyFill="1" applyAlignment="1" applyProtection="1">
      <alignment vertical="center"/>
      <protection locked="0"/>
    </xf>
    <xf numFmtId="166" fontId="1" fillId="3" borderId="25" xfId="0" applyNumberFormat="1" applyFont="1" applyFill="1" applyBorder="1" applyAlignment="1" applyProtection="1">
      <alignment vertical="center"/>
      <protection locked="0"/>
    </xf>
    <xf numFmtId="0" fontId="58" fillId="0" borderId="0" xfId="0" quotePrefix="1" applyFont="1" applyAlignment="1">
      <alignment horizontal="center" vertical="center"/>
    </xf>
    <xf numFmtId="165" fontId="20" fillId="3" borderId="0" xfId="0" applyNumberFormat="1" applyFont="1" applyFill="1" applyAlignment="1" applyProtection="1">
      <alignment vertical="center"/>
      <protection locked="0"/>
    </xf>
    <xf numFmtId="165" fontId="20" fillId="0" borderId="0" xfId="0" applyNumberFormat="1" applyFont="1" applyAlignment="1" applyProtection="1">
      <alignment vertical="center"/>
      <protection locked="0"/>
    </xf>
    <xf numFmtId="166" fontId="20" fillId="0" borderId="0" xfId="0" applyNumberFormat="1" applyFont="1" applyAlignment="1" applyProtection="1">
      <alignment vertical="center"/>
      <protection locked="0"/>
    </xf>
    <xf numFmtId="0" fontId="55" fillId="0" borderId="0" xfId="0" quotePrefix="1" applyFont="1" applyAlignment="1">
      <alignment horizontal="center" vertical="center"/>
    </xf>
    <xf numFmtId="10" fontId="19" fillId="0" borderId="2" xfId="0" applyNumberFormat="1" applyFont="1" applyBorder="1" applyAlignment="1">
      <alignment horizontal="right" vertical="center"/>
    </xf>
    <xf numFmtId="10" fontId="19" fillId="0" borderId="2" xfId="0" applyNumberFormat="1" applyFont="1" applyBorder="1" applyAlignment="1" applyProtection="1">
      <alignment horizontal="right" vertical="center"/>
      <protection locked="0"/>
    </xf>
    <xf numFmtId="0" fontId="19" fillId="0" borderId="0" xfId="2" applyFont="1" applyAlignment="1">
      <alignment vertical="center"/>
    </xf>
    <xf numFmtId="1" fontId="19" fillId="0" borderId="0" xfId="0" applyNumberFormat="1" applyFont="1" applyAlignment="1">
      <alignment horizontal="center" vertical="center"/>
    </xf>
    <xf numFmtId="166" fontId="19" fillId="0" borderId="0" xfId="0" applyNumberFormat="1" applyFont="1" applyAlignment="1">
      <alignment vertical="center"/>
    </xf>
    <xf numFmtId="166" fontId="19" fillId="0" borderId="16" xfId="0" applyNumberFormat="1" applyFont="1" applyBorder="1" applyAlignment="1">
      <alignment vertical="center"/>
    </xf>
    <xf numFmtId="10" fontId="19" fillId="0" borderId="0" xfId="0" applyNumberFormat="1" applyFont="1"/>
    <xf numFmtId="10" fontId="19" fillId="0" borderId="20" xfId="0" applyNumberFormat="1" applyFont="1" applyBorder="1" applyAlignment="1">
      <alignment vertical="center"/>
    </xf>
    <xf numFmtId="165" fontId="19" fillId="0" borderId="27" xfId="0" applyNumberFormat="1" applyFont="1" applyBorder="1"/>
    <xf numFmtId="167" fontId="1" fillId="2" borderId="0" xfId="0" applyNumberFormat="1" applyFont="1" applyFill="1" applyAlignment="1">
      <alignment horizontal="right" vertical="center"/>
    </xf>
    <xf numFmtId="10" fontId="1" fillId="4" borderId="0" xfId="0" applyNumberFormat="1" applyFont="1" applyFill="1" applyAlignment="1">
      <alignment horizontal="right" vertical="center"/>
    </xf>
    <xf numFmtId="10" fontId="1" fillId="0" borderId="25" xfId="0" applyNumberFormat="1" applyFont="1" applyBorder="1" applyAlignment="1">
      <alignment horizontal="right" vertical="center"/>
    </xf>
    <xf numFmtId="0" fontId="1" fillId="0" borderId="22" xfId="0" applyFont="1" applyBorder="1" applyAlignment="1">
      <alignment horizontal="center" vertical="center"/>
    </xf>
    <xf numFmtId="165" fontId="19" fillId="0" borderId="2" xfId="3" applyNumberFormat="1" applyFont="1" applyFill="1" applyBorder="1" applyAlignment="1">
      <alignment horizontal="right" vertical="center"/>
    </xf>
    <xf numFmtId="167" fontId="1" fillId="4" borderId="1" xfId="0" applyNumberFormat="1" applyFont="1" applyFill="1" applyBorder="1" applyAlignment="1">
      <alignment horizontal="right" vertical="center"/>
    </xf>
    <xf numFmtId="3" fontId="19" fillId="0" borderId="0" xfId="0" applyNumberFormat="1" applyFont="1" applyAlignment="1">
      <alignment vertical="center"/>
    </xf>
    <xf numFmtId="165" fontId="3" fillId="0" borderId="0" xfId="0" quotePrefix="1" applyNumberFormat="1" applyFont="1" applyAlignment="1">
      <alignment horizontal="right" vertical="center"/>
    </xf>
    <xf numFmtId="5" fontId="3" fillId="0" borderId="0" xfId="0" applyNumberFormat="1" applyFont="1" applyAlignment="1" applyProtection="1">
      <alignment horizontal="center" vertical="center"/>
      <protection locked="0"/>
    </xf>
    <xf numFmtId="166" fontId="1" fillId="3" borderId="25" xfId="0" applyNumberFormat="1" applyFont="1" applyFill="1" applyBorder="1" applyAlignment="1">
      <alignment horizontal="right" vertical="center"/>
    </xf>
    <xf numFmtId="44" fontId="19" fillId="3" borderId="0" xfId="3" applyFont="1" applyFill="1" applyBorder="1" applyAlignment="1">
      <alignment vertical="center"/>
    </xf>
    <xf numFmtId="165" fontId="19" fillId="0" borderId="2" xfId="0" applyNumberFormat="1" applyFont="1" applyBorder="1" applyAlignment="1">
      <alignment vertical="center"/>
    </xf>
    <xf numFmtId="166" fontId="1" fillId="0" borderId="0" xfId="0" applyNumberFormat="1" applyFont="1" applyAlignment="1" applyProtection="1">
      <alignment horizontal="right"/>
      <protection locked="0"/>
    </xf>
    <xf numFmtId="166" fontId="1" fillId="0" borderId="25" xfId="0" applyNumberFormat="1" applyFont="1" applyBorder="1" applyAlignment="1" applyProtection="1">
      <alignment vertical="center"/>
      <protection locked="0"/>
    </xf>
    <xf numFmtId="165" fontId="1" fillId="2" borderId="2" xfId="0" applyNumberFormat="1" applyFont="1" applyFill="1" applyBorder="1" applyAlignment="1">
      <alignment horizontal="right" vertical="center"/>
    </xf>
    <xf numFmtId="165" fontId="1" fillId="0" borderId="27" xfId="0" applyNumberFormat="1" applyFont="1" applyBorder="1" applyAlignment="1">
      <alignment horizontal="right" vertical="center"/>
    </xf>
    <xf numFmtId="166" fontId="19" fillId="0" borderId="0" xfId="1" applyNumberFormat="1" applyFont="1" applyFill="1"/>
    <xf numFmtId="166" fontId="19" fillId="0" borderId="0" xfId="1" applyNumberFormat="1" applyFont="1"/>
    <xf numFmtId="165" fontId="19" fillId="3" borderId="2" xfId="3" applyNumberFormat="1" applyFont="1" applyFill="1" applyBorder="1" applyAlignment="1">
      <alignment vertical="center"/>
    </xf>
    <xf numFmtId="3" fontId="1" fillId="0" borderId="0" xfId="2" applyNumberFormat="1" applyFont="1" applyAlignment="1">
      <alignment horizontal="centerContinuous" vertical="center"/>
    </xf>
    <xf numFmtId="10" fontId="1" fillId="2" borderId="0" xfId="0" applyNumberFormat="1" applyFont="1" applyFill="1" applyAlignment="1">
      <alignment vertical="center"/>
    </xf>
    <xf numFmtId="10" fontId="1" fillId="2" borderId="2" xfId="0" applyNumberFormat="1" applyFont="1" applyFill="1" applyBorder="1" applyAlignment="1">
      <alignment horizontal="right" vertical="center"/>
    </xf>
    <xf numFmtId="44" fontId="19" fillId="0" borderId="2" xfId="3" applyFont="1" applyFill="1" applyBorder="1" applyAlignment="1">
      <alignment horizontal="right" vertical="center"/>
    </xf>
    <xf numFmtId="10" fontId="1" fillId="3" borderId="16" xfId="4" applyNumberFormat="1" applyFont="1" applyFill="1" applyBorder="1" applyAlignment="1">
      <alignment horizontal="right" vertical="center"/>
    </xf>
    <xf numFmtId="174" fontId="65" fillId="3" borderId="0" xfId="0" quotePrefix="1" applyNumberFormat="1" applyFont="1" applyFill="1" applyAlignment="1">
      <alignment horizontal="center"/>
    </xf>
    <xf numFmtId="0" fontId="32" fillId="3" borderId="0" xfId="0" quotePrefix="1" applyFont="1" applyFill="1" applyAlignment="1">
      <alignment horizontal="centerContinuous"/>
    </xf>
    <xf numFmtId="165" fontId="1" fillId="0" borderId="0" xfId="3" applyNumberFormat="1" applyFont="1" applyAlignment="1">
      <alignment horizontal="right" vertical="center"/>
    </xf>
    <xf numFmtId="166" fontId="1" fillId="2" borderId="0" xfId="1" applyNumberFormat="1" applyFont="1" applyFill="1" applyAlignment="1">
      <alignment horizontal="right" vertical="center"/>
    </xf>
    <xf numFmtId="165" fontId="1" fillId="0" borderId="1" xfId="0" applyNumberFormat="1" applyFont="1" applyBorder="1" applyAlignment="1">
      <alignment horizontal="right" vertical="center"/>
    </xf>
    <xf numFmtId="0" fontId="20" fillId="0" borderId="0" xfId="2" applyFont="1" applyAlignment="1">
      <alignment vertical="center"/>
    </xf>
    <xf numFmtId="1" fontId="58" fillId="0" borderId="0" xfId="0" quotePrefix="1" applyNumberFormat="1" applyFont="1" applyAlignment="1">
      <alignment horizontal="center" vertical="center"/>
    </xf>
    <xf numFmtId="165" fontId="1" fillId="0" borderId="27" xfId="0" applyNumberFormat="1" applyFont="1" applyBorder="1" applyAlignment="1">
      <alignment vertical="center"/>
    </xf>
    <xf numFmtId="167" fontId="1" fillId="0" borderId="25" xfId="0" applyNumberFormat="1" applyFont="1" applyBorder="1" applyAlignment="1">
      <alignment horizontal="right" vertical="center"/>
    </xf>
    <xf numFmtId="165" fontId="1" fillId="0" borderId="27" xfId="0" quotePrefix="1" applyNumberFormat="1" applyFont="1" applyBorder="1" applyAlignment="1">
      <alignment horizontal="right" vertical="center"/>
    </xf>
    <xf numFmtId="165" fontId="1" fillId="0" borderId="27" xfId="0" applyNumberFormat="1" applyFont="1" applyBorder="1" applyAlignment="1">
      <alignment horizontal="center" vertical="center"/>
    </xf>
    <xf numFmtId="166" fontId="1" fillId="2" borderId="16" xfId="1" applyNumberFormat="1" applyFont="1" applyFill="1" applyBorder="1" applyAlignment="1">
      <alignment horizontal="right" vertical="center"/>
    </xf>
    <xf numFmtId="43" fontId="19" fillId="0" borderId="25" xfId="1" applyFont="1" applyBorder="1" applyAlignment="1">
      <alignment horizontal="right" vertical="center"/>
    </xf>
    <xf numFmtId="166" fontId="1" fillId="3" borderId="0" xfId="1" applyNumberFormat="1" applyFont="1" applyFill="1" applyAlignment="1" applyProtection="1">
      <alignment vertical="center"/>
      <protection locked="0"/>
    </xf>
    <xf numFmtId="5" fontId="19" fillId="0" borderId="0" xfId="0" applyNumberFormat="1" applyFont="1" applyAlignment="1">
      <alignment horizontal="center" vertical="center" wrapText="1"/>
    </xf>
    <xf numFmtId="0" fontId="2" fillId="0" borderId="0" xfId="0" quotePrefix="1" applyFont="1" applyAlignment="1">
      <alignment horizontal="center" vertical="center"/>
    </xf>
    <xf numFmtId="0" fontId="2" fillId="0" borderId="0" xfId="0" applyFont="1" applyAlignment="1">
      <alignment vertical="center"/>
    </xf>
    <xf numFmtId="0" fontId="2" fillId="3" borderId="0" xfId="0" applyFont="1" applyFill="1" applyAlignment="1">
      <alignment horizontal="center" vertical="center"/>
    </xf>
    <xf numFmtId="0" fontId="2" fillId="3" borderId="0" xfId="0" applyFont="1" applyFill="1"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2" fillId="2" borderId="0" xfId="0" applyFont="1" applyFill="1" applyAlignment="1">
      <alignment horizontal="center" vertical="center"/>
    </xf>
    <xf numFmtId="0" fontId="2" fillId="2" borderId="0" xfId="0" applyFont="1" applyFill="1" applyAlignment="1">
      <alignment vertical="center"/>
    </xf>
    <xf numFmtId="0" fontId="1" fillId="3" borderId="0" xfId="0" applyFont="1" applyFill="1" applyAlignment="1">
      <alignment vertical="center"/>
    </xf>
    <xf numFmtId="0" fontId="1" fillId="0" borderId="0" xfId="0" applyFont="1" applyAlignment="1">
      <alignment horizontal="left" vertical="center"/>
    </xf>
    <xf numFmtId="0" fontId="1" fillId="0" borderId="16" xfId="0" applyFont="1" applyBorder="1" applyAlignment="1">
      <alignment horizontal="center" vertical="center"/>
    </xf>
    <xf numFmtId="5" fontId="2" fillId="0" borderId="0" xfId="0" quotePrefix="1" applyNumberFormat="1" applyFont="1" applyAlignment="1">
      <alignment horizontal="center" vertical="center"/>
    </xf>
    <xf numFmtId="0" fontId="1" fillId="0" borderId="0" xfId="0" applyFont="1" applyAlignment="1">
      <alignment horizontal="center" vertical="center"/>
    </xf>
    <xf numFmtId="0" fontId="32" fillId="0" borderId="0" xfId="0" quotePrefix="1" applyFont="1" applyAlignment="1">
      <alignment horizontal="center" vertical="center"/>
    </xf>
    <xf numFmtId="166" fontId="33" fillId="0" borderId="14" xfId="0" applyNumberFormat="1" applyFont="1" applyBorder="1" applyAlignment="1">
      <alignment horizontal="center"/>
    </xf>
    <xf numFmtId="166" fontId="33" fillId="0" borderId="11" xfId="0" applyNumberFormat="1" applyFont="1" applyBorder="1" applyAlignment="1">
      <alignment horizontal="center"/>
    </xf>
    <xf numFmtId="166" fontId="33" fillId="0" borderId="12" xfId="0" applyNumberFormat="1" applyFont="1" applyBorder="1" applyAlignment="1">
      <alignment horizontal="center"/>
    </xf>
    <xf numFmtId="166" fontId="9" fillId="0" borderId="14" xfId="0" applyNumberFormat="1" applyFont="1" applyBorder="1" applyAlignment="1">
      <alignment horizontal="center"/>
    </xf>
    <xf numFmtId="166" fontId="9" fillId="0" borderId="11" xfId="0" applyNumberFormat="1" applyFont="1" applyBorder="1" applyAlignment="1">
      <alignment horizontal="center"/>
    </xf>
    <xf numFmtId="166" fontId="9" fillId="0" borderId="12" xfId="0" applyNumberFormat="1" applyFont="1" applyBorder="1" applyAlignment="1">
      <alignment horizontal="center"/>
    </xf>
    <xf numFmtId="0" fontId="15" fillId="0" borderId="0" xfId="0" quotePrefix="1" applyFont="1" applyAlignment="1">
      <alignment horizontal="center" vertical="center"/>
    </xf>
    <xf numFmtId="0" fontId="15" fillId="0" borderId="0" xfId="0" applyFont="1" applyAlignment="1">
      <alignment horizontal="center" vertical="center"/>
    </xf>
    <xf numFmtId="0" fontId="15" fillId="3" borderId="0" xfId="0" applyFont="1" applyFill="1" applyAlignment="1">
      <alignment horizontal="center" vertical="center"/>
    </xf>
    <xf numFmtId="0" fontId="15" fillId="2" borderId="0" xfId="0" applyFont="1" applyFill="1" applyAlignment="1">
      <alignment horizontal="center" vertical="center"/>
    </xf>
    <xf numFmtId="5" fontId="15" fillId="0" borderId="0" xfId="0" quotePrefix="1" applyNumberFormat="1" applyFont="1" applyAlignment="1">
      <alignment horizontal="center" vertical="center"/>
    </xf>
  </cellXfs>
  <cellStyles count="7">
    <cellStyle name="Comma" xfId="1" builtinId="3"/>
    <cellStyle name="Currency" xfId="3" builtinId="4"/>
    <cellStyle name="Normal" xfId="0" builtinId="0"/>
    <cellStyle name="Normal 2" xfId="2" xr:uid="{164E3AE8-6A81-4D98-B14D-DE46B5A5C78E}"/>
    <cellStyle name="Normal 9" xfId="5" xr:uid="{A2314C86-F26A-48DD-8C10-3773AF9FA3E9}"/>
    <cellStyle name="Normal 9 8" xfId="6" xr:uid="{CF467369-73A1-478E-B18A-179E27C6C1FA}"/>
    <cellStyle name="Percent" xfId="4" builtinId="5"/>
  </cellStyles>
  <dxfs count="0"/>
  <tableStyles count="1" defaultTableStyle="TableStyleMedium2" defaultPivotStyle="PivotStyleLight16">
    <tableStyle name="Invisible" pivot="0" table="0" count="0" xr9:uid="{481981E7-3BC5-4B62-8A69-2D9867AA1DA3}"/>
  </tableStyles>
  <colors>
    <mruColors>
      <color rgb="FF0000FF"/>
      <color rgb="FF993366"/>
      <color rgb="FFFF00FF"/>
      <color rgb="FFFF99FF"/>
      <color rgb="FFCC99FF"/>
      <color rgb="FFCCCC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238125</xdr:colOff>
      <xdr:row>37</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37</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37</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37</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130</xdr:row>
      <xdr:rowOff>9525</xdr:rowOff>
    </xdr:from>
    <xdr:to>
      <xdr:col>1</xdr:col>
      <xdr:colOff>3581077</xdr:colOff>
      <xdr:row>130</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142</xdr:row>
      <xdr:rowOff>200024</xdr:rowOff>
    </xdr:from>
    <xdr:to>
      <xdr:col>2</xdr:col>
      <xdr:colOff>895350</xdr:colOff>
      <xdr:row>143</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219</xdr:row>
      <xdr:rowOff>9525</xdr:rowOff>
    </xdr:from>
    <xdr:to>
      <xdr:col>1</xdr:col>
      <xdr:colOff>3581077</xdr:colOff>
      <xdr:row>219</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219</xdr:row>
      <xdr:rowOff>9525</xdr:rowOff>
    </xdr:from>
    <xdr:to>
      <xdr:col>1</xdr:col>
      <xdr:colOff>3581077</xdr:colOff>
      <xdr:row>219</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232</xdr:row>
      <xdr:rowOff>-1</xdr:rowOff>
    </xdr:from>
    <xdr:to>
      <xdr:col>2</xdr:col>
      <xdr:colOff>312424</xdr:colOff>
      <xdr:row>232</xdr:row>
      <xdr:rowOff>7936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54192" y="21074062"/>
          <a:ext cx="2788920" cy="7937"/>
        </a:xfrm>
        <a:prstGeom prst="line">
          <a:avLst/>
        </a:prstGeom>
        <a:noFill/>
        <a:ln w="9525">
          <a:solidFill>
            <a:srgbClr val="000000"/>
          </a:solidFill>
          <a:round/>
          <a:headEnd/>
          <a:tailEnd/>
        </a:ln>
      </xdr:spPr>
    </xdr:sp>
    <xdr:clientData/>
  </xdr:twoCellAnchor>
  <xdr:twoCellAnchor>
    <xdr:from>
      <xdr:col>1</xdr:col>
      <xdr:colOff>1531939</xdr:colOff>
      <xdr:row>170</xdr:row>
      <xdr:rowOff>9525</xdr:rowOff>
    </xdr:from>
    <xdr:to>
      <xdr:col>1</xdr:col>
      <xdr:colOff>3581077</xdr:colOff>
      <xdr:row>170</xdr:row>
      <xdr:rowOff>9525</xdr:rowOff>
    </xdr:to>
    <xdr:sp macro="" textlink="">
      <xdr:nvSpPr>
        <xdr:cNvPr id="7" name="Line 1">
          <a:extLst>
            <a:ext uri="{FF2B5EF4-FFF2-40B4-BE49-F238E27FC236}">
              <a16:creationId xmlns:a16="http://schemas.microsoft.com/office/drawing/2014/main" id="{8D0F6865-19BA-4E2E-A7FF-512F9B1E3170}"/>
            </a:ext>
          </a:extLst>
        </xdr:cNvPr>
        <xdr:cNvSpPr>
          <a:spLocks noChangeShapeType="1"/>
        </xdr:cNvSpPr>
      </xdr:nvSpPr>
      <xdr:spPr bwMode="auto">
        <a:xfrm>
          <a:off x="1877220" y="22381369"/>
          <a:ext cx="2049138" cy="0"/>
        </a:xfrm>
        <a:prstGeom prst="line">
          <a:avLst/>
        </a:prstGeom>
        <a:noFill/>
        <a:ln w="9525">
          <a:solidFill>
            <a:srgbClr val="000000"/>
          </a:solidFill>
          <a:round/>
          <a:headEnd/>
          <a:tailEnd/>
        </a:ln>
      </xdr:spPr>
    </xdr:sp>
    <xdr:clientData/>
  </xdr:twoCellAnchor>
  <xdr:twoCellAnchor>
    <xdr:from>
      <xdr:col>1</xdr:col>
      <xdr:colOff>1389067</xdr:colOff>
      <xdr:row>183</xdr:row>
      <xdr:rowOff>-1</xdr:rowOff>
    </xdr:from>
    <xdr:to>
      <xdr:col>2</xdr:col>
      <xdr:colOff>312424</xdr:colOff>
      <xdr:row>183</xdr:row>
      <xdr:rowOff>7936</xdr:rowOff>
    </xdr:to>
    <xdr:sp macro="" textlink="">
      <xdr:nvSpPr>
        <xdr:cNvPr id="8" name="Line 2">
          <a:extLst>
            <a:ext uri="{FF2B5EF4-FFF2-40B4-BE49-F238E27FC236}">
              <a16:creationId xmlns:a16="http://schemas.microsoft.com/office/drawing/2014/main" id="{EBC5AC8E-F3DE-4F98-BA14-AB0C4F33BE81}"/>
            </a:ext>
          </a:extLst>
        </xdr:cNvPr>
        <xdr:cNvSpPr>
          <a:spLocks noChangeShapeType="1"/>
        </xdr:cNvSpPr>
      </xdr:nvSpPr>
      <xdr:spPr bwMode="auto">
        <a:xfrm>
          <a:off x="1734348" y="24800718"/>
          <a:ext cx="2614295" cy="7937"/>
        </a:xfrm>
        <a:prstGeom prst="line">
          <a:avLst/>
        </a:prstGeom>
        <a:noFill/>
        <a:ln w="9525">
          <a:solidFill>
            <a:srgbClr val="000000"/>
          </a:solidFill>
          <a:round/>
          <a:headEnd/>
          <a:tailEnd/>
        </a:ln>
      </xdr:spPr>
    </xdr:sp>
    <xdr:clientData/>
  </xdr:twoCellAnchor>
  <xdr:twoCellAnchor>
    <xdr:from>
      <xdr:col>1</xdr:col>
      <xdr:colOff>1531939</xdr:colOff>
      <xdr:row>259</xdr:row>
      <xdr:rowOff>9525</xdr:rowOff>
    </xdr:from>
    <xdr:to>
      <xdr:col>1</xdr:col>
      <xdr:colOff>3581077</xdr:colOff>
      <xdr:row>259</xdr:row>
      <xdr:rowOff>9525</xdr:rowOff>
    </xdr:to>
    <xdr:sp macro="" textlink="">
      <xdr:nvSpPr>
        <xdr:cNvPr id="9" name="Line 1">
          <a:extLst>
            <a:ext uri="{FF2B5EF4-FFF2-40B4-BE49-F238E27FC236}">
              <a16:creationId xmlns:a16="http://schemas.microsoft.com/office/drawing/2014/main" id="{76A6E838-4EBB-463A-8F0D-FD64CB478541}"/>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1531939</xdr:colOff>
      <xdr:row>259</xdr:row>
      <xdr:rowOff>9525</xdr:rowOff>
    </xdr:from>
    <xdr:to>
      <xdr:col>1</xdr:col>
      <xdr:colOff>3581077</xdr:colOff>
      <xdr:row>259</xdr:row>
      <xdr:rowOff>9525</xdr:rowOff>
    </xdr:to>
    <xdr:sp macro="" textlink="">
      <xdr:nvSpPr>
        <xdr:cNvPr id="12" name="Line 1">
          <a:extLst>
            <a:ext uri="{FF2B5EF4-FFF2-40B4-BE49-F238E27FC236}">
              <a16:creationId xmlns:a16="http://schemas.microsoft.com/office/drawing/2014/main" id="{25BEA761-A780-40EC-ACE7-2FE43F425E83}"/>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1389067</xdr:colOff>
      <xdr:row>272</xdr:row>
      <xdr:rowOff>-1</xdr:rowOff>
    </xdr:from>
    <xdr:to>
      <xdr:col>2</xdr:col>
      <xdr:colOff>312424</xdr:colOff>
      <xdr:row>272</xdr:row>
      <xdr:rowOff>7936</xdr:rowOff>
    </xdr:to>
    <xdr:sp macro="" textlink="">
      <xdr:nvSpPr>
        <xdr:cNvPr id="13" name="Line 2">
          <a:extLst>
            <a:ext uri="{FF2B5EF4-FFF2-40B4-BE49-F238E27FC236}">
              <a16:creationId xmlns:a16="http://schemas.microsoft.com/office/drawing/2014/main" id="{E8699556-620A-4D2F-A552-EBA49106CDA8}"/>
            </a:ext>
          </a:extLst>
        </xdr:cNvPr>
        <xdr:cNvSpPr>
          <a:spLocks noChangeShapeType="1"/>
        </xdr:cNvSpPr>
      </xdr:nvSpPr>
      <xdr:spPr bwMode="auto">
        <a:xfrm>
          <a:off x="1734348" y="45160405"/>
          <a:ext cx="2614295" cy="7937"/>
        </a:xfrm>
        <a:prstGeom prst="line">
          <a:avLst/>
        </a:prstGeom>
        <a:noFill/>
        <a:ln w="9525">
          <a:solidFill>
            <a:srgbClr val="000000"/>
          </a:solidFill>
          <a:round/>
          <a:headEnd/>
          <a:tailEnd/>
        </a:ln>
      </xdr:spPr>
    </xdr:sp>
    <xdr:clientData/>
  </xdr:twoCellAnchor>
  <xdr:twoCellAnchor>
    <xdr:from>
      <xdr:col>1</xdr:col>
      <xdr:colOff>1531939</xdr:colOff>
      <xdr:row>259</xdr:row>
      <xdr:rowOff>9525</xdr:rowOff>
    </xdr:from>
    <xdr:to>
      <xdr:col>1</xdr:col>
      <xdr:colOff>3581077</xdr:colOff>
      <xdr:row>259</xdr:row>
      <xdr:rowOff>9525</xdr:rowOff>
    </xdr:to>
    <xdr:sp macro="" textlink="">
      <xdr:nvSpPr>
        <xdr:cNvPr id="14" name="Line 1">
          <a:extLst>
            <a:ext uri="{FF2B5EF4-FFF2-40B4-BE49-F238E27FC236}">
              <a16:creationId xmlns:a16="http://schemas.microsoft.com/office/drawing/2014/main" id="{B1DB2F18-D68C-4AB9-B554-9FFBB6249B8B}"/>
            </a:ext>
          </a:extLst>
        </xdr:cNvPr>
        <xdr:cNvSpPr>
          <a:spLocks noChangeShapeType="1"/>
        </xdr:cNvSpPr>
      </xdr:nvSpPr>
      <xdr:spPr bwMode="auto">
        <a:xfrm>
          <a:off x="1877220" y="34144744"/>
          <a:ext cx="2049138" cy="0"/>
        </a:xfrm>
        <a:prstGeom prst="line">
          <a:avLst/>
        </a:prstGeom>
        <a:noFill/>
        <a:ln w="9525">
          <a:solidFill>
            <a:srgbClr val="000000"/>
          </a:solidFill>
          <a:round/>
          <a:headEnd/>
          <a:tailEnd/>
        </a:ln>
      </xdr:spPr>
    </xdr:sp>
    <xdr:clientData/>
  </xdr:twoCellAnchor>
  <xdr:twoCellAnchor>
    <xdr:from>
      <xdr:col>1</xdr:col>
      <xdr:colOff>1389067</xdr:colOff>
      <xdr:row>271</xdr:row>
      <xdr:rowOff>202405</xdr:rowOff>
    </xdr:from>
    <xdr:to>
      <xdr:col>2</xdr:col>
      <xdr:colOff>312424</xdr:colOff>
      <xdr:row>272</xdr:row>
      <xdr:rowOff>7936</xdr:rowOff>
    </xdr:to>
    <xdr:sp macro="" textlink="">
      <xdr:nvSpPr>
        <xdr:cNvPr id="15" name="Line 2">
          <a:extLst>
            <a:ext uri="{FF2B5EF4-FFF2-40B4-BE49-F238E27FC236}">
              <a16:creationId xmlns:a16="http://schemas.microsoft.com/office/drawing/2014/main" id="{BFAAC6F3-5B98-4220-A80A-8A4D35D51C3B}"/>
            </a:ext>
          </a:extLst>
        </xdr:cNvPr>
        <xdr:cNvSpPr>
          <a:spLocks noChangeShapeType="1"/>
        </xdr:cNvSpPr>
      </xdr:nvSpPr>
      <xdr:spPr bwMode="auto">
        <a:xfrm>
          <a:off x="1734348" y="36564093"/>
          <a:ext cx="2614295" cy="7937"/>
        </a:xfrm>
        <a:prstGeom prst="line">
          <a:avLst/>
        </a:prstGeom>
        <a:noFill/>
        <a:ln w="9525">
          <a:solidFill>
            <a:srgbClr val="000000"/>
          </a:solidFill>
          <a:round/>
          <a:headEnd/>
          <a:tailEnd/>
        </a:ln>
      </xdr:spPr>
    </xdr:sp>
    <xdr:clientData/>
  </xdr:twoCellAnchor>
  <xdr:twoCellAnchor>
    <xdr:from>
      <xdr:col>1</xdr:col>
      <xdr:colOff>1389067</xdr:colOff>
      <xdr:row>182</xdr:row>
      <xdr:rowOff>200024</xdr:rowOff>
    </xdr:from>
    <xdr:to>
      <xdr:col>2</xdr:col>
      <xdr:colOff>895350</xdr:colOff>
      <xdr:row>183</xdr:row>
      <xdr:rowOff>9525</xdr:rowOff>
    </xdr:to>
    <xdr:sp macro="" textlink="">
      <xdr:nvSpPr>
        <xdr:cNvPr id="16" name="Line 2">
          <a:extLst>
            <a:ext uri="{FF2B5EF4-FFF2-40B4-BE49-F238E27FC236}">
              <a16:creationId xmlns:a16="http://schemas.microsoft.com/office/drawing/2014/main" id="{A558C5DD-1DAC-4737-8D1A-2A8924D06BFE}"/>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231</xdr:row>
      <xdr:rowOff>200024</xdr:rowOff>
    </xdr:from>
    <xdr:to>
      <xdr:col>2</xdr:col>
      <xdr:colOff>895350</xdr:colOff>
      <xdr:row>232</xdr:row>
      <xdr:rowOff>9525</xdr:rowOff>
    </xdr:to>
    <xdr:sp macro="" textlink="">
      <xdr:nvSpPr>
        <xdr:cNvPr id="20" name="Line 2">
          <a:extLst>
            <a:ext uri="{FF2B5EF4-FFF2-40B4-BE49-F238E27FC236}">
              <a16:creationId xmlns:a16="http://schemas.microsoft.com/office/drawing/2014/main" id="{932D2E73-4011-4D3F-B75C-0A2EAEA0E0E1}"/>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272</xdr:row>
      <xdr:rowOff>-1</xdr:rowOff>
    </xdr:from>
    <xdr:to>
      <xdr:col>2</xdr:col>
      <xdr:colOff>312424</xdr:colOff>
      <xdr:row>272</xdr:row>
      <xdr:rowOff>7936</xdr:rowOff>
    </xdr:to>
    <xdr:sp macro="" textlink="">
      <xdr:nvSpPr>
        <xdr:cNvPr id="21" name="Line 2">
          <a:extLst>
            <a:ext uri="{FF2B5EF4-FFF2-40B4-BE49-F238E27FC236}">
              <a16:creationId xmlns:a16="http://schemas.microsoft.com/office/drawing/2014/main" id="{87981E0A-7461-4221-BF3D-70A1B69E2862}"/>
            </a:ext>
          </a:extLst>
        </xdr:cNvPr>
        <xdr:cNvSpPr>
          <a:spLocks noChangeShapeType="1"/>
        </xdr:cNvSpPr>
      </xdr:nvSpPr>
      <xdr:spPr bwMode="auto">
        <a:xfrm>
          <a:off x="1731967" y="36242624"/>
          <a:ext cx="2619057" cy="7937"/>
        </a:xfrm>
        <a:prstGeom prst="line">
          <a:avLst/>
        </a:prstGeom>
        <a:noFill/>
        <a:ln w="9525">
          <a:solidFill>
            <a:srgbClr val="000000"/>
          </a:solidFill>
          <a:round/>
          <a:headEnd/>
          <a:tailEnd/>
        </a:ln>
      </xdr:spPr>
    </xdr:sp>
    <xdr:clientData/>
  </xdr:twoCellAnchor>
  <xdr:twoCellAnchor>
    <xdr:from>
      <xdr:col>1</xdr:col>
      <xdr:colOff>1389067</xdr:colOff>
      <xdr:row>271</xdr:row>
      <xdr:rowOff>200024</xdr:rowOff>
    </xdr:from>
    <xdr:to>
      <xdr:col>2</xdr:col>
      <xdr:colOff>895350</xdr:colOff>
      <xdr:row>272</xdr:row>
      <xdr:rowOff>9525</xdr:rowOff>
    </xdr:to>
    <xdr:sp macro="" textlink="">
      <xdr:nvSpPr>
        <xdr:cNvPr id="22" name="Line 2">
          <a:extLst>
            <a:ext uri="{FF2B5EF4-FFF2-40B4-BE49-F238E27FC236}">
              <a16:creationId xmlns:a16="http://schemas.microsoft.com/office/drawing/2014/main" id="{F65E1C16-2983-4EF1-93E1-541C0E6B5C17}"/>
            </a:ext>
          </a:extLst>
        </xdr:cNvPr>
        <xdr:cNvSpPr>
          <a:spLocks noChangeShapeType="1"/>
        </xdr:cNvSpPr>
      </xdr:nvSpPr>
      <xdr:spPr bwMode="auto">
        <a:xfrm>
          <a:off x="1731967" y="36242624"/>
          <a:ext cx="3201983" cy="9526"/>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mpra.sharepoint.com/teams/transmissionrevenue/2024/TO6/Formula%20Rate%20Blank%20Spreadsheet/TO6%20Formula%20Rate%20Blank%20Spreadsheet.xlsx" TargetMode="External"/><Relationship Id="rId1" Type="http://schemas.openxmlformats.org/officeDocument/2006/relationships/externalLinkPath" Target="/teams/transmissionrevenue/2024/TO6/Formula%20Rate%20Blank%20Spreadsheet/TO6%20Formula%20Rate%20Blank%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K-1 Retail TRR"/>
      <sheetName val="BK-2 ISO TRR"/>
      <sheetName val="Stmt AD"/>
      <sheetName val="Stmt AE"/>
      <sheetName val="Stmt AF"/>
      <sheetName val="AF-1"/>
      <sheetName val="AF-2"/>
      <sheetName val="Stmt AG"/>
      <sheetName val="Stmt AH"/>
      <sheetName val="Stmt AI"/>
      <sheetName val="Stmt AJ"/>
      <sheetName val="Stmt AK"/>
      <sheetName val="Stmt AL"/>
      <sheetName val="Stmt AM"/>
      <sheetName val="Stmt AQ"/>
      <sheetName val="Stmt AR"/>
      <sheetName val="AR-1"/>
      <sheetName val="Stmt AT"/>
      <sheetName val="AT-1"/>
      <sheetName val="Stmt AU"/>
      <sheetName val="Stmt AV"/>
      <sheetName val="Stmt Misc."/>
      <sheetName val="Order 864-1"/>
      <sheetName val="Order 864-2"/>
      <sheetName val="Order 864-3"/>
      <sheetName val="Order 864-4"/>
      <sheetName val="True-Up"/>
      <sheetName val="Interest TU BP"/>
      <sheetName val="Interest TU CY"/>
      <sheetName val="TOX Stmt AF Proration"/>
      <sheetName val="Summary of HV-LV Spl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K345"/>
  <sheetViews>
    <sheetView zoomScale="80" zoomScaleNormal="80" workbookViewId="0"/>
  </sheetViews>
  <sheetFormatPr defaultColWidth="9.28515625" defaultRowHeight="15.75" x14ac:dyDescent="0.25"/>
  <cols>
    <col min="1" max="1" width="5.28515625" style="38" customWidth="1"/>
    <col min="2" max="2" width="86.28515625" style="38" customWidth="1"/>
    <col min="3" max="3" width="10.42578125" style="38" customWidth="1"/>
    <col min="4" max="4" width="1.5703125" style="38" customWidth="1"/>
    <col min="5" max="5" width="16.7109375" style="38" customWidth="1"/>
    <col min="6" max="6" width="1.5703125" style="38" customWidth="1"/>
    <col min="7" max="7" width="51.42578125" style="38" customWidth="1"/>
    <col min="8" max="9" width="5.28515625" style="2" customWidth="1"/>
    <col min="10" max="10" width="22.42578125" style="38" customWidth="1"/>
    <col min="11" max="11" width="20.28515625" style="38" bestFit="1" customWidth="1"/>
    <col min="12" max="16384" width="9.28515625" style="38"/>
  </cols>
  <sheetData>
    <row r="2" spans="1:11" x14ac:dyDescent="0.25">
      <c r="A2" s="2"/>
      <c r="B2" s="584" t="s">
        <v>16</v>
      </c>
      <c r="C2" s="581"/>
      <c r="D2" s="581"/>
      <c r="E2" s="581"/>
      <c r="F2" s="581"/>
      <c r="G2" s="581"/>
    </row>
    <row r="3" spans="1:11" x14ac:dyDescent="0.25">
      <c r="A3" s="2" t="s">
        <v>8</v>
      </c>
      <c r="B3" s="584" t="s">
        <v>179</v>
      </c>
      <c r="C3" s="581"/>
      <c r="D3" s="581"/>
      <c r="E3" s="581"/>
      <c r="F3" s="581"/>
      <c r="G3" s="581"/>
    </row>
    <row r="4" spans="1:11" ht="17.25" x14ac:dyDescent="0.25">
      <c r="A4" s="2"/>
      <c r="B4" s="584" t="s">
        <v>180</v>
      </c>
      <c r="C4" s="585"/>
      <c r="D4" s="585"/>
      <c r="E4" s="585"/>
      <c r="F4" s="585"/>
      <c r="G4" s="585"/>
    </row>
    <row r="5" spans="1:11" x14ac:dyDescent="0.25">
      <c r="A5" s="2"/>
      <c r="B5" s="582" t="s">
        <v>1126</v>
      </c>
      <c r="C5" s="582"/>
      <c r="D5" s="582"/>
      <c r="E5" s="582"/>
      <c r="F5" s="582"/>
      <c r="G5" s="582"/>
    </row>
    <row r="6" spans="1:11" x14ac:dyDescent="0.25">
      <c r="A6" s="2"/>
      <c r="B6" s="580" t="s">
        <v>1</v>
      </c>
      <c r="C6" s="581"/>
      <c r="D6" s="581"/>
      <c r="E6" s="581"/>
      <c r="F6" s="581"/>
      <c r="G6" s="581"/>
    </row>
    <row r="7" spans="1:11" x14ac:dyDescent="0.25">
      <c r="A7" s="2"/>
      <c r="B7" s="188"/>
      <c r="C7" s="1"/>
      <c r="D7" s="1"/>
      <c r="E7" s="1"/>
      <c r="F7" s="1"/>
      <c r="G7" s="1"/>
    </row>
    <row r="8" spans="1:11" x14ac:dyDescent="0.25">
      <c r="A8" s="2" t="s">
        <v>2</v>
      </c>
      <c r="E8" s="29"/>
      <c r="G8" s="2"/>
      <c r="H8" s="2" t="s">
        <v>2</v>
      </c>
    </row>
    <row r="9" spans="1:11" ht="15.6" customHeight="1" x14ac:dyDescent="0.25">
      <c r="A9" s="2" t="s">
        <v>18</v>
      </c>
      <c r="B9" s="1" t="s">
        <v>8</v>
      </c>
      <c r="E9" s="183" t="s">
        <v>37</v>
      </c>
      <c r="G9" s="42" t="s">
        <v>7</v>
      </c>
      <c r="H9" s="2" t="s">
        <v>18</v>
      </c>
    </row>
    <row r="10" spans="1:11" x14ac:dyDescent="0.25">
      <c r="A10" s="2"/>
      <c r="B10" s="169" t="s">
        <v>181</v>
      </c>
      <c r="E10" s="57"/>
      <c r="G10" s="2"/>
    </row>
    <row r="11" spans="1:11" x14ac:dyDescent="0.25">
      <c r="A11" s="2">
        <v>1</v>
      </c>
      <c r="B11" s="39" t="s">
        <v>182</v>
      </c>
      <c r="C11" s="184"/>
      <c r="D11" s="184"/>
      <c r="E11" s="5">
        <f>'Stmt AH'!E20</f>
        <v>0</v>
      </c>
      <c r="G11" s="2" t="s">
        <v>1008</v>
      </c>
      <c r="H11" s="2">
        <f>A11</f>
        <v>1</v>
      </c>
      <c r="J11" s="39"/>
    </row>
    <row r="12" spans="1:11" x14ac:dyDescent="0.25">
      <c r="A12" s="2">
        <f t="shared" ref="A12:A40" si="0">A11+1</f>
        <v>2</v>
      </c>
      <c r="B12" s="39" t="s">
        <v>8</v>
      </c>
      <c r="C12" s="184"/>
      <c r="D12" s="184"/>
      <c r="E12" s="6" t="s">
        <v>8</v>
      </c>
      <c r="G12" s="2"/>
      <c r="H12" s="2">
        <f t="shared" ref="H12:H26" si="1">H11+1</f>
        <v>2</v>
      </c>
      <c r="J12" s="39"/>
    </row>
    <row r="13" spans="1:11" x14ac:dyDescent="0.25">
      <c r="A13" s="2">
        <f t="shared" si="0"/>
        <v>3</v>
      </c>
      <c r="B13" s="39" t="s">
        <v>183</v>
      </c>
      <c r="C13" s="184"/>
      <c r="D13" s="184"/>
      <c r="E13" s="7">
        <f>'Stmt AH'!E45</f>
        <v>0</v>
      </c>
      <c r="F13" s="1"/>
      <c r="G13" s="2" t="s">
        <v>1175</v>
      </c>
      <c r="H13" s="2">
        <f t="shared" si="1"/>
        <v>3</v>
      </c>
      <c r="J13" s="39"/>
    </row>
    <row r="14" spans="1:11" x14ac:dyDescent="0.25">
      <c r="A14" s="2">
        <f t="shared" si="0"/>
        <v>4</v>
      </c>
      <c r="B14" s="39"/>
      <c r="C14" s="184"/>
      <c r="D14" s="184"/>
      <c r="E14" s="6"/>
      <c r="F14" s="1"/>
      <c r="G14" s="2"/>
      <c r="H14" s="2">
        <f t="shared" si="1"/>
        <v>4</v>
      </c>
      <c r="K14" s="185"/>
    </row>
    <row r="15" spans="1:11" x14ac:dyDescent="0.25">
      <c r="A15" s="2">
        <f t="shared" si="0"/>
        <v>5</v>
      </c>
      <c r="B15" s="39" t="s">
        <v>64</v>
      </c>
      <c r="C15" s="184"/>
      <c r="D15" s="184"/>
      <c r="E15" s="8">
        <f>-'Stmt AH'!E27</f>
        <v>0</v>
      </c>
      <c r="G15" s="2" t="s">
        <v>995</v>
      </c>
      <c r="H15" s="2">
        <f t="shared" si="1"/>
        <v>5</v>
      </c>
      <c r="K15" s="185"/>
    </row>
    <row r="16" spans="1:11" x14ac:dyDescent="0.25">
      <c r="A16" s="2">
        <f t="shared" si="0"/>
        <v>6</v>
      </c>
      <c r="B16" s="39" t="s">
        <v>184</v>
      </c>
      <c r="C16" s="184"/>
      <c r="D16" s="184"/>
      <c r="E16" s="567">
        <f>E11+E13+E15</f>
        <v>0</v>
      </c>
      <c r="F16" s="1"/>
      <c r="G16" s="2" t="s">
        <v>584</v>
      </c>
      <c r="H16" s="2">
        <f t="shared" si="1"/>
        <v>6</v>
      </c>
      <c r="J16" s="2"/>
      <c r="K16" s="185"/>
    </row>
    <row r="17" spans="1:10" x14ac:dyDescent="0.25">
      <c r="A17" s="2">
        <f t="shared" si="0"/>
        <v>7</v>
      </c>
      <c r="E17" s="4"/>
      <c r="G17" s="2"/>
      <c r="H17" s="2">
        <f t="shared" si="1"/>
        <v>7</v>
      </c>
    </row>
    <row r="18" spans="1:10" x14ac:dyDescent="0.25">
      <c r="A18" s="2">
        <f t="shared" si="0"/>
        <v>8</v>
      </c>
      <c r="B18" s="38" t="s">
        <v>185</v>
      </c>
      <c r="C18" s="184"/>
      <c r="D18" s="184"/>
      <c r="E18" s="568">
        <f>'Stmt AJ'!E27</f>
        <v>0</v>
      </c>
      <c r="F18" s="71"/>
      <c r="G18" s="2" t="s">
        <v>585</v>
      </c>
      <c r="H18" s="2">
        <f t="shared" si="1"/>
        <v>8</v>
      </c>
    </row>
    <row r="19" spans="1:10" x14ac:dyDescent="0.25">
      <c r="A19" s="2">
        <f t="shared" si="0"/>
        <v>9</v>
      </c>
      <c r="E19" s="10" t="s">
        <v>8</v>
      </c>
      <c r="G19" s="2"/>
      <c r="H19" s="2">
        <f t="shared" si="1"/>
        <v>9</v>
      </c>
    </row>
    <row r="20" spans="1:10" ht="18.75" x14ac:dyDescent="0.25">
      <c r="A20" s="2">
        <f t="shared" si="0"/>
        <v>10</v>
      </c>
      <c r="B20" s="38" t="s">
        <v>470</v>
      </c>
      <c r="E20" s="11">
        <f>'Stmt AJ'!E33</f>
        <v>0</v>
      </c>
      <c r="G20" s="2" t="s">
        <v>586</v>
      </c>
      <c r="H20" s="2">
        <f t="shared" si="1"/>
        <v>10</v>
      </c>
      <c r="J20" s="39"/>
    </row>
    <row r="21" spans="1:10" x14ac:dyDescent="0.25">
      <c r="A21" s="2">
        <f t="shared" si="0"/>
        <v>11</v>
      </c>
      <c r="E21" s="10"/>
      <c r="G21" s="2"/>
      <c r="H21" s="2">
        <f t="shared" si="1"/>
        <v>11</v>
      </c>
    </row>
    <row r="22" spans="1:10" x14ac:dyDescent="0.25">
      <c r="A22" s="2">
        <f t="shared" si="0"/>
        <v>12</v>
      </c>
      <c r="B22" s="38" t="s">
        <v>78</v>
      </c>
      <c r="C22" s="184"/>
      <c r="D22" s="184"/>
      <c r="E22" s="7">
        <f>'Stmt AK'!E23</f>
        <v>0</v>
      </c>
      <c r="F22" s="1"/>
      <c r="G22" s="2" t="s">
        <v>1155</v>
      </c>
      <c r="H22" s="2">
        <f t="shared" si="1"/>
        <v>12</v>
      </c>
      <c r="J22" s="39"/>
    </row>
    <row r="23" spans="1:10" x14ac:dyDescent="0.25">
      <c r="A23" s="2">
        <f t="shared" si="0"/>
        <v>13</v>
      </c>
      <c r="B23" s="39"/>
      <c r="C23" s="184"/>
      <c r="D23" s="184"/>
      <c r="E23" s="6"/>
      <c r="G23" s="2"/>
      <c r="H23" s="2">
        <f t="shared" si="1"/>
        <v>13</v>
      </c>
    </row>
    <row r="24" spans="1:10" x14ac:dyDescent="0.25">
      <c r="A24" s="2">
        <f t="shared" si="0"/>
        <v>14</v>
      </c>
      <c r="B24" s="38" t="s">
        <v>79</v>
      </c>
      <c r="C24" s="184"/>
      <c r="D24" s="184"/>
      <c r="E24" s="8">
        <f>'Stmt AK'!E30</f>
        <v>0</v>
      </c>
      <c r="F24" s="1"/>
      <c r="G24" s="2" t="s">
        <v>1156</v>
      </c>
      <c r="H24" s="2">
        <f t="shared" si="1"/>
        <v>14</v>
      </c>
      <c r="J24" s="39"/>
    </row>
    <row r="25" spans="1:10" x14ac:dyDescent="0.25">
      <c r="A25" s="2">
        <f t="shared" si="0"/>
        <v>15</v>
      </c>
      <c r="B25" s="39" t="s">
        <v>186</v>
      </c>
      <c r="C25" s="184"/>
      <c r="D25" s="184"/>
      <c r="E25" s="9">
        <f>SUM(E16+E18+E20+E22+E24)</f>
        <v>0</v>
      </c>
      <c r="F25" s="1"/>
      <c r="G25" s="2" t="s">
        <v>690</v>
      </c>
      <c r="H25" s="2">
        <f t="shared" si="1"/>
        <v>15</v>
      </c>
    </row>
    <row r="26" spans="1:10" x14ac:dyDescent="0.25">
      <c r="A26" s="2">
        <f t="shared" si="0"/>
        <v>16</v>
      </c>
      <c r="B26" s="39"/>
      <c r="C26" s="184"/>
      <c r="D26" s="184"/>
      <c r="E26" s="12"/>
      <c r="G26" s="2"/>
      <c r="H26" s="2">
        <f t="shared" si="1"/>
        <v>16</v>
      </c>
    </row>
    <row r="27" spans="1:10" ht="18.75" x14ac:dyDescent="0.25">
      <c r="A27" s="2">
        <f t="shared" si="0"/>
        <v>17</v>
      </c>
      <c r="B27" s="39" t="s">
        <v>1047</v>
      </c>
      <c r="C27" s="484"/>
      <c r="D27" s="484"/>
      <c r="E27" s="541">
        <f>'Stmt AV'!G156</f>
        <v>0</v>
      </c>
      <c r="F27" s="218"/>
      <c r="G27" s="2" t="s">
        <v>1010</v>
      </c>
      <c r="H27" s="2">
        <f t="shared" ref="H27" si="2">H26+1</f>
        <v>17</v>
      </c>
    </row>
    <row r="28" spans="1:10" x14ac:dyDescent="0.25">
      <c r="A28" s="2">
        <f t="shared" si="0"/>
        <v>18</v>
      </c>
      <c r="B28" s="39" t="s">
        <v>187</v>
      </c>
      <c r="C28" s="484"/>
      <c r="D28" s="484"/>
      <c r="E28" s="13">
        <f>E137</f>
        <v>0</v>
      </c>
      <c r="F28" s="218"/>
      <c r="G28" s="2" t="s">
        <v>746</v>
      </c>
      <c r="H28" s="2">
        <f t="shared" ref="H28" si="3">H27+1</f>
        <v>18</v>
      </c>
    </row>
    <row r="29" spans="1:10" x14ac:dyDescent="0.25">
      <c r="A29" s="2">
        <f t="shared" si="0"/>
        <v>19</v>
      </c>
      <c r="B29" s="38" t="s">
        <v>994</v>
      </c>
      <c r="C29" s="484"/>
      <c r="D29" s="484"/>
      <c r="E29" s="14">
        <f>E28*E27</f>
        <v>0</v>
      </c>
      <c r="F29" s="218"/>
      <c r="G29" s="2" t="s">
        <v>691</v>
      </c>
      <c r="H29" s="2">
        <f t="shared" ref="H29" si="4">H28+1</f>
        <v>19</v>
      </c>
    </row>
    <row r="30" spans="1:10" x14ac:dyDescent="0.25">
      <c r="A30" s="2">
        <f t="shared" si="0"/>
        <v>20</v>
      </c>
      <c r="C30" s="484"/>
      <c r="D30" s="484"/>
      <c r="E30" s="12"/>
      <c r="F30" s="218"/>
      <c r="G30" s="2"/>
      <c r="H30" s="2">
        <f t="shared" ref="H30" si="5">H29+1</f>
        <v>20</v>
      </c>
    </row>
    <row r="31" spans="1:10" ht="18.75" x14ac:dyDescent="0.25">
      <c r="A31" s="2">
        <f t="shared" si="0"/>
        <v>21</v>
      </c>
      <c r="B31" s="39" t="s">
        <v>1048</v>
      </c>
      <c r="C31" s="484"/>
      <c r="D31" s="485"/>
      <c r="E31" s="541">
        <f>'Stmt AV'!G196</f>
        <v>0</v>
      </c>
      <c r="F31" s="486"/>
      <c r="G31" s="2" t="s">
        <v>1050</v>
      </c>
      <c r="H31" s="2">
        <f t="shared" ref="H31" si="6">H30+1</f>
        <v>21</v>
      </c>
      <c r="J31" s="39"/>
    </row>
    <row r="32" spans="1:10" x14ac:dyDescent="0.25">
      <c r="A32" s="2">
        <f t="shared" si="0"/>
        <v>22</v>
      </c>
      <c r="B32" s="39" t="s">
        <v>187</v>
      </c>
      <c r="C32" s="484"/>
      <c r="D32" s="484"/>
      <c r="E32" s="13">
        <f>E137-E120</f>
        <v>0</v>
      </c>
      <c r="F32" s="486"/>
      <c r="G32" s="2" t="s">
        <v>825</v>
      </c>
      <c r="H32" s="2">
        <f t="shared" ref="H32" si="7">H31+1</f>
        <v>22</v>
      </c>
    </row>
    <row r="33" spans="1:10" x14ac:dyDescent="0.25">
      <c r="A33" s="2">
        <f t="shared" si="0"/>
        <v>23</v>
      </c>
      <c r="B33" s="38" t="s">
        <v>743</v>
      </c>
      <c r="C33" s="218"/>
      <c r="D33" s="218"/>
      <c r="E33" s="14">
        <f>E32*E31</f>
        <v>0</v>
      </c>
      <c r="F33" s="486"/>
      <c r="G33" s="2" t="s">
        <v>731</v>
      </c>
      <c r="H33" s="2">
        <f t="shared" ref="H33" si="8">H32+1</f>
        <v>23</v>
      </c>
    </row>
    <row r="34" spans="1:10" x14ac:dyDescent="0.25">
      <c r="A34" s="2">
        <f t="shared" si="0"/>
        <v>24</v>
      </c>
      <c r="E34" s="9"/>
      <c r="G34" s="2"/>
      <c r="H34" s="2">
        <f t="shared" ref="H34" si="9">H33+1</f>
        <v>24</v>
      </c>
      <c r="I34" s="210"/>
    </row>
    <row r="35" spans="1:10" x14ac:dyDescent="0.25">
      <c r="A35" s="2">
        <f t="shared" si="0"/>
        <v>25</v>
      </c>
      <c r="B35" s="38" t="s">
        <v>333</v>
      </c>
      <c r="E35" s="5">
        <f>'Stmt AQ'!E13</f>
        <v>0</v>
      </c>
      <c r="G35" s="2" t="s">
        <v>808</v>
      </c>
      <c r="H35" s="2">
        <f t="shared" ref="H35" si="10">H34+1</f>
        <v>25</v>
      </c>
      <c r="I35" s="210"/>
      <c r="J35" s="39"/>
    </row>
    <row r="36" spans="1:10" x14ac:dyDescent="0.25">
      <c r="A36" s="2">
        <f t="shared" si="0"/>
        <v>26</v>
      </c>
      <c r="B36" s="38" t="s">
        <v>188</v>
      </c>
      <c r="E36" s="7">
        <f>'Stmt AU'!E23</f>
        <v>0</v>
      </c>
      <c r="F36" s="1"/>
      <c r="G36" s="2" t="s">
        <v>587</v>
      </c>
      <c r="H36" s="2">
        <f t="shared" ref="H36" si="11">H35+1</f>
        <v>26</v>
      </c>
      <c r="I36" s="210"/>
      <c r="J36" s="39"/>
    </row>
    <row r="37" spans="1:10" x14ac:dyDescent="0.25">
      <c r="A37" s="2">
        <f t="shared" si="0"/>
        <v>27</v>
      </c>
      <c r="B37" s="38" t="s">
        <v>461</v>
      </c>
      <c r="E37" s="7">
        <f>'Stmt Misc.'!E10</f>
        <v>0</v>
      </c>
      <c r="G37" s="2" t="s">
        <v>588</v>
      </c>
      <c r="H37" s="2">
        <f t="shared" ref="H37" si="12">H36+1</f>
        <v>27</v>
      </c>
      <c r="I37" s="210"/>
    </row>
    <row r="38" spans="1:10" x14ac:dyDescent="0.25">
      <c r="A38" s="2">
        <f t="shared" si="0"/>
        <v>28</v>
      </c>
      <c r="B38" s="170" t="s">
        <v>189</v>
      </c>
      <c r="E38" s="8">
        <f>'Stmt AU'!E25</f>
        <v>0</v>
      </c>
      <c r="G38" s="2" t="s">
        <v>589</v>
      </c>
      <c r="H38" s="2">
        <f t="shared" ref="H38" si="13">H37+1</f>
        <v>28</v>
      </c>
      <c r="I38" s="210"/>
      <c r="J38" s="39"/>
    </row>
    <row r="39" spans="1:10" x14ac:dyDescent="0.25">
      <c r="A39" s="2">
        <f t="shared" si="0"/>
        <v>29</v>
      </c>
      <c r="E39" s="10" t="s">
        <v>8</v>
      </c>
      <c r="G39" s="2"/>
      <c r="H39" s="2">
        <f t="shared" ref="H39" si="14">H38+1</f>
        <v>29</v>
      </c>
      <c r="I39" s="210"/>
      <c r="J39" s="39"/>
    </row>
    <row r="40" spans="1:10" ht="19.5" thickBot="1" x14ac:dyDescent="0.3">
      <c r="A40" s="2">
        <f t="shared" si="0"/>
        <v>30</v>
      </c>
      <c r="B40" s="38" t="s">
        <v>443</v>
      </c>
      <c r="C40" s="184"/>
      <c r="D40" s="184"/>
      <c r="E40" s="15">
        <f>E25+E29+E33+SUM(E35:E38)</f>
        <v>0</v>
      </c>
      <c r="F40" s="1"/>
      <c r="G40" s="175" t="s">
        <v>1049</v>
      </c>
      <c r="H40" s="2">
        <f t="shared" ref="H40" si="15">H39+1</f>
        <v>30</v>
      </c>
      <c r="I40" s="210"/>
      <c r="J40" s="39"/>
    </row>
    <row r="41" spans="1:10" ht="16.5" thickTop="1" x14ac:dyDescent="0.25">
      <c r="A41" s="2"/>
      <c r="C41" s="184"/>
      <c r="D41" s="184"/>
      <c r="E41" s="16"/>
      <c r="F41" s="1"/>
      <c r="G41" s="2"/>
      <c r="J41" s="39"/>
    </row>
    <row r="42" spans="1:10" x14ac:dyDescent="0.25">
      <c r="A42" s="2"/>
      <c r="C42" s="184"/>
      <c r="D42" s="184"/>
      <c r="E42" s="16"/>
      <c r="F42" s="1"/>
      <c r="G42" s="2"/>
      <c r="J42" s="39"/>
    </row>
    <row r="43" spans="1:10" ht="18.75" x14ac:dyDescent="0.25">
      <c r="A43" s="174">
        <v>1</v>
      </c>
      <c r="B43" s="38" t="s">
        <v>193</v>
      </c>
      <c r="C43" s="184"/>
      <c r="D43" s="184"/>
      <c r="E43" s="16"/>
      <c r="F43" s="1"/>
      <c r="G43" s="2"/>
      <c r="J43" s="39"/>
    </row>
    <row r="44" spans="1:10" ht="18.75" x14ac:dyDescent="0.25">
      <c r="A44" s="174"/>
      <c r="C44" s="184"/>
      <c r="D44" s="184"/>
      <c r="E44" s="16"/>
      <c r="F44" s="1"/>
      <c r="G44" s="2"/>
      <c r="J44" s="39"/>
    </row>
    <row r="45" spans="1:10" x14ac:dyDescent="0.25">
      <c r="A45" s="2"/>
      <c r="C45" s="184"/>
      <c r="D45" s="184"/>
      <c r="E45" s="16"/>
      <c r="F45" s="1"/>
      <c r="G45" s="2"/>
      <c r="J45" s="39"/>
    </row>
    <row r="46" spans="1:10" x14ac:dyDescent="0.25">
      <c r="A46" s="2"/>
      <c r="B46" s="584" t="s">
        <v>16</v>
      </c>
      <c r="C46" s="581"/>
      <c r="D46" s="581"/>
      <c r="E46" s="581"/>
      <c r="F46" s="581"/>
      <c r="G46" s="581"/>
      <c r="J46" s="39"/>
    </row>
    <row r="47" spans="1:10" x14ac:dyDescent="0.25">
      <c r="A47" s="2"/>
      <c r="B47" s="584" t="s">
        <v>179</v>
      </c>
      <c r="C47" s="581"/>
      <c r="D47" s="581"/>
      <c r="E47" s="581"/>
      <c r="F47" s="581"/>
      <c r="G47" s="581"/>
      <c r="J47" s="39"/>
    </row>
    <row r="48" spans="1:10" ht="17.25" x14ac:dyDescent="0.25">
      <c r="A48" s="2"/>
      <c r="B48" s="584" t="s">
        <v>180</v>
      </c>
      <c r="C48" s="585"/>
      <c r="D48" s="585"/>
      <c r="E48" s="585"/>
      <c r="F48" s="585"/>
      <c r="G48" s="585"/>
      <c r="J48" s="39"/>
    </row>
    <row r="49" spans="1:10" x14ac:dyDescent="0.25">
      <c r="A49" s="2"/>
      <c r="B49" s="586" t="str">
        <f>B5</f>
        <v>For the Base Period &amp; True-Up Period Ending December 31, xxxx</v>
      </c>
      <c r="C49" s="587"/>
      <c r="D49" s="587"/>
      <c r="E49" s="587"/>
      <c r="F49" s="587"/>
      <c r="G49" s="587"/>
      <c r="J49" s="39"/>
    </row>
    <row r="50" spans="1:10" x14ac:dyDescent="0.25">
      <c r="A50" s="2"/>
      <c r="B50" s="580" t="s">
        <v>1</v>
      </c>
      <c r="C50" s="581"/>
      <c r="D50" s="581"/>
      <c r="E50" s="581"/>
      <c r="F50" s="581"/>
      <c r="G50" s="581"/>
      <c r="J50" s="39"/>
    </row>
    <row r="51" spans="1:10" x14ac:dyDescent="0.25">
      <c r="A51" s="2"/>
      <c r="C51" s="184"/>
      <c r="D51" s="184"/>
      <c r="E51" s="16"/>
      <c r="F51" s="1"/>
      <c r="G51" s="2"/>
      <c r="J51" s="39"/>
    </row>
    <row r="52" spans="1:10" x14ac:dyDescent="0.25">
      <c r="A52" s="2" t="s">
        <v>2</v>
      </c>
      <c r="E52" s="29"/>
      <c r="G52" s="2"/>
      <c r="H52" s="2" t="s">
        <v>2</v>
      </c>
      <c r="J52" s="39"/>
    </row>
    <row r="53" spans="1:10" x14ac:dyDescent="0.25">
      <c r="A53" s="2" t="s">
        <v>18</v>
      </c>
      <c r="B53" s="1" t="s">
        <v>8</v>
      </c>
      <c r="E53" s="183" t="s">
        <v>37</v>
      </c>
      <c r="G53" s="42" t="s">
        <v>7</v>
      </c>
      <c r="H53" s="2" t="s">
        <v>18</v>
      </c>
      <c r="J53" s="39"/>
    </row>
    <row r="54" spans="1:10" ht="18.75" x14ac:dyDescent="0.25">
      <c r="A54" s="2"/>
      <c r="B54" s="169" t="s">
        <v>492</v>
      </c>
      <c r="E54" s="2"/>
      <c r="G54" s="2"/>
      <c r="J54" s="39"/>
    </row>
    <row r="55" spans="1:10" x14ac:dyDescent="0.25">
      <c r="A55" s="2">
        <v>1</v>
      </c>
      <c r="B55" s="39" t="s">
        <v>144</v>
      </c>
      <c r="C55" s="184"/>
      <c r="D55" s="184"/>
      <c r="E55" s="17">
        <f>'Stmt AJ'!E29</f>
        <v>0</v>
      </c>
      <c r="G55" s="2" t="s">
        <v>590</v>
      </c>
      <c r="H55" s="2">
        <f>A55</f>
        <v>1</v>
      </c>
      <c r="J55" s="39"/>
    </row>
    <row r="56" spans="1:10" x14ac:dyDescent="0.25">
      <c r="A56" s="2">
        <f t="shared" ref="A56:A93" si="16">A55+1</f>
        <v>2</v>
      </c>
      <c r="B56" s="39"/>
      <c r="C56" s="184"/>
      <c r="D56" s="184"/>
      <c r="E56" s="16"/>
      <c r="G56" s="2"/>
      <c r="H56" s="2">
        <f t="shared" ref="H56" si="17">H55+1</f>
        <v>2</v>
      </c>
    </row>
    <row r="57" spans="1:10" ht="18.75" x14ac:dyDescent="0.25">
      <c r="A57" s="2">
        <f t="shared" si="16"/>
        <v>3</v>
      </c>
      <c r="B57" s="39" t="s">
        <v>1051</v>
      </c>
      <c r="C57" s="484"/>
      <c r="D57" s="484"/>
      <c r="E57" s="541">
        <f>IFERROR('Stmt AV'!G245,0)</f>
        <v>0</v>
      </c>
      <c r="F57" s="523"/>
      <c r="G57" s="2" t="s">
        <v>1082</v>
      </c>
      <c r="H57" s="2">
        <f t="shared" ref="H57" si="18">H56+1</f>
        <v>3</v>
      </c>
    </row>
    <row r="58" spans="1:10" x14ac:dyDescent="0.25">
      <c r="A58" s="2">
        <f t="shared" si="16"/>
        <v>4</v>
      </c>
      <c r="B58" s="38" t="s">
        <v>191</v>
      </c>
      <c r="C58" s="484"/>
      <c r="D58" s="484"/>
      <c r="E58" s="13">
        <f>'BK-1 Retail TRR'!E142</f>
        <v>0</v>
      </c>
      <c r="F58" s="218"/>
      <c r="G58" s="2" t="s">
        <v>747</v>
      </c>
      <c r="H58" s="2">
        <f t="shared" ref="H58" si="19">H57+1</f>
        <v>4</v>
      </c>
    </row>
    <row r="59" spans="1:10" x14ac:dyDescent="0.25">
      <c r="A59" s="2">
        <f t="shared" si="16"/>
        <v>5</v>
      </c>
      <c r="B59" s="38" t="s">
        <v>1003</v>
      </c>
      <c r="C59" s="218"/>
      <c r="D59" s="218"/>
      <c r="E59" s="556">
        <f>E58*E57</f>
        <v>0</v>
      </c>
      <c r="F59" s="218"/>
      <c r="G59" s="2" t="s">
        <v>756</v>
      </c>
      <c r="H59" s="2">
        <f t="shared" ref="H59" si="20">H58+1</f>
        <v>5</v>
      </c>
    </row>
    <row r="60" spans="1:10" x14ac:dyDescent="0.25">
      <c r="A60" s="2">
        <f t="shared" si="16"/>
        <v>6</v>
      </c>
      <c r="E60" s="9"/>
      <c r="G60" s="2"/>
      <c r="H60" s="2">
        <f t="shared" ref="H60" si="21">H59+1</f>
        <v>6</v>
      </c>
    </row>
    <row r="61" spans="1:10" ht="18.75" x14ac:dyDescent="0.25">
      <c r="A61" s="2">
        <f t="shared" si="16"/>
        <v>7</v>
      </c>
      <c r="B61" s="39" t="s">
        <v>1048</v>
      </c>
      <c r="C61" s="218"/>
      <c r="D61" s="218"/>
      <c r="E61" s="541">
        <f>IFERROR('Stmt AV'!G285,0)</f>
        <v>0</v>
      </c>
      <c r="F61" s="218"/>
      <c r="G61" s="2" t="s">
        <v>1083</v>
      </c>
      <c r="H61" s="2">
        <f t="shared" ref="H61" si="22">H60+1</f>
        <v>7</v>
      </c>
    </row>
    <row r="62" spans="1:10" x14ac:dyDescent="0.25">
      <c r="A62" s="2">
        <f t="shared" si="16"/>
        <v>8</v>
      </c>
      <c r="B62" s="38" t="s">
        <v>191</v>
      </c>
      <c r="C62" s="218"/>
      <c r="D62" s="218"/>
      <c r="E62" s="13">
        <f>'BK-1 Retail TRR'!E142</f>
        <v>0</v>
      </c>
      <c r="F62" s="218"/>
      <c r="G62" s="2" t="s">
        <v>747</v>
      </c>
      <c r="H62" s="2">
        <f t="shared" ref="H62" si="23">H61+1</f>
        <v>8</v>
      </c>
    </row>
    <row r="63" spans="1:10" x14ac:dyDescent="0.25">
      <c r="A63" s="2">
        <f t="shared" si="16"/>
        <v>9</v>
      </c>
      <c r="B63" s="38" t="s">
        <v>743</v>
      </c>
      <c r="C63" s="218"/>
      <c r="D63" s="218"/>
      <c r="E63" s="556">
        <f>E62*E61</f>
        <v>0</v>
      </c>
      <c r="F63" s="218"/>
      <c r="G63" s="2" t="s">
        <v>757</v>
      </c>
      <c r="H63" s="2">
        <f t="shared" ref="H63" si="24">H62+1</f>
        <v>9</v>
      </c>
    </row>
    <row r="64" spans="1:10" x14ac:dyDescent="0.25">
      <c r="A64" s="2">
        <f t="shared" si="16"/>
        <v>10</v>
      </c>
      <c r="E64" s="9"/>
      <c r="G64" s="2"/>
      <c r="H64" s="2">
        <f t="shared" ref="H64" si="25">H63+1</f>
        <v>10</v>
      </c>
      <c r="I64" s="210"/>
    </row>
    <row r="65" spans="1:10" ht="16.5" thickBot="1" x14ac:dyDescent="0.3">
      <c r="A65" s="2">
        <f t="shared" si="16"/>
        <v>11</v>
      </c>
      <c r="B65" s="38" t="s">
        <v>444</v>
      </c>
      <c r="E65" s="28">
        <f>E55+E59+E63</f>
        <v>0</v>
      </c>
      <c r="G65" s="2" t="s">
        <v>1081</v>
      </c>
      <c r="H65" s="2">
        <f t="shared" ref="H65" si="26">H64+1</f>
        <v>11</v>
      </c>
      <c r="I65" s="210"/>
    </row>
    <row r="66" spans="1:10" ht="16.5" thickTop="1" x14ac:dyDescent="0.25">
      <c r="A66" s="2">
        <f t="shared" si="16"/>
        <v>12</v>
      </c>
      <c r="E66" s="9"/>
      <c r="G66" s="2"/>
      <c r="H66" s="2">
        <f t="shared" ref="H66" si="27">H65+1</f>
        <v>12</v>
      </c>
      <c r="I66" s="210"/>
    </row>
    <row r="67" spans="1:10" ht="18.75" x14ac:dyDescent="0.25">
      <c r="A67" s="2">
        <f t="shared" si="16"/>
        <v>13</v>
      </c>
      <c r="B67" s="40" t="s">
        <v>491</v>
      </c>
      <c r="E67" s="9"/>
      <c r="G67" s="2"/>
      <c r="H67" s="2">
        <f t="shared" ref="H67" si="28">H66+1</f>
        <v>13</v>
      </c>
      <c r="I67" s="210"/>
    </row>
    <row r="68" spans="1:10" x14ac:dyDescent="0.25">
      <c r="A68" s="2">
        <f t="shared" si="16"/>
        <v>14</v>
      </c>
      <c r="B68" s="39" t="s">
        <v>146</v>
      </c>
      <c r="E68" s="5">
        <f>'Stmt AJ'!E31</f>
        <v>0</v>
      </c>
      <c r="G68" s="2" t="s">
        <v>591</v>
      </c>
      <c r="H68" s="2">
        <f t="shared" ref="H68" si="29">H67+1</f>
        <v>14</v>
      </c>
      <c r="I68" s="210"/>
    </row>
    <row r="69" spans="1:10" x14ac:dyDescent="0.25">
      <c r="A69" s="2">
        <f t="shared" si="16"/>
        <v>15</v>
      </c>
      <c r="B69" s="39"/>
      <c r="E69" s="19"/>
      <c r="G69" s="2"/>
      <c r="H69" s="2">
        <f t="shared" ref="H69" si="30">H68+1</f>
        <v>15</v>
      </c>
      <c r="I69" s="210"/>
    </row>
    <row r="70" spans="1:10" x14ac:dyDescent="0.25">
      <c r="A70" s="2">
        <f t="shared" si="16"/>
        <v>16</v>
      </c>
      <c r="B70" s="39" t="s">
        <v>192</v>
      </c>
      <c r="E70" s="5">
        <f>E147</f>
        <v>0</v>
      </c>
      <c r="G70" s="2" t="s">
        <v>748</v>
      </c>
      <c r="H70" s="2">
        <f t="shared" ref="H70" si="31">H69+1</f>
        <v>16</v>
      </c>
      <c r="I70" s="210"/>
    </row>
    <row r="71" spans="1:10" ht="18.75" x14ac:dyDescent="0.25">
      <c r="A71" s="2">
        <f t="shared" si="16"/>
        <v>17</v>
      </c>
      <c r="B71" s="39" t="s">
        <v>1047</v>
      </c>
      <c r="C71" s="184"/>
      <c r="D71" s="6"/>
      <c r="E71" s="20">
        <f>'Stmt AV'!G156</f>
        <v>0</v>
      </c>
      <c r="F71" s="1"/>
      <c r="G71" s="2" t="s">
        <v>1010</v>
      </c>
      <c r="H71" s="2">
        <f t="shared" ref="H71" si="32">H70+1</f>
        <v>17</v>
      </c>
      <c r="I71" s="210"/>
    </row>
    <row r="72" spans="1:10" x14ac:dyDescent="0.25">
      <c r="A72" s="2">
        <f t="shared" si="16"/>
        <v>18</v>
      </c>
      <c r="B72" s="38" t="s">
        <v>1084</v>
      </c>
      <c r="E72" s="556">
        <f>E70*E71</f>
        <v>0</v>
      </c>
      <c r="G72" s="2" t="s">
        <v>1085</v>
      </c>
      <c r="H72" s="2">
        <f t="shared" ref="H72" si="33">H71+1</f>
        <v>18</v>
      </c>
      <c r="I72" s="210"/>
    </row>
    <row r="73" spans="1:10" x14ac:dyDescent="0.25">
      <c r="A73" s="2">
        <f t="shared" si="16"/>
        <v>19</v>
      </c>
      <c r="E73" s="9"/>
      <c r="G73" s="2"/>
      <c r="H73" s="2">
        <f t="shared" ref="H73" si="34">H72+1</f>
        <v>19</v>
      </c>
      <c r="I73" s="210"/>
    </row>
    <row r="74" spans="1:10" x14ac:dyDescent="0.25">
      <c r="A74" s="2">
        <f t="shared" si="16"/>
        <v>20</v>
      </c>
      <c r="B74" s="39" t="s">
        <v>192</v>
      </c>
      <c r="E74" s="5">
        <f>E147</f>
        <v>0</v>
      </c>
      <c r="G74" s="2" t="s">
        <v>748</v>
      </c>
      <c r="H74" s="2">
        <f t="shared" ref="H74" si="35">H73+1</f>
        <v>20</v>
      </c>
      <c r="I74" s="210"/>
    </row>
    <row r="75" spans="1:10" ht="18.75" x14ac:dyDescent="0.25">
      <c r="A75" s="2">
        <f t="shared" si="16"/>
        <v>21</v>
      </c>
      <c r="B75" s="39" t="s">
        <v>1048</v>
      </c>
      <c r="C75" s="6"/>
      <c r="D75" s="6"/>
      <c r="E75" s="546">
        <v>0</v>
      </c>
      <c r="F75" s="1"/>
      <c r="G75" s="2" t="s">
        <v>53</v>
      </c>
      <c r="H75" s="2">
        <f t="shared" ref="H75" si="36">H74+1</f>
        <v>21</v>
      </c>
      <c r="I75" s="210"/>
      <c r="J75" s="6"/>
    </row>
    <row r="76" spans="1:10" x14ac:dyDescent="0.25">
      <c r="A76" s="2">
        <f t="shared" si="16"/>
        <v>22</v>
      </c>
      <c r="B76" s="38" t="s">
        <v>771</v>
      </c>
      <c r="E76" s="556">
        <f>E74*E75</f>
        <v>0</v>
      </c>
      <c r="G76" s="2" t="s">
        <v>758</v>
      </c>
      <c r="H76" s="2">
        <f t="shared" ref="H76" si="37">H75+1</f>
        <v>22</v>
      </c>
      <c r="I76" s="210"/>
    </row>
    <row r="77" spans="1:10" x14ac:dyDescent="0.25">
      <c r="A77" s="2">
        <f t="shared" si="16"/>
        <v>23</v>
      </c>
      <c r="E77" s="9"/>
      <c r="G77" s="2"/>
      <c r="H77" s="2">
        <f t="shared" ref="H77" si="38">H76+1</f>
        <v>23</v>
      </c>
      <c r="I77" s="210"/>
    </row>
    <row r="78" spans="1:10" ht="16.5" thickBot="1" x14ac:dyDescent="0.3">
      <c r="A78" s="2">
        <f t="shared" si="16"/>
        <v>24</v>
      </c>
      <c r="B78" s="38" t="s">
        <v>445</v>
      </c>
      <c r="E78" s="28">
        <f>E68+E72+E76</f>
        <v>0</v>
      </c>
      <c r="G78" s="2" t="s">
        <v>1086</v>
      </c>
      <c r="H78" s="2">
        <f t="shared" ref="H78" si="39">H77+1</f>
        <v>24</v>
      </c>
      <c r="I78" s="210"/>
    </row>
    <row r="79" spans="1:10" ht="16.5" thickTop="1" x14ac:dyDescent="0.25">
      <c r="A79" s="2">
        <f t="shared" si="16"/>
        <v>25</v>
      </c>
      <c r="E79" s="9"/>
      <c r="G79" s="2"/>
      <c r="H79" s="2">
        <f t="shared" ref="H79" si="40">H78+1</f>
        <v>25</v>
      </c>
      <c r="I79" s="210"/>
    </row>
    <row r="80" spans="1:10" ht="18.75" x14ac:dyDescent="0.25">
      <c r="A80" s="2">
        <f t="shared" si="16"/>
        <v>26</v>
      </c>
      <c r="B80" s="40" t="s">
        <v>489</v>
      </c>
      <c r="C80" s="184"/>
      <c r="D80" s="184"/>
      <c r="E80" s="16"/>
      <c r="G80" s="2"/>
      <c r="H80" s="2">
        <f t="shared" ref="H80" si="41">H79+1</f>
        <v>26</v>
      </c>
      <c r="I80" s="210"/>
    </row>
    <row r="81" spans="1:9" x14ac:dyDescent="0.25">
      <c r="A81" s="2">
        <f t="shared" si="16"/>
        <v>27</v>
      </c>
      <c r="B81" s="38" t="s">
        <v>490</v>
      </c>
      <c r="C81" s="184"/>
      <c r="D81" s="184"/>
      <c r="E81" s="17">
        <f>E149</f>
        <v>0</v>
      </c>
      <c r="G81" s="2" t="s">
        <v>749</v>
      </c>
      <c r="H81" s="2">
        <f t="shared" ref="H81" si="42">H80+1</f>
        <v>27</v>
      </c>
      <c r="I81" s="210"/>
    </row>
    <row r="82" spans="1:9" ht="18.75" x14ac:dyDescent="0.25">
      <c r="A82" s="2">
        <f t="shared" si="16"/>
        <v>28</v>
      </c>
      <c r="B82" s="39" t="s">
        <v>1093</v>
      </c>
      <c r="C82" s="184"/>
      <c r="D82" s="184"/>
      <c r="E82" s="21">
        <f>'Stmt AV'!G156</f>
        <v>0</v>
      </c>
      <c r="F82" s="1"/>
      <c r="G82" s="2" t="s">
        <v>1010</v>
      </c>
      <c r="H82" s="2">
        <f t="shared" ref="H82" si="43">H81+1</f>
        <v>28</v>
      </c>
      <c r="I82" s="210"/>
    </row>
    <row r="83" spans="1:9" x14ac:dyDescent="0.25">
      <c r="A83" s="2">
        <f t="shared" si="16"/>
        <v>29</v>
      </c>
      <c r="B83" s="38" t="s">
        <v>1094</v>
      </c>
      <c r="C83" s="184"/>
      <c r="D83" s="184"/>
      <c r="E83" s="574">
        <f>E81*E82</f>
        <v>0</v>
      </c>
      <c r="G83" s="2" t="s">
        <v>1087</v>
      </c>
      <c r="H83" s="2">
        <f t="shared" ref="H83" si="44">H82+1</f>
        <v>29</v>
      </c>
      <c r="I83" s="210"/>
    </row>
    <row r="84" spans="1:9" x14ac:dyDescent="0.25">
      <c r="A84" s="2">
        <f t="shared" si="16"/>
        <v>30</v>
      </c>
      <c r="C84" s="184"/>
      <c r="D84" s="184"/>
      <c r="E84" s="16"/>
      <c r="G84" s="2"/>
      <c r="H84" s="2">
        <f t="shared" ref="H84" si="45">H83+1</f>
        <v>30</v>
      </c>
      <c r="I84" s="210"/>
    </row>
    <row r="85" spans="1:9" x14ac:dyDescent="0.25">
      <c r="A85" s="2">
        <f t="shared" si="16"/>
        <v>31</v>
      </c>
      <c r="B85" s="38" t="s">
        <v>490</v>
      </c>
      <c r="C85" s="184"/>
      <c r="D85" s="184"/>
      <c r="E85" s="17">
        <f>E149</f>
        <v>0</v>
      </c>
      <c r="G85" s="2" t="s">
        <v>749</v>
      </c>
      <c r="H85" s="2">
        <f t="shared" ref="H85" si="46">H84+1</f>
        <v>31</v>
      </c>
      <c r="I85" s="210"/>
    </row>
    <row r="86" spans="1:9" ht="18.75" x14ac:dyDescent="0.25">
      <c r="A86" s="2">
        <f t="shared" si="16"/>
        <v>32</v>
      </c>
      <c r="B86" s="39" t="s">
        <v>1048</v>
      </c>
      <c r="C86" s="184"/>
      <c r="D86" s="184"/>
      <c r="E86" s="21">
        <f>'Stmt AV'!G196</f>
        <v>0</v>
      </c>
      <c r="F86" s="1"/>
      <c r="G86" s="2" t="s">
        <v>1050</v>
      </c>
      <c r="H86" s="2">
        <f t="shared" ref="H86" si="47">H85+1</f>
        <v>32</v>
      </c>
      <c r="I86" s="210"/>
    </row>
    <row r="87" spans="1:9" x14ac:dyDescent="0.25">
      <c r="A87" s="2">
        <f t="shared" si="16"/>
        <v>33</v>
      </c>
      <c r="B87" s="38" t="s">
        <v>745</v>
      </c>
      <c r="C87" s="184"/>
      <c r="D87" s="184"/>
      <c r="E87" s="574">
        <f>E85*E86</f>
        <v>0</v>
      </c>
      <c r="G87" s="2" t="s">
        <v>759</v>
      </c>
      <c r="H87" s="2">
        <f t="shared" ref="H87" si="48">H86+1</f>
        <v>33</v>
      </c>
      <c r="I87" s="210"/>
    </row>
    <row r="88" spans="1:9" x14ac:dyDescent="0.25">
      <c r="A88" s="2">
        <f t="shared" si="16"/>
        <v>34</v>
      </c>
      <c r="C88" s="184"/>
      <c r="D88" s="184"/>
      <c r="E88" s="16"/>
      <c r="G88" s="2"/>
      <c r="H88" s="2">
        <f t="shared" ref="H88" si="49">H87+1</f>
        <v>34</v>
      </c>
      <c r="I88" s="210"/>
    </row>
    <row r="89" spans="1:9" ht="16.5" thickBot="1" x14ac:dyDescent="0.3">
      <c r="A89" s="2">
        <f t="shared" si="16"/>
        <v>35</v>
      </c>
      <c r="B89" s="38" t="s">
        <v>744</v>
      </c>
      <c r="C89" s="184"/>
      <c r="D89" s="184"/>
      <c r="E89" s="28">
        <f>E83+E87</f>
        <v>0</v>
      </c>
      <c r="G89" s="2" t="s">
        <v>1088</v>
      </c>
      <c r="H89" s="2">
        <f t="shared" ref="H89" si="50">H88+1</f>
        <v>35</v>
      </c>
      <c r="I89" s="210"/>
    </row>
    <row r="90" spans="1:9" ht="16.5" thickTop="1" x14ac:dyDescent="0.25">
      <c r="A90" s="2">
        <f t="shared" si="16"/>
        <v>36</v>
      </c>
      <c r="C90" s="184"/>
      <c r="D90" s="184"/>
      <c r="E90" s="16"/>
      <c r="G90" s="2"/>
      <c r="H90" s="2">
        <f t="shared" ref="H90" si="51">H89+1</f>
        <v>36</v>
      </c>
      <c r="I90" s="210"/>
    </row>
    <row r="91" spans="1:9" ht="19.5" thickBot="1" x14ac:dyDescent="0.3">
      <c r="A91" s="2">
        <f t="shared" si="16"/>
        <v>37</v>
      </c>
      <c r="B91" s="38" t="s">
        <v>446</v>
      </c>
      <c r="E91" s="15">
        <f>E65+E78+E89</f>
        <v>0</v>
      </c>
      <c r="G91" s="2" t="s">
        <v>1089</v>
      </c>
      <c r="H91" s="2">
        <f t="shared" ref="H91" si="52">H90+1</f>
        <v>37</v>
      </c>
      <c r="I91" s="210"/>
    </row>
    <row r="92" spans="1:9" ht="16.5" thickTop="1" x14ac:dyDescent="0.25">
      <c r="A92" s="2">
        <f t="shared" si="16"/>
        <v>38</v>
      </c>
      <c r="C92" s="184"/>
      <c r="D92" s="184"/>
      <c r="E92" s="16"/>
      <c r="G92" s="2"/>
      <c r="H92" s="2">
        <f t="shared" ref="H92" si="53">H91+1</f>
        <v>38</v>
      </c>
      <c r="I92" s="210"/>
    </row>
    <row r="93" spans="1:9" ht="19.5" thickBot="1" x14ac:dyDescent="0.3">
      <c r="A93" s="2">
        <f t="shared" si="16"/>
        <v>39</v>
      </c>
      <c r="B93" s="40" t="s">
        <v>1092</v>
      </c>
      <c r="C93" s="184"/>
      <c r="D93" s="184"/>
      <c r="E93" s="15">
        <f>+E40+E91</f>
        <v>0</v>
      </c>
      <c r="F93" s="1"/>
      <c r="G93" s="2" t="s">
        <v>1090</v>
      </c>
      <c r="H93" s="2">
        <f t="shared" ref="H93" si="54">H92+1</f>
        <v>39</v>
      </c>
      <c r="I93" s="210"/>
    </row>
    <row r="94" spans="1:9" ht="16.5" thickTop="1" x14ac:dyDescent="0.25">
      <c r="A94" s="2"/>
      <c r="B94" s="40"/>
      <c r="C94" s="184"/>
      <c r="D94" s="184"/>
      <c r="E94" s="16"/>
      <c r="F94" s="1"/>
      <c r="G94" s="2"/>
    </row>
    <row r="95" spans="1:9" x14ac:dyDescent="0.25">
      <c r="A95" s="2"/>
      <c r="B95" s="40"/>
      <c r="C95" s="184"/>
      <c r="D95" s="184"/>
      <c r="E95" s="16"/>
      <c r="F95" s="1"/>
      <c r="G95" s="2"/>
    </row>
    <row r="96" spans="1:9" ht="18.75" x14ac:dyDescent="0.25">
      <c r="A96" s="174">
        <v>1</v>
      </c>
      <c r="B96" s="38" t="s">
        <v>193</v>
      </c>
      <c r="C96" s="184"/>
      <c r="D96" s="184"/>
      <c r="E96" s="16"/>
      <c r="G96" s="2"/>
    </row>
    <row r="97" spans="1:8" ht="18.75" x14ac:dyDescent="0.25">
      <c r="A97" s="174">
        <v>2</v>
      </c>
      <c r="B97" s="38" t="s">
        <v>484</v>
      </c>
      <c r="C97" s="184"/>
      <c r="D97" s="184"/>
      <c r="E97" s="22"/>
      <c r="F97" s="71"/>
      <c r="G97" s="2"/>
    </row>
    <row r="98" spans="1:8" ht="18.75" x14ac:dyDescent="0.25">
      <c r="A98" s="527">
        <v>3</v>
      </c>
      <c r="B98" s="179" t="s">
        <v>1091</v>
      </c>
      <c r="C98" s="547"/>
      <c r="D98" s="547"/>
      <c r="E98" s="548"/>
      <c r="F98" s="549"/>
      <c r="G98" s="210"/>
    </row>
    <row r="99" spans="1:8" ht="18.75" x14ac:dyDescent="0.25">
      <c r="A99" s="527">
        <v>34</v>
      </c>
      <c r="B99" s="38" t="s">
        <v>336</v>
      </c>
      <c r="C99" s="184"/>
      <c r="D99" s="184"/>
      <c r="E99" s="16"/>
      <c r="G99" s="2"/>
    </row>
    <row r="100" spans="1:8" x14ac:dyDescent="0.25">
      <c r="A100" s="2"/>
      <c r="B100" s="1"/>
      <c r="C100" s="184"/>
      <c r="D100" s="184"/>
      <c r="E100" s="16"/>
      <c r="G100" s="2"/>
    </row>
    <row r="101" spans="1:8" x14ac:dyDescent="0.25">
      <c r="A101" s="2"/>
      <c r="C101" s="184"/>
      <c r="D101" s="184"/>
      <c r="E101" s="16"/>
      <c r="G101" s="2"/>
    </row>
    <row r="102" spans="1:8" x14ac:dyDescent="0.25">
      <c r="A102" s="2"/>
      <c r="B102" s="584" t="s">
        <v>16</v>
      </c>
      <c r="C102" s="581"/>
      <c r="D102" s="581"/>
      <c r="E102" s="581"/>
      <c r="F102" s="581"/>
      <c r="G102" s="581"/>
    </row>
    <row r="103" spans="1:8" x14ac:dyDescent="0.25">
      <c r="A103" s="2"/>
      <c r="B103" s="584" t="s">
        <v>179</v>
      </c>
      <c r="C103" s="581"/>
      <c r="D103" s="581"/>
      <c r="E103" s="581"/>
      <c r="F103" s="581"/>
      <c r="G103" s="581"/>
    </row>
    <row r="104" spans="1:8" ht="17.25" x14ac:dyDescent="0.25">
      <c r="A104" s="2" t="s">
        <v>8</v>
      </c>
      <c r="B104" s="584" t="s">
        <v>180</v>
      </c>
      <c r="C104" s="585"/>
      <c r="D104" s="585"/>
      <c r="E104" s="585"/>
      <c r="F104" s="585"/>
      <c r="G104" s="585"/>
      <c r="H104" s="2" t="s">
        <v>8</v>
      </c>
    </row>
    <row r="105" spans="1:8" x14ac:dyDescent="0.25">
      <c r="A105" s="2"/>
      <c r="B105" s="586" t="str">
        <f>B5</f>
        <v>For the Base Period &amp; True-Up Period Ending December 31, xxxx</v>
      </c>
      <c r="C105" s="587"/>
      <c r="D105" s="587"/>
      <c r="E105" s="587"/>
      <c r="F105" s="587"/>
      <c r="G105" s="587"/>
    </row>
    <row r="106" spans="1:8" x14ac:dyDescent="0.25">
      <c r="A106" s="2"/>
      <c r="B106" s="580" t="s">
        <v>1</v>
      </c>
      <c r="C106" s="581"/>
      <c r="D106" s="581"/>
      <c r="E106" s="581"/>
      <c r="F106" s="581"/>
      <c r="G106" s="581"/>
    </row>
    <row r="107" spans="1:8" x14ac:dyDescent="0.25">
      <c r="A107" s="2"/>
      <c r="B107" s="188"/>
      <c r="C107" s="1"/>
      <c r="D107" s="1"/>
      <c r="E107" s="1"/>
      <c r="F107" s="1"/>
      <c r="G107" s="1"/>
    </row>
    <row r="108" spans="1:8" x14ac:dyDescent="0.25">
      <c r="A108" s="2" t="s">
        <v>2</v>
      </c>
      <c r="E108" s="29"/>
      <c r="G108" s="2"/>
      <c r="H108" s="2" t="s">
        <v>2</v>
      </c>
    </row>
    <row r="109" spans="1:8" x14ac:dyDescent="0.25">
      <c r="A109" s="2" t="s">
        <v>18</v>
      </c>
      <c r="B109" s="1" t="s">
        <v>8</v>
      </c>
      <c r="E109" s="183" t="s">
        <v>37</v>
      </c>
      <c r="G109" s="42" t="s">
        <v>7</v>
      </c>
      <c r="H109" s="2" t="s">
        <v>18</v>
      </c>
    </row>
    <row r="110" spans="1:8" x14ac:dyDescent="0.25">
      <c r="A110" s="2"/>
      <c r="B110" s="169" t="s">
        <v>194</v>
      </c>
      <c r="C110" s="186"/>
      <c r="D110" s="186"/>
      <c r="E110" s="186"/>
      <c r="G110" s="2"/>
    </row>
    <row r="111" spans="1:8" x14ac:dyDescent="0.25">
      <c r="A111" s="2">
        <v>1</v>
      </c>
      <c r="B111" s="171" t="s">
        <v>164</v>
      </c>
      <c r="C111" s="186"/>
      <c r="D111" s="186"/>
      <c r="E111" s="186"/>
      <c r="G111" s="2"/>
      <c r="H111" s="2">
        <f>A111</f>
        <v>1</v>
      </c>
    </row>
    <row r="112" spans="1:8" x14ac:dyDescent="0.25">
      <c r="A112" s="2">
        <f t="shared" ref="A112:A149" si="55">A111+1</f>
        <v>2</v>
      </c>
      <c r="B112" s="39" t="s">
        <v>35</v>
      </c>
      <c r="C112" s="186"/>
      <c r="D112" s="186"/>
      <c r="E112" s="23">
        <f>E180</f>
        <v>0</v>
      </c>
      <c r="F112" s="71"/>
      <c r="G112" s="2" t="s">
        <v>750</v>
      </c>
      <c r="H112" s="2">
        <f t="shared" ref="H112:H148" si="56">H111+1</f>
        <v>2</v>
      </c>
    </row>
    <row r="113" spans="1:10" x14ac:dyDescent="0.25">
      <c r="A113" s="2">
        <f t="shared" si="55"/>
        <v>3</v>
      </c>
      <c r="B113" s="39" t="s">
        <v>11</v>
      </c>
      <c r="C113" s="186"/>
      <c r="D113" s="186"/>
      <c r="E113" s="24">
        <f>E181</f>
        <v>0</v>
      </c>
      <c r="F113" s="71"/>
      <c r="G113" s="2" t="s">
        <v>705</v>
      </c>
      <c r="H113" s="2">
        <f t="shared" si="56"/>
        <v>3</v>
      </c>
    </row>
    <row r="114" spans="1:10" x14ac:dyDescent="0.25">
      <c r="A114" s="2">
        <f t="shared" si="55"/>
        <v>4</v>
      </c>
      <c r="B114" s="39" t="s">
        <v>12</v>
      </c>
      <c r="C114" s="186"/>
      <c r="D114" s="186"/>
      <c r="E114" s="24">
        <f>E182</f>
        <v>0</v>
      </c>
      <c r="G114" s="2" t="s">
        <v>751</v>
      </c>
      <c r="H114" s="2">
        <f t="shared" si="56"/>
        <v>4</v>
      </c>
    </row>
    <row r="115" spans="1:10" x14ac:dyDescent="0.25">
      <c r="A115" s="2">
        <f t="shared" si="55"/>
        <v>5</v>
      </c>
      <c r="B115" s="39" t="s">
        <v>165</v>
      </c>
      <c r="C115" s="186"/>
      <c r="D115" s="186"/>
      <c r="E115" s="25">
        <f>E183</f>
        <v>0</v>
      </c>
      <c r="G115" s="2" t="s">
        <v>752</v>
      </c>
      <c r="H115" s="2">
        <f t="shared" si="56"/>
        <v>5</v>
      </c>
    </row>
    <row r="116" spans="1:10" x14ac:dyDescent="0.25">
      <c r="A116" s="2">
        <f t="shared" si="55"/>
        <v>6</v>
      </c>
      <c r="B116" s="39" t="s">
        <v>166</v>
      </c>
      <c r="C116" s="2"/>
      <c r="D116" s="2"/>
      <c r="E116" s="556">
        <f>SUM(E112:E115)</f>
        <v>0</v>
      </c>
      <c r="F116" s="71"/>
      <c r="G116" s="2" t="s">
        <v>592</v>
      </c>
      <c r="H116" s="2">
        <f t="shared" si="56"/>
        <v>6</v>
      </c>
    </row>
    <row r="117" spans="1:10" x14ac:dyDescent="0.25">
      <c r="A117" s="2">
        <f t="shared" si="55"/>
        <v>7</v>
      </c>
      <c r="C117" s="2"/>
      <c r="D117" s="2"/>
      <c r="E117" s="10"/>
      <c r="G117" s="2"/>
      <c r="H117" s="2">
        <f t="shared" si="56"/>
        <v>7</v>
      </c>
    </row>
    <row r="118" spans="1:10" x14ac:dyDescent="0.25">
      <c r="A118" s="2">
        <f t="shared" si="55"/>
        <v>8</v>
      </c>
      <c r="B118" s="171" t="s">
        <v>167</v>
      </c>
      <c r="C118" s="2"/>
      <c r="D118" s="2"/>
      <c r="E118" s="10"/>
      <c r="G118" s="2"/>
      <c r="H118" s="2">
        <f t="shared" si="56"/>
        <v>8</v>
      </c>
    </row>
    <row r="119" spans="1:10" x14ac:dyDescent="0.25">
      <c r="A119" s="2">
        <f t="shared" si="55"/>
        <v>9</v>
      </c>
      <c r="B119" s="39" t="s">
        <v>168</v>
      </c>
      <c r="C119" s="2"/>
      <c r="D119" s="2"/>
      <c r="E119" s="26">
        <f>'Stmt AG'!E11</f>
        <v>0</v>
      </c>
      <c r="F119" s="71"/>
      <c r="G119" s="2" t="s">
        <v>692</v>
      </c>
      <c r="H119" s="2">
        <f t="shared" si="56"/>
        <v>9</v>
      </c>
    </row>
    <row r="120" spans="1:10" x14ac:dyDescent="0.25">
      <c r="A120" s="2">
        <f t="shared" si="55"/>
        <v>10</v>
      </c>
      <c r="B120" s="39" t="s">
        <v>169</v>
      </c>
      <c r="C120" s="2"/>
      <c r="D120" s="2"/>
      <c r="E120" s="27">
        <f>'Stmt Misc.'!E12</f>
        <v>0</v>
      </c>
      <c r="G120" s="2" t="s">
        <v>593</v>
      </c>
      <c r="H120" s="2">
        <f t="shared" si="56"/>
        <v>10</v>
      </c>
    </row>
    <row r="121" spans="1:10" x14ac:dyDescent="0.25">
      <c r="A121" s="2">
        <f t="shared" si="55"/>
        <v>11</v>
      </c>
      <c r="B121" s="39" t="s">
        <v>170</v>
      </c>
      <c r="C121" s="2"/>
      <c r="D121" s="2"/>
      <c r="E121" s="575">
        <f>SUM(E119:E120)</f>
        <v>0</v>
      </c>
      <c r="F121" s="71"/>
      <c r="G121" s="2" t="s">
        <v>594</v>
      </c>
      <c r="H121" s="2">
        <f t="shared" si="56"/>
        <v>11</v>
      </c>
    </row>
    <row r="122" spans="1:10" x14ac:dyDescent="0.25">
      <c r="A122" s="2">
        <f t="shared" si="55"/>
        <v>12</v>
      </c>
      <c r="B122" s="39"/>
      <c r="C122" s="2"/>
      <c r="D122" s="2"/>
      <c r="E122" s="16"/>
      <c r="G122" s="2"/>
      <c r="H122" s="2">
        <f t="shared" si="56"/>
        <v>12</v>
      </c>
    </row>
    <row r="123" spans="1:10" x14ac:dyDescent="0.25">
      <c r="A123" s="2">
        <f t="shared" si="55"/>
        <v>13</v>
      </c>
      <c r="B123" s="171" t="s">
        <v>171</v>
      </c>
      <c r="E123" s="10"/>
      <c r="G123" s="2"/>
      <c r="H123" s="2">
        <f t="shared" si="56"/>
        <v>13</v>
      </c>
    </row>
    <row r="124" spans="1:10" ht="18.75" x14ac:dyDescent="0.25">
      <c r="A124" s="2">
        <f t="shared" si="55"/>
        <v>14</v>
      </c>
      <c r="B124" s="38" t="s">
        <v>892</v>
      </c>
      <c r="C124" s="2"/>
      <c r="D124" s="2"/>
      <c r="E124" s="5">
        <f>'Stmt AF'!I17</f>
        <v>0</v>
      </c>
      <c r="G124" s="2" t="s">
        <v>693</v>
      </c>
      <c r="H124" s="2">
        <f t="shared" si="56"/>
        <v>14</v>
      </c>
      <c r="J124" s="372"/>
    </row>
    <row r="125" spans="1:10" x14ac:dyDescent="0.25">
      <c r="A125" s="2">
        <f t="shared" si="55"/>
        <v>15</v>
      </c>
      <c r="B125" s="38" t="s">
        <v>172</v>
      </c>
      <c r="C125" s="2"/>
      <c r="D125" s="2"/>
      <c r="E125" s="7">
        <f>'Stmt AF'!I21</f>
        <v>0</v>
      </c>
      <c r="G125" s="2" t="s">
        <v>694</v>
      </c>
      <c r="H125" s="2">
        <f t="shared" si="56"/>
        <v>15</v>
      </c>
    </row>
    <row r="126" spans="1:10" x14ac:dyDescent="0.25">
      <c r="A126" s="2">
        <f t="shared" si="55"/>
        <v>16</v>
      </c>
      <c r="B126" s="39" t="s">
        <v>173</v>
      </c>
      <c r="C126" s="2"/>
      <c r="D126" s="2"/>
      <c r="E126" s="556">
        <f>SUM(E124:E125)</f>
        <v>0</v>
      </c>
      <c r="G126" s="2" t="s">
        <v>595</v>
      </c>
      <c r="H126" s="2">
        <f t="shared" si="56"/>
        <v>16</v>
      </c>
    </row>
    <row r="127" spans="1:10" x14ac:dyDescent="0.25">
      <c r="A127" s="2">
        <f t="shared" si="55"/>
        <v>17</v>
      </c>
      <c r="C127" s="2"/>
      <c r="D127" s="2"/>
      <c r="E127" s="6"/>
      <c r="G127" s="2"/>
      <c r="H127" s="2">
        <f t="shared" si="56"/>
        <v>17</v>
      </c>
    </row>
    <row r="128" spans="1:10" x14ac:dyDescent="0.25">
      <c r="A128" s="2">
        <f t="shared" si="55"/>
        <v>18</v>
      </c>
      <c r="B128" s="171" t="s">
        <v>174</v>
      </c>
      <c r="C128" s="2"/>
      <c r="D128" s="2"/>
      <c r="E128" s="6"/>
      <c r="G128" s="2"/>
      <c r="H128" s="2">
        <f t="shared" si="56"/>
        <v>18</v>
      </c>
    </row>
    <row r="129" spans="1:8" x14ac:dyDescent="0.25">
      <c r="A129" s="2">
        <f t="shared" si="55"/>
        <v>19</v>
      </c>
      <c r="B129" s="39" t="s">
        <v>175</v>
      </c>
      <c r="C129" s="2"/>
      <c r="D129" s="2"/>
      <c r="E129" s="23">
        <f>'Stmt AL'!G15</f>
        <v>0</v>
      </c>
      <c r="F129" s="71"/>
      <c r="G129" s="2" t="s">
        <v>596</v>
      </c>
      <c r="H129" s="2">
        <f t="shared" si="56"/>
        <v>19</v>
      </c>
    </row>
    <row r="130" spans="1:8" x14ac:dyDescent="0.25">
      <c r="A130" s="2">
        <f t="shared" si="55"/>
        <v>20</v>
      </c>
      <c r="B130" s="39" t="s">
        <v>176</v>
      </c>
      <c r="C130" s="2"/>
      <c r="D130" s="2"/>
      <c r="E130" s="24">
        <f>'Stmt AL'!G19</f>
        <v>0</v>
      </c>
      <c r="F130" s="71"/>
      <c r="G130" s="2" t="s">
        <v>597</v>
      </c>
      <c r="H130" s="2">
        <f t="shared" si="56"/>
        <v>20</v>
      </c>
    </row>
    <row r="131" spans="1:8" x14ac:dyDescent="0.25">
      <c r="A131" s="2">
        <f t="shared" si="55"/>
        <v>21</v>
      </c>
      <c r="B131" s="39" t="s">
        <v>177</v>
      </c>
      <c r="C131" s="2"/>
      <c r="D131" s="2"/>
      <c r="E131" s="25">
        <f>'Stmt AL'!E29</f>
        <v>0</v>
      </c>
      <c r="F131" s="1"/>
      <c r="G131" s="2" t="s">
        <v>598</v>
      </c>
      <c r="H131" s="2">
        <f t="shared" si="56"/>
        <v>21</v>
      </c>
    </row>
    <row r="132" spans="1:8" x14ac:dyDescent="0.25">
      <c r="A132" s="2">
        <f t="shared" si="55"/>
        <v>22</v>
      </c>
      <c r="B132" s="39" t="s">
        <v>413</v>
      </c>
      <c r="E132" s="556">
        <f>SUM(E129:E131)</f>
        <v>0</v>
      </c>
      <c r="F132" s="1"/>
      <c r="G132" s="2" t="s">
        <v>599</v>
      </c>
      <c r="H132" s="2">
        <f t="shared" si="56"/>
        <v>22</v>
      </c>
    </row>
    <row r="133" spans="1:8" x14ac:dyDescent="0.25">
      <c r="A133" s="2">
        <f t="shared" si="55"/>
        <v>23</v>
      </c>
      <c r="B133" s="39"/>
      <c r="E133" s="10"/>
      <c r="G133" s="2"/>
      <c r="H133" s="2">
        <f t="shared" si="56"/>
        <v>23</v>
      </c>
    </row>
    <row r="134" spans="1:8" x14ac:dyDescent="0.25">
      <c r="A134" s="2">
        <f t="shared" si="55"/>
        <v>24</v>
      </c>
      <c r="B134" s="39" t="s">
        <v>178</v>
      </c>
      <c r="E134" s="26">
        <f>'Stmt Misc.'!E14</f>
        <v>0</v>
      </c>
      <c r="G134" s="2" t="s">
        <v>600</v>
      </c>
      <c r="H134" s="2">
        <f t="shared" si="56"/>
        <v>24</v>
      </c>
    </row>
    <row r="135" spans="1:8" x14ac:dyDescent="0.25">
      <c r="A135" s="2">
        <f t="shared" si="55"/>
        <v>25</v>
      </c>
      <c r="B135" s="39" t="s">
        <v>732</v>
      </c>
      <c r="E135" s="576">
        <f>'Stmt Misc.'!E16</f>
        <v>0</v>
      </c>
      <c r="G135" s="2" t="s">
        <v>601</v>
      </c>
      <c r="H135" s="2">
        <f t="shared" si="56"/>
        <v>25</v>
      </c>
    </row>
    <row r="136" spans="1:8" x14ac:dyDescent="0.25">
      <c r="A136" s="2">
        <f t="shared" si="55"/>
        <v>26</v>
      </c>
      <c r="B136" s="39"/>
      <c r="E136" s="10"/>
      <c r="G136" s="2"/>
      <c r="H136" s="2">
        <f t="shared" si="56"/>
        <v>26</v>
      </c>
    </row>
    <row r="137" spans="1:8" ht="16.5" thickBot="1" x14ac:dyDescent="0.3">
      <c r="A137" s="2">
        <f t="shared" si="55"/>
        <v>27</v>
      </c>
      <c r="B137" s="39" t="s">
        <v>447</v>
      </c>
      <c r="E137" s="28">
        <f>E134+E132+E126+E121+E116+E135</f>
        <v>0</v>
      </c>
      <c r="F137" s="1"/>
      <c r="G137" s="2" t="s">
        <v>733</v>
      </c>
      <c r="H137" s="2">
        <f t="shared" si="56"/>
        <v>27</v>
      </c>
    </row>
    <row r="138" spans="1:8" ht="16.5" thickTop="1" x14ac:dyDescent="0.25">
      <c r="A138" s="2">
        <f t="shared" si="55"/>
        <v>28</v>
      </c>
      <c r="B138" s="39"/>
      <c r="E138" s="9"/>
      <c r="G138" s="2"/>
      <c r="H138" s="2">
        <f t="shared" si="56"/>
        <v>28</v>
      </c>
    </row>
    <row r="139" spans="1:8" ht="18.75" x14ac:dyDescent="0.25">
      <c r="A139" s="2">
        <f t="shared" si="55"/>
        <v>29</v>
      </c>
      <c r="B139" s="169" t="s">
        <v>893</v>
      </c>
      <c r="E139" s="9"/>
      <c r="G139" s="2"/>
      <c r="H139" s="2">
        <f t="shared" si="56"/>
        <v>29</v>
      </c>
    </row>
    <row r="140" spans="1:8" x14ac:dyDescent="0.25">
      <c r="A140" s="2">
        <f t="shared" si="55"/>
        <v>30</v>
      </c>
      <c r="B140" s="39" t="s">
        <v>466</v>
      </c>
      <c r="E140" s="5">
        <f>E189</f>
        <v>0</v>
      </c>
      <c r="G140" s="2" t="s">
        <v>753</v>
      </c>
      <c r="H140" s="2">
        <f t="shared" si="56"/>
        <v>30</v>
      </c>
    </row>
    <row r="141" spans="1:8" x14ac:dyDescent="0.25">
      <c r="A141" s="2">
        <f t="shared" si="55"/>
        <v>31</v>
      </c>
      <c r="B141" s="39" t="s">
        <v>195</v>
      </c>
      <c r="E141" s="7">
        <f>'Stmt AF'!I19</f>
        <v>0</v>
      </c>
      <c r="G141" s="2" t="s">
        <v>695</v>
      </c>
      <c r="H141" s="2">
        <f t="shared" si="56"/>
        <v>31</v>
      </c>
    </row>
    <row r="142" spans="1:8" ht="16.5" thickBot="1" x14ac:dyDescent="0.3">
      <c r="A142" s="2">
        <f t="shared" si="55"/>
        <v>32</v>
      </c>
      <c r="B142" s="38" t="s">
        <v>196</v>
      </c>
      <c r="E142" s="18">
        <f>SUM(E140:E141)</f>
        <v>0</v>
      </c>
      <c r="G142" s="2" t="s">
        <v>735</v>
      </c>
      <c r="H142" s="2">
        <f t="shared" si="56"/>
        <v>32</v>
      </c>
    </row>
    <row r="143" spans="1:8" ht="16.5" thickTop="1" x14ac:dyDescent="0.25">
      <c r="A143" s="2">
        <f t="shared" si="55"/>
        <v>33</v>
      </c>
      <c r="B143" s="39"/>
      <c r="E143" s="9"/>
      <c r="G143" s="2"/>
      <c r="H143" s="2">
        <f t="shared" si="56"/>
        <v>33</v>
      </c>
    </row>
    <row r="144" spans="1:8" ht="18.75" x14ac:dyDescent="0.25">
      <c r="A144" s="2">
        <f t="shared" si="55"/>
        <v>34</v>
      </c>
      <c r="B144" s="169" t="s">
        <v>894</v>
      </c>
      <c r="E144" s="9"/>
      <c r="G144" s="2"/>
      <c r="H144" s="2">
        <f t="shared" si="56"/>
        <v>34</v>
      </c>
    </row>
    <row r="145" spans="1:8" x14ac:dyDescent="0.25">
      <c r="A145" s="2">
        <f t="shared" si="55"/>
        <v>35</v>
      </c>
      <c r="B145" s="39" t="s">
        <v>197</v>
      </c>
      <c r="E145" s="5">
        <f>'Stmt Misc.'!E18</f>
        <v>0</v>
      </c>
      <c r="G145" s="2" t="s">
        <v>734</v>
      </c>
      <c r="H145" s="2">
        <f t="shared" si="56"/>
        <v>35</v>
      </c>
    </row>
    <row r="146" spans="1:8" x14ac:dyDescent="0.25">
      <c r="A146" s="2">
        <f t="shared" si="55"/>
        <v>36</v>
      </c>
      <c r="B146" s="38" t="s">
        <v>198</v>
      </c>
      <c r="E146" s="8">
        <f>'Stmt AF'!I23</f>
        <v>0</v>
      </c>
      <c r="G146" s="2" t="s">
        <v>696</v>
      </c>
      <c r="H146" s="2">
        <f t="shared" si="56"/>
        <v>36</v>
      </c>
    </row>
    <row r="147" spans="1:8" ht="16.5" thickBot="1" x14ac:dyDescent="0.3">
      <c r="A147" s="2">
        <f t="shared" si="55"/>
        <v>37</v>
      </c>
      <c r="B147" s="38" t="s">
        <v>414</v>
      </c>
      <c r="E147" s="18">
        <f>SUM(E145:E146)</f>
        <v>0</v>
      </c>
      <c r="G147" s="2" t="s">
        <v>736</v>
      </c>
      <c r="H147" s="2">
        <f t="shared" si="56"/>
        <v>37</v>
      </c>
    </row>
    <row r="148" spans="1:8" ht="16.5" thickTop="1" x14ac:dyDescent="0.25">
      <c r="A148" s="2">
        <f t="shared" si="55"/>
        <v>38</v>
      </c>
      <c r="B148" s="39"/>
      <c r="E148" s="9"/>
      <c r="G148" s="2"/>
      <c r="H148" s="2">
        <f t="shared" si="56"/>
        <v>38</v>
      </c>
    </row>
    <row r="149" spans="1:8" ht="19.5" thickBot="1" x14ac:dyDescent="0.3">
      <c r="A149" s="2">
        <f t="shared" si="55"/>
        <v>39</v>
      </c>
      <c r="B149" s="169" t="s">
        <v>372</v>
      </c>
      <c r="E149" s="555">
        <f>'Stmt AM'!E11</f>
        <v>0</v>
      </c>
      <c r="G149" s="2" t="s">
        <v>602</v>
      </c>
      <c r="H149" s="2">
        <f t="shared" ref="H149" si="57">H148+1</f>
        <v>39</v>
      </c>
    </row>
    <row r="150" spans="1:8" ht="16.5" thickTop="1" x14ac:dyDescent="0.25">
      <c r="A150" s="2"/>
      <c r="B150" s="39"/>
      <c r="E150" s="9"/>
      <c r="G150" s="2"/>
    </row>
    <row r="151" spans="1:8" x14ac:dyDescent="0.25">
      <c r="A151" s="2"/>
      <c r="B151" s="39"/>
      <c r="E151" s="9"/>
      <c r="G151" s="2"/>
    </row>
    <row r="152" spans="1:8" ht="18.75" x14ac:dyDescent="0.25">
      <c r="A152" s="174">
        <v>1</v>
      </c>
      <c r="B152" s="39" t="s">
        <v>889</v>
      </c>
      <c r="E152" s="9"/>
      <c r="G152" s="2"/>
    </row>
    <row r="153" spans="1:8" ht="18.75" x14ac:dyDescent="0.25">
      <c r="A153" s="174">
        <v>2</v>
      </c>
      <c r="B153" s="38" t="s">
        <v>484</v>
      </c>
      <c r="E153" s="9"/>
      <c r="G153" s="2"/>
    </row>
    <row r="154" spans="1:8" x14ac:dyDescent="0.25">
      <c r="A154" s="2"/>
      <c r="B154" s="1"/>
      <c r="E154" s="9"/>
      <c r="G154" s="2"/>
    </row>
    <row r="155" spans="1:8" x14ac:dyDescent="0.25">
      <c r="A155" s="2"/>
      <c r="B155" s="1"/>
      <c r="E155" s="9"/>
      <c r="G155" s="2"/>
    </row>
    <row r="156" spans="1:8" x14ac:dyDescent="0.25">
      <c r="A156" s="2"/>
      <c r="B156" s="584" t="s">
        <v>16</v>
      </c>
      <c r="C156" s="581"/>
      <c r="D156" s="581"/>
      <c r="E156" s="581"/>
      <c r="F156" s="581"/>
      <c r="G156" s="581"/>
    </row>
    <row r="157" spans="1:8" x14ac:dyDescent="0.25">
      <c r="A157" s="2" t="s">
        <v>8</v>
      </c>
      <c r="B157" s="584" t="s">
        <v>179</v>
      </c>
      <c r="C157" s="581"/>
      <c r="D157" s="581"/>
      <c r="E157" s="581"/>
      <c r="F157" s="581"/>
      <c r="G157" s="581"/>
    </row>
    <row r="158" spans="1:8" ht="17.25" x14ac:dyDescent="0.25">
      <c r="A158" s="2"/>
      <c r="B158" s="584" t="s">
        <v>180</v>
      </c>
      <c r="C158" s="585"/>
      <c r="D158" s="585"/>
      <c r="E158" s="585"/>
      <c r="F158" s="585"/>
      <c r="G158" s="585"/>
    </row>
    <row r="159" spans="1:8" x14ac:dyDescent="0.25">
      <c r="A159" s="2"/>
      <c r="B159" s="586" t="str">
        <f>B5</f>
        <v>For the Base Period &amp; True-Up Period Ending December 31, xxxx</v>
      </c>
      <c r="C159" s="587"/>
      <c r="D159" s="587"/>
      <c r="E159" s="587"/>
      <c r="F159" s="587"/>
      <c r="G159" s="587"/>
    </row>
    <row r="160" spans="1:8" x14ac:dyDescent="0.25">
      <c r="A160" s="2"/>
      <c r="B160" s="580" t="s">
        <v>1</v>
      </c>
      <c r="C160" s="581"/>
      <c r="D160" s="581"/>
      <c r="E160" s="581"/>
      <c r="F160" s="581"/>
      <c r="G160" s="581"/>
    </row>
    <row r="161" spans="1:11" x14ac:dyDescent="0.25">
      <c r="A161" s="2"/>
      <c r="B161" s="41"/>
    </row>
    <row r="162" spans="1:11" x14ac:dyDescent="0.25">
      <c r="A162" s="2" t="s">
        <v>2</v>
      </c>
      <c r="E162" s="29"/>
      <c r="G162" s="2"/>
      <c r="H162" s="2" t="s">
        <v>2</v>
      </c>
    </row>
    <row r="163" spans="1:11" x14ac:dyDescent="0.25">
      <c r="A163" s="2" t="s">
        <v>18</v>
      </c>
      <c r="B163" s="1" t="s">
        <v>8</v>
      </c>
      <c r="E163" s="183" t="s">
        <v>37</v>
      </c>
      <c r="G163" s="42" t="s">
        <v>7</v>
      </c>
      <c r="H163" s="2" t="s">
        <v>18</v>
      </c>
    </row>
    <row r="164" spans="1:11" x14ac:dyDescent="0.25">
      <c r="A164" s="2"/>
      <c r="B164" s="169" t="s">
        <v>199</v>
      </c>
      <c r="E164" s="29"/>
      <c r="G164" s="2"/>
    </row>
    <row r="165" spans="1:11" x14ac:dyDescent="0.25">
      <c r="A165" s="2">
        <v>1</v>
      </c>
      <c r="B165" s="171" t="s">
        <v>200</v>
      </c>
      <c r="E165" s="29"/>
      <c r="G165" s="2"/>
      <c r="H165" s="2">
        <f>A165</f>
        <v>1</v>
      </c>
    </row>
    <row r="166" spans="1:11" x14ac:dyDescent="0.25">
      <c r="A166" s="2">
        <f t="shared" ref="A166:A189" si="58">A165+1</f>
        <v>2</v>
      </c>
      <c r="B166" s="39" t="s">
        <v>35</v>
      </c>
      <c r="E166" s="5">
        <f>'Stmt AD'!I21</f>
        <v>0</v>
      </c>
      <c r="F166" s="71"/>
      <c r="G166" s="2" t="s">
        <v>603</v>
      </c>
      <c r="H166" s="2">
        <f t="shared" ref="H166:H189" si="59">H165+1</f>
        <v>2</v>
      </c>
      <c r="J166" s="373"/>
    </row>
    <row r="167" spans="1:11" x14ac:dyDescent="0.25">
      <c r="A167" s="2">
        <f t="shared" si="58"/>
        <v>3</v>
      </c>
      <c r="B167" s="39" t="s">
        <v>201</v>
      </c>
      <c r="E167" s="7">
        <f>'Stmt AD'!I37</f>
        <v>0</v>
      </c>
      <c r="F167" s="71"/>
      <c r="G167" s="2" t="s">
        <v>604</v>
      </c>
      <c r="H167" s="2">
        <f t="shared" si="59"/>
        <v>3</v>
      </c>
      <c r="J167" s="173"/>
    </row>
    <row r="168" spans="1:11" x14ac:dyDescent="0.25">
      <c r="A168" s="2">
        <f t="shared" si="58"/>
        <v>4</v>
      </c>
      <c r="B168" s="39" t="s">
        <v>12</v>
      </c>
      <c r="E168" s="7">
        <f>'Stmt AD'!I39</f>
        <v>0</v>
      </c>
      <c r="F168" s="1"/>
      <c r="G168" s="2" t="s">
        <v>605</v>
      </c>
      <c r="H168" s="2">
        <f t="shared" si="59"/>
        <v>4</v>
      </c>
      <c r="K168" s="58"/>
    </row>
    <row r="169" spans="1:11" x14ac:dyDescent="0.25">
      <c r="A169" s="2">
        <f t="shared" si="58"/>
        <v>5</v>
      </c>
      <c r="B169" s="39" t="s">
        <v>165</v>
      </c>
      <c r="C169" s="2"/>
      <c r="D169" s="2"/>
      <c r="E169" s="8">
        <f>'Stmt AD'!I41</f>
        <v>0</v>
      </c>
      <c r="F169" s="1"/>
      <c r="G169" s="2" t="s">
        <v>606</v>
      </c>
      <c r="H169" s="2">
        <f t="shared" si="59"/>
        <v>5</v>
      </c>
    </row>
    <row r="170" spans="1:11" x14ac:dyDescent="0.25">
      <c r="A170" s="2">
        <f t="shared" si="58"/>
        <v>6</v>
      </c>
      <c r="B170" s="39" t="s">
        <v>202</v>
      </c>
      <c r="E170" s="556">
        <f>SUM(E166:E169)</f>
        <v>0</v>
      </c>
      <c r="F170" s="71"/>
      <c r="G170" s="2" t="s">
        <v>592</v>
      </c>
      <c r="H170" s="2">
        <f t="shared" si="59"/>
        <v>6</v>
      </c>
      <c r="J170" s="173"/>
    </row>
    <row r="171" spans="1:11" x14ac:dyDescent="0.25">
      <c r="A171" s="2">
        <f t="shared" si="58"/>
        <v>7</v>
      </c>
      <c r="C171" s="2"/>
      <c r="D171" s="2"/>
      <c r="E171" s="29"/>
      <c r="G171" s="2"/>
      <c r="H171" s="2">
        <f t="shared" si="59"/>
        <v>7</v>
      </c>
    </row>
    <row r="172" spans="1:11" x14ac:dyDescent="0.25">
      <c r="A172" s="2">
        <f t="shared" si="58"/>
        <v>8</v>
      </c>
      <c r="B172" s="172" t="s">
        <v>203</v>
      </c>
      <c r="E172" s="29"/>
      <c r="G172" s="2"/>
      <c r="H172" s="2">
        <f t="shared" si="59"/>
        <v>8</v>
      </c>
    </row>
    <row r="173" spans="1:11" x14ac:dyDescent="0.25">
      <c r="A173" s="2">
        <f t="shared" si="58"/>
        <v>9</v>
      </c>
      <c r="B173" s="38" t="s">
        <v>204</v>
      </c>
      <c r="E173" s="5">
        <f>'Stmt AE'!I11</f>
        <v>0</v>
      </c>
      <c r="F173" s="71"/>
      <c r="G173" s="2" t="s">
        <v>607</v>
      </c>
      <c r="H173" s="2">
        <f t="shared" si="59"/>
        <v>9</v>
      </c>
    </row>
    <row r="174" spans="1:11" x14ac:dyDescent="0.25">
      <c r="A174" s="2">
        <f t="shared" si="58"/>
        <v>10</v>
      </c>
      <c r="B174" s="38" t="s">
        <v>26</v>
      </c>
      <c r="E174" s="7">
        <f>'Stmt AE'!I21</f>
        <v>0</v>
      </c>
      <c r="F174" s="71"/>
      <c r="G174" s="2" t="s">
        <v>608</v>
      </c>
      <c r="H174" s="2">
        <f t="shared" si="59"/>
        <v>10</v>
      </c>
    </row>
    <row r="175" spans="1:11" x14ac:dyDescent="0.25">
      <c r="A175" s="2">
        <f t="shared" si="58"/>
        <v>11</v>
      </c>
      <c r="B175" s="38" t="s">
        <v>205</v>
      </c>
      <c r="E175" s="7">
        <f>'Stmt AE'!I23</f>
        <v>0</v>
      </c>
      <c r="F175" s="1"/>
      <c r="G175" s="2" t="s">
        <v>609</v>
      </c>
      <c r="H175" s="2">
        <f t="shared" si="59"/>
        <v>11</v>
      </c>
    </row>
    <row r="176" spans="1:11" x14ac:dyDescent="0.25">
      <c r="A176" s="2">
        <f t="shared" si="58"/>
        <v>12</v>
      </c>
      <c r="B176" s="38" t="s">
        <v>206</v>
      </c>
      <c r="E176" s="8">
        <f>'Stmt AE'!I25</f>
        <v>0</v>
      </c>
      <c r="F176" s="1"/>
      <c r="G176" s="2" t="s">
        <v>610</v>
      </c>
      <c r="H176" s="2">
        <f t="shared" si="59"/>
        <v>12</v>
      </c>
    </row>
    <row r="177" spans="1:8" x14ac:dyDescent="0.25">
      <c r="A177" s="2">
        <f t="shared" si="58"/>
        <v>13</v>
      </c>
      <c r="B177" s="173" t="s">
        <v>23</v>
      </c>
      <c r="C177" s="173"/>
      <c r="D177" s="173"/>
      <c r="E177" s="30">
        <f>SUM(E173:E176)</f>
        <v>0</v>
      </c>
      <c r="F177" s="71"/>
      <c r="G177" s="2" t="s">
        <v>611</v>
      </c>
      <c r="H177" s="2">
        <f t="shared" si="59"/>
        <v>13</v>
      </c>
    </row>
    <row r="178" spans="1:8" x14ac:dyDescent="0.25">
      <c r="A178" s="2">
        <f t="shared" si="58"/>
        <v>14</v>
      </c>
      <c r="B178" s="173"/>
      <c r="C178" s="173"/>
      <c r="D178" s="173"/>
      <c r="E178" s="6"/>
      <c r="G178" s="2"/>
      <c r="H178" s="2">
        <f t="shared" si="59"/>
        <v>14</v>
      </c>
    </row>
    <row r="179" spans="1:8" x14ac:dyDescent="0.25">
      <c r="A179" s="2">
        <f t="shared" si="58"/>
        <v>15</v>
      </c>
      <c r="B179" s="171" t="s">
        <v>164</v>
      </c>
      <c r="C179" s="173"/>
      <c r="D179" s="173"/>
      <c r="E179" s="6"/>
      <c r="G179" s="2"/>
      <c r="H179" s="2">
        <f t="shared" si="59"/>
        <v>15</v>
      </c>
    </row>
    <row r="180" spans="1:8" x14ac:dyDescent="0.25">
      <c r="A180" s="2">
        <f t="shared" si="58"/>
        <v>16</v>
      </c>
      <c r="B180" s="39" t="s">
        <v>35</v>
      </c>
      <c r="E180" s="9">
        <f>+E166-E173</f>
        <v>0</v>
      </c>
      <c r="F180" s="71"/>
      <c r="G180" s="2" t="s">
        <v>1127</v>
      </c>
      <c r="H180" s="2">
        <f t="shared" si="59"/>
        <v>16</v>
      </c>
    </row>
    <row r="181" spans="1:8" x14ac:dyDescent="0.25">
      <c r="A181" s="2">
        <f t="shared" si="58"/>
        <v>17</v>
      </c>
      <c r="B181" s="39" t="s">
        <v>11</v>
      </c>
      <c r="E181" s="6">
        <f>+E167-E174</f>
        <v>0</v>
      </c>
      <c r="F181" s="71"/>
      <c r="G181" s="2" t="s">
        <v>1128</v>
      </c>
      <c r="H181" s="2">
        <f t="shared" si="59"/>
        <v>17</v>
      </c>
    </row>
    <row r="182" spans="1:8" x14ac:dyDescent="0.25">
      <c r="A182" s="2">
        <f t="shared" si="58"/>
        <v>18</v>
      </c>
      <c r="B182" s="39" t="s">
        <v>12</v>
      </c>
      <c r="E182" s="6">
        <f>+E168-E175</f>
        <v>0</v>
      </c>
      <c r="G182" s="2" t="s">
        <v>1129</v>
      </c>
      <c r="H182" s="2">
        <f t="shared" si="59"/>
        <v>18</v>
      </c>
    </row>
    <row r="183" spans="1:8" x14ac:dyDescent="0.25">
      <c r="A183" s="2">
        <f t="shared" si="58"/>
        <v>19</v>
      </c>
      <c r="B183" s="39" t="s">
        <v>165</v>
      </c>
      <c r="E183" s="31">
        <f>+E169-E176</f>
        <v>0</v>
      </c>
      <c r="G183" s="2" t="s">
        <v>1130</v>
      </c>
      <c r="H183" s="2">
        <f t="shared" si="59"/>
        <v>19</v>
      </c>
    </row>
    <row r="184" spans="1:8" ht="16.5" thickBot="1" x14ac:dyDescent="0.3">
      <c r="A184" s="2">
        <f t="shared" si="58"/>
        <v>20</v>
      </c>
      <c r="B184" s="38" t="s">
        <v>166</v>
      </c>
      <c r="E184" s="18">
        <f>SUM(E180:E183)</f>
        <v>0</v>
      </c>
      <c r="F184" s="71"/>
      <c r="G184" s="2" t="s">
        <v>612</v>
      </c>
      <c r="H184" s="2">
        <f t="shared" si="59"/>
        <v>20</v>
      </c>
    </row>
    <row r="185" spans="1:8" ht="16.5" thickTop="1" x14ac:dyDescent="0.25">
      <c r="A185" s="2">
        <f t="shared" si="58"/>
        <v>21</v>
      </c>
      <c r="E185" s="9"/>
      <c r="G185" s="2"/>
      <c r="H185" s="2">
        <f t="shared" si="59"/>
        <v>21</v>
      </c>
    </row>
    <row r="186" spans="1:8" ht="18.75" x14ac:dyDescent="0.25">
      <c r="A186" s="2">
        <f t="shared" si="58"/>
        <v>22</v>
      </c>
      <c r="B186" s="169" t="s">
        <v>469</v>
      </c>
      <c r="E186" s="9"/>
      <c r="G186" s="2"/>
      <c r="H186" s="2">
        <f t="shared" si="59"/>
        <v>22</v>
      </c>
    </row>
    <row r="187" spans="1:8" x14ac:dyDescent="0.25">
      <c r="A187" s="2">
        <f t="shared" si="58"/>
        <v>23</v>
      </c>
      <c r="B187" s="39" t="s">
        <v>467</v>
      </c>
      <c r="E187" s="5">
        <f>'Stmt AD'!I23</f>
        <v>0</v>
      </c>
      <c r="G187" s="2" t="s">
        <v>613</v>
      </c>
      <c r="H187" s="2">
        <f t="shared" si="59"/>
        <v>23</v>
      </c>
    </row>
    <row r="188" spans="1:8" x14ac:dyDescent="0.25">
      <c r="A188" s="2">
        <f t="shared" si="58"/>
        <v>24</v>
      </c>
      <c r="B188" s="38" t="s">
        <v>468</v>
      </c>
      <c r="E188" s="8">
        <f>'Stmt AE'!I29</f>
        <v>0</v>
      </c>
      <c r="G188" s="2" t="s">
        <v>614</v>
      </c>
      <c r="H188" s="2">
        <f t="shared" si="59"/>
        <v>24</v>
      </c>
    </row>
    <row r="189" spans="1:8" ht="16.5" thickBot="1" x14ac:dyDescent="0.3">
      <c r="A189" s="2">
        <f t="shared" si="58"/>
        <v>25</v>
      </c>
      <c r="B189" s="39" t="s">
        <v>207</v>
      </c>
      <c r="E189" s="28">
        <f>E187-E188</f>
        <v>0</v>
      </c>
      <c r="G189" s="2" t="s">
        <v>1131</v>
      </c>
      <c r="H189" s="2">
        <f t="shared" si="59"/>
        <v>25</v>
      </c>
    </row>
    <row r="190" spans="1:8" ht="16.5" thickTop="1" x14ac:dyDescent="0.25">
      <c r="A190" s="2"/>
      <c r="B190" s="39"/>
      <c r="E190" s="9"/>
      <c r="G190" s="2"/>
    </row>
    <row r="191" spans="1:8" x14ac:dyDescent="0.25">
      <c r="A191" s="2"/>
      <c r="B191" s="39"/>
      <c r="E191" s="9"/>
      <c r="G191" s="2"/>
    </row>
    <row r="192" spans="1:8" ht="18.75" x14ac:dyDescent="0.25">
      <c r="A192" s="174">
        <v>1</v>
      </c>
      <c r="B192" s="38" t="s">
        <v>706</v>
      </c>
      <c r="E192" s="9"/>
      <c r="G192" s="2"/>
    </row>
    <row r="193" spans="1:9" x14ac:dyDescent="0.25">
      <c r="A193" s="2"/>
      <c r="E193" s="9"/>
      <c r="G193" s="2"/>
    </row>
    <row r="194" spans="1:9" x14ac:dyDescent="0.25">
      <c r="A194" s="71"/>
      <c r="E194" s="9"/>
      <c r="G194" s="2"/>
    </row>
    <row r="195" spans="1:9" x14ac:dyDescent="0.25">
      <c r="A195" s="2"/>
      <c r="B195" s="584" t="s">
        <v>16</v>
      </c>
      <c r="C195" s="581"/>
      <c r="D195" s="581"/>
      <c r="E195" s="581"/>
      <c r="F195" s="581"/>
      <c r="G195" s="581"/>
    </row>
    <row r="196" spans="1:9" x14ac:dyDescent="0.25">
      <c r="A196" s="2"/>
      <c r="B196" s="584" t="s">
        <v>179</v>
      </c>
      <c r="C196" s="581"/>
      <c r="D196" s="581"/>
      <c r="E196" s="581"/>
      <c r="F196" s="581"/>
      <c r="G196" s="581"/>
    </row>
    <row r="197" spans="1:9" ht="17.25" x14ac:dyDescent="0.25">
      <c r="A197" s="2"/>
      <c r="B197" s="584" t="s">
        <v>208</v>
      </c>
      <c r="C197" s="585"/>
      <c r="D197" s="585"/>
      <c r="E197" s="585"/>
      <c r="F197" s="585"/>
      <c r="G197" s="585"/>
    </row>
    <row r="198" spans="1:9" x14ac:dyDescent="0.25">
      <c r="A198" s="2"/>
      <c r="B198" s="582" t="s">
        <v>1026</v>
      </c>
      <c r="C198" s="583"/>
      <c r="D198" s="583"/>
      <c r="E198" s="583"/>
      <c r="F198" s="583"/>
      <c r="G198" s="583"/>
    </row>
    <row r="199" spans="1:9" x14ac:dyDescent="0.25">
      <c r="A199" s="2"/>
      <c r="B199" s="580" t="s">
        <v>1</v>
      </c>
      <c r="C199" s="581"/>
      <c r="D199" s="581"/>
      <c r="E199" s="581"/>
      <c r="F199" s="581"/>
      <c r="G199" s="581"/>
    </row>
    <row r="200" spans="1:9" x14ac:dyDescent="0.25">
      <c r="A200" s="2"/>
      <c r="B200" s="188"/>
      <c r="C200" s="1"/>
      <c r="D200" s="1"/>
      <c r="E200" s="1"/>
      <c r="F200" s="1"/>
      <c r="G200" s="1"/>
    </row>
    <row r="201" spans="1:9" x14ac:dyDescent="0.25">
      <c r="A201" s="2" t="s">
        <v>2</v>
      </c>
      <c r="E201" s="29"/>
      <c r="G201" s="2"/>
      <c r="H201" s="2" t="s">
        <v>2</v>
      </c>
    </row>
    <row r="202" spans="1:9" x14ac:dyDescent="0.25">
      <c r="A202" s="2" t="s">
        <v>18</v>
      </c>
      <c r="B202" s="1" t="s">
        <v>8</v>
      </c>
      <c r="E202" s="183" t="s">
        <v>37</v>
      </c>
      <c r="G202" s="42" t="s">
        <v>7</v>
      </c>
      <c r="H202" s="2" t="s">
        <v>18</v>
      </c>
    </row>
    <row r="203" spans="1:9" x14ac:dyDescent="0.25">
      <c r="A203" s="2"/>
      <c r="B203" s="40" t="s">
        <v>209</v>
      </c>
      <c r="E203" s="187"/>
      <c r="G203" s="2"/>
    </row>
    <row r="204" spans="1:9" ht="17.25" x14ac:dyDescent="0.25">
      <c r="A204" s="2"/>
      <c r="B204" s="40" t="s">
        <v>210</v>
      </c>
      <c r="E204" s="12"/>
      <c r="G204" s="2"/>
    </row>
    <row r="205" spans="1:9" x14ac:dyDescent="0.25">
      <c r="A205" s="2"/>
      <c r="B205" s="40" t="s">
        <v>211</v>
      </c>
      <c r="E205" s="12"/>
      <c r="G205" s="2"/>
    </row>
    <row r="206" spans="1:9" x14ac:dyDescent="0.25">
      <c r="A206" s="2"/>
      <c r="B206" s="505" t="s">
        <v>187</v>
      </c>
      <c r="C206" s="506"/>
      <c r="D206" s="506"/>
      <c r="E206" s="507">
        <f>E137</f>
        <v>0</v>
      </c>
      <c r="F206" s="508"/>
      <c r="G206" s="509" t="s">
        <v>746</v>
      </c>
      <c r="I206" s="210">
        <v>1</v>
      </c>
    </row>
    <row r="207" spans="1:9" x14ac:dyDescent="0.25">
      <c r="A207" s="2"/>
      <c r="B207" s="505" t="s">
        <v>1030</v>
      </c>
      <c r="C207" s="506"/>
      <c r="D207" s="506"/>
      <c r="E207" s="557">
        <f>-E126</f>
        <v>0</v>
      </c>
      <c r="F207" s="508"/>
      <c r="G207" s="509" t="s">
        <v>1132</v>
      </c>
      <c r="I207" s="210">
        <f>I206+1</f>
        <v>2</v>
      </c>
    </row>
    <row r="208" spans="1:9" x14ac:dyDescent="0.25">
      <c r="A208" s="2"/>
      <c r="B208" s="505" t="s">
        <v>1034</v>
      </c>
      <c r="C208" s="506"/>
      <c r="D208" s="506"/>
      <c r="E208" s="510">
        <v>0</v>
      </c>
      <c r="F208" s="511"/>
      <c r="G208" s="210" t="s">
        <v>1095</v>
      </c>
      <c r="I208" s="210">
        <f t="shared" ref="I208:I237" si="60">I207+1</f>
        <v>3</v>
      </c>
    </row>
    <row r="209" spans="1:10" x14ac:dyDescent="0.25">
      <c r="A209" s="2"/>
      <c r="B209" s="505" t="s">
        <v>1153</v>
      </c>
      <c r="C209" s="506"/>
      <c r="D209" s="506"/>
      <c r="E209" s="540">
        <f>SUM(E206:E208)</f>
        <v>0</v>
      </c>
      <c r="F209" s="508"/>
      <c r="G209" s="509" t="s">
        <v>707</v>
      </c>
      <c r="I209" s="210">
        <f t="shared" si="60"/>
        <v>4</v>
      </c>
    </row>
    <row r="210" spans="1:10" x14ac:dyDescent="0.25">
      <c r="A210" s="2"/>
      <c r="B210" s="505"/>
      <c r="C210" s="506"/>
      <c r="D210" s="506"/>
      <c r="E210" s="512"/>
      <c r="F210" s="508"/>
      <c r="G210" s="509"/>
      <c r="I210" s="210">
        <f t="shared" si="60"/>
        <v>5</v>
      </c>
    </row>
    <row r="211" spans="1:10" ht="18.75" x14ac:dyDescent="0.25">
      <c r="A211" s="2"/>
      <c r="B211" s="212" t="s">
        <v>989</v>
      </c>
      <c r="C211" s="506"/>
      <c r="D211" s="506"/>
      <c r="E211" s="513">
        <f>'Stmt AV'!G156</f>
        <v>0</v>
      </c>
      <c r="F211" s="506"/>
      <c r="G211" s="210" t="s">
        <v>1032</v>
      </c>
      <c r="I211" s="210">
        <f t="shared" si="60"/>
        <v>6</v>
      </c>
    </row>
    <row r="212" spans="1:10" x14ac:dyDescent="0.25">
      <c r="A212" s="2"/>
      <c r="B212" s="212"/>
      <c r="C212" s="506"/>
      <c r="D212" s="506"/>
      <c r="E212" s="524"/>
      <c r="F212" s="506"/>
      <c r="G212" s="509"/>
      <c r="I212" s="210">
        <f t="shared" si="60"/>
        <v>7</v>
      </c>
    </row>
    <row r="213" spans="1:10" x14ac:dyDescent="0.25">
      <c r="A213" s="2"/>
      <c r="B213" s="505" t="s">
        <v>990</v>
      </c>
      <c r="C213" s="506"/>
      <c r="D213" s="506"/>
      <c r="E213" s="512">
        <f>E209*E211</f>
        <v>0</v>
      </c>
      <c r="F213" s="508"/>
      <c r="G213" s="509" t="s">
        <v>1033</v>
      </c>
      <c r="I213" s="210">
        <f t="shared" si="60"/>
        <v>8</v>
      </c>
    </row>
    <row r="214" spans="1:10" x14ac:dyDescent="0.25">
      <c r="A214" s="2"/>
      <c r="B214" s="179" t="s">
        <v>991</v>
      </c>
      <c r="C214" s="506"/>
      <c r="D214" s="506"/>
      <c r="E214" s="558">
        <f>E29+E33</f>
        <v>0</v>
      </c>
      <c r="F214" s="506"/>
      <c r="G214" s="509" t="s">
        <v>1096</v>
      </c>
      <c r="I214" s="210">
        <f t="shared" si="60"/>
        <v>9</v>
      </c>
    </row>
    <row r="215" spans="1:10" ht="16.5" thickBot="1" x14ac:dyDescent="0.3">
      <c r="A215" s="2"/>
      <c r="B215" s="505" t="s">
        <v>1005</v>
      </c>
      <c r="C215" s="506"/>
      <c r="D215" s="506"/>
      <c r="E215" s="514">
        <f>E213-E214</f>
        <v>0</v>
      </c>
      <c r="F215" s="511"/>
      <c r="G215" s="509" t="s">
        <v>1035</v>
      </c>
      <c r="I215" s="210">
        <f t="shared" si="60"/>
        <v>10</v>
      </c>
    </row>
    <row r="216" spans="1:10" ht="16.5" thickTop="1" x14ac:dyDescent="0.25">
      <c r="A216" s="2"/>
      <c r="B216" s="40"/>
      <c r="E216" s="12"/>
      <c r="G216" s="2"/>
      <c r="I216" s="210">
        <f t="shared" si="60"/>
        <v>11</v>
      </c>
    </row>
    <row r="217" spans="1:10" ht="18.75" x14ac:dyDescent="0.25">
      <c r="A217" s="203">
        <v>1</v>
      </c>
      <c r="B217" s="38" t="s">
        <v>212</v>
      </c>
      <c r="E217" s="5">
        <f>E40</f>
        <v>0</v>
      </c>
      <c r="F217" s="165"/>
      <c r="G217" s="2" t="s">
        <v>1097</v>
      </c>
      <c r="H217" s="203">
        <f>A217</f>
        <v>1</v>
      </c>
      <c r="I217" s="210">
        <f t="shared" si="60"/>
        <v>12</v>
      </c>
    </row>
    <row r="218" spans="1:10" x14ac:dyDescent="0.25">
      <c r="A218" s="203">
        <f t="shared" ref="A218:A237" si="61">A217+1</f>
        <v>2</v>
      </c>
      <c r="B218" s="38" t="s">
        <v>213</v>
      </c>
      <c r="E218" s="6">
        <f>(-E11)*0.5</f>
        <v>0</v>
      </c>
      <c r="F218" s="71"/>
      <c r="G218" s="2" t="s">
        <v>697</v>
      </c>
      <c r="H218" s="203">
        <f t="shared" ref="H218:H237" si="62">H217+1</f>
        <v>2</v>
      </c>
      <c r="I218" s="210">
        <f t="shared" si="60"/>
        <v>13</v>
      </c>
    </row>
    <row r="219" spans="1:10" x14ac:dyDescent="0.25">
      <c r="A219" s="203">
        <f t="shared" si="61"/>
        <v>3</v>
      </c>
      <c r="B219" s="38" t="s">
        <v>214</v>
      </c>
      <c r="E219" s="6">
        <f>(-E13)*0.5</f>
        <v>0</v>
      </c>
      <c r="F219" s="165"/>
      <c r="G219" s="2" t="s">
        <v>698</v>
      </c>
      <c r="H219" s="203">
        <f t="shared" si="62"/>
        <v>3</v>
      </c>
      <c r="I219" s="210">
        <f t="shared" si="60"/>
        <v>14</v>
      </c>
    </row>
    <row r="220" spans="1:10" x14ac:dyDescent="0.25">
      <c r="A220" s="203">
        <f t="shared" si="61"/>
        <v>4</v>
      </c>
      <c r="B220" s="39" t="s">
        <v>64</v>
      </c>
      <c r="E220" s="6">
        <f>-E15</f>
        <v>0</v>
      </c>
      <c r="G220" s="2" t="s">
        <v>699</v>
      </c>
      <c r="H220" s="203">
        <f t="shared" si="62"/>
        <v>4</v>
      </c>
      <c r="I220" s="210">
        <f t="shared" si="60"/>
        <v>15</v>
      </c>
    </row>
    <row r="221" spans="1:10" x14ac:dyDescent="0.25">
      <c r="A221" s="203">
        <f t="shared" si="61"/>
        <v>5</v>
      </c>
      <c r="B221" s="38" t="s">
        <v>333</v>
      </c>
      <c r="E221" s="6">
        <f>-E35</f>
        <v>0</v>
      </c>
      <c r="G221" s="2" t="s">
        <v>1098</v>
      </c>
      <c r="H221" s="203">
        <f t="shared" si="62"/>
        <v>5</v>
      </c>
      <c r="I221" s="210">
        <f t="shared" si="60"/>
        <v>16</v>
      </c>
      <c r="J221" s="39"/>
    </row>
    <row r="222" spans="1:10" x14ac:dyDescent="0.25">
      <c r="A222" s="203">
        <f t="shared" si="61"/>
        <v>6</v>
      </c>
      <c r="B222" s="170" t="s">
        <v>189</v>
      </c>
      <c r="E222" s="10">
        <f>-E38</f>
        <v>0</v>
      </c>
      <c r="G222" s="2" t="s">
        <v>1099</v>
      </c>
      <c r="H222" s="203">
        <f t="shared" si="62"/>
        <v>6</v>
      </c>
      <c r="I222" s="210">
        <f t="shared" si="60"/>
        <v>17</v>
      </c>
    </row>
    <row r="223" spans="1:10" x14ac:dyDescent="0.25">
      <c r="A223" s="203"/>
      <c r="B223" s="505" t="s">
        <v>1005</v>
      </c>
      <c r="E223" s="487">
        <f>E215</f>
        <v>0</v>
      </c>
      <c r="G223" s="515" t="s">
        <v>1036</v>
      </c>
      <c r="H223" s="203"/>
      <c r="I223" s="210">
        <f t="shared" si="60"/>
        <v>18</v>
      </c>
    </row>
    <row r="224" spans="1:10" ht="18.75" x14ac:dyDescent="0.25">
      <c r="A224" s="203">
        <f>A222+1</f>
        <v>7</v>
      </c>
      <c r="B224" s="38" t="s">
        <v>415</v>
      </c>
      <c r="E224" s="14">
        <f>SUM(E217:E223)</f>
        <v>0</v>
      </c>
      <c r="F224" s="165"/>
      <c r="G224" s="2" t="s">
        <v>1037</v>
      </c>
      <c r="H224" s="203">
        <f>H222+1</f>
        <v>7</v>
      </c>
      <c r="I224" s="210">
        <f t="shared" si="60"/>
        <v>19</v>
      </c>
    </row>
    <row r="225" spans="1:11" x14ac:dyDescent="0.25">
      <c r="A225" s="203">
        <f t="shared" si="61"/>
        <v>8</v>
      </c>
      <c r="E225" s="6"/>
      <c r="G225" s="2"/>
      <c r="H225" s="203">
        <f t="shared" si="62"/>
        <v>8</v>
      </c>
      <c r="I225" s="210">
        <f t="shared" si="60"/>
        <v>20</v>
      </c>
    </row>
    <row r="226" spans="1:11" x14ac:dyDescent="0.25">
      <c r="A226" s="203">
        <f t="shared" si="61"/>
        <v>9</v>
      </c>
      <c r="B226" s="39" t="s">
        <v>519</v>
      </c>
      <c r="E226" s="13">
        <f>E184</f>
        <v>0</v>
      </c>
      <c r="F226" s="71"/>
      <c r="G226" s="2" t="s">
        <v>754</v>
      </c>
      <c r="H226" s="203">
        <f t="shared" si="62"/>
        <v>9</v>
      </c>
      <c r="I226" s="210">
        <f t="shared" si="60"/>
        <v>21</v>
      </c>
    </row>
    <row r="227" spans="1:11" x14ac:dyDescent="0.25">
      <c r="A227" s="203">
        <f t="shared" si="61"/>
        <v>10</v>
      </c>
      <c r="E227" s="12"/>
      <c r="G227" s="2"/>
      <c r="H227" s="203">
        <f t="shared" si="62"/>
        <v>10</v>
      </c>
      <c r="I227" s="210">
        <f t="shared" si="60"/>
        <v>22</v>
      </c>
    </row>
    <row r="228" spans="1:11" ht="18.75" x14ac:dyDescent="0.25">
      <c r="A228" s="203">
        <f t="shared" si="61"/>
        <v>11</v>
      </c>
      <c r="B228" s="38" t="s">
        <v>215</v>
      </c>
      <c r="E228" s="32">
        <f>IFERROR(E224/E226,0)</f>
        <v>0</v>
      </c>
      <c r="F228" s="165"/>
      <c r="G228" s="2" t="s">
        <v>1038</v>
      </c>
      <c r="H228" s="203">
        <f t="shared" si="62"/>
        <v>11</v>
      </c>
      <c r="I228" s="210">
        <f t="shared" si="60"/>
        <v>23</v>
      </c>
    </row>
    <row r="229" spans="1:11" x14ac:dyDescent="0.25">
      <c r="A229" s="203">
        <f t="shared" si="61"/>
        <v>12</v>
      </c>
      <c r="E229" s="33"/>
      <c r="G229" s="2"/>
      <c r="H229" s="203">
        <f t="shared" si="62"/>
        <v>12</v>
      </c>
      <c r="I229" s="210">
        <f t="shared" si="60"/>
        <v>24</v>
      </c>
    </row>
    <row r="230" spans="1:11" ht="31.5" x14ac:dyDescent="0.25">
      <c r="A230" s="203">
        <f t="shared" si="61"/>
        <v>13</v>
      </c>
      <c r="B230" s="38" t="s">
        <v>216</v>
      </c>
      <c r="E230" s="13">
        <f>'Summary of HV-LV Splits'!I15</f>
        <v>0</v>
      </c>
      <c r="F230" s="165"/>
      <c r="G230" s="175" t="s">
        <v>700</v>
      </c>
      <c r="H230" s="203">
        <f t="shared" si="62"/>
        <v>13</v>
      </c>
      <c r="I230" s="210">
        <f t="shared" si="60"/>
        <v>25</v>
      </c>
      <c r="K230" s="43"/>
    </row>
    <row r="231" spans="1:11" x14ac:dyDescent="0.25">
      <c r="A231" s="203">
        <f t="shared" si="61"/>
        <v>14</v>
      </c>
      <c r="E231" s="43"/>
      <c r="F231" s="165"/>
      <c r="G231" s="175"/>
      <c r="H231" s="203">
        <f t="shared" si="62"/>
        <v>14</v>
      </c>
      <c r="I231" s="210">
        <f t="shared" si="60"/>
        <v>26</v>
      </c>
      <c r="K231" s="43"/>
    </row>
    <row r="232" spans="1:11" x14ac:dyDescent="0.25">
      <c r="A232" s="203">
        <f t="shared" si="61"/>
        <v>15</v>
      </c>
      <c r="B232" s="38" t="s">
        <v>73</v>
      </c>
      <c r="E232" s="311">
        <v>0</v>
      </c>
      <c r="F232" s="165"/>
      <c r="G232" s="175" t="s">
        <v>710</v>
      </c>
      <c r="H232" s="203">
        <f t="shared" si="62"/>
        <v>15</v>
      </c>
      <c r="I232" s="210">
        <f t="shared" si="60"/>
        <v>27</v>
      </c>
      <c r="K232" s="43"/>
    </row>
    <row r="233" spans="1:11" x14ac:dyDescent="0.25">
      <c r="A233" s="203">
        <f t="shared" si="61"/>
        <v>16</v>
      </c>
      <c r="B233" s="38" t="s">
        <v>708</v>
      </c>
      <c r="E233" s="9">
        <f>E230*E232</f>
        <v>0</v>
      </c>
      <c r="F233" s="165"/>
      <c r="G233" s="175" t="s">
        <v>1039</v>
      </c>
      <c r="H233" s="203">
        <f t="shared" si="62"/>
        <v>16</v>
      </c>
      <c r="I233" s="210">
        <f t="shared" si="60"/>
        <v>28</v>
      </c>
      <c r="K233" s="43"/>
    </row>
    <row r="234" spans="1:11" x14ac:dyDescent="0.25">
      <c r="A234" s="203">
        <f t="shared" si="61"/>
        <v>17</v>
      </c>
      <c r="E234" s="9"/>
      <c r="F234" s="165"/>
      <c r="G234" s="290" t="s">
        <v>764</v>
      </c>
      <c r="H234" s="203">
        <f t="shared" si="62"/>
        <v>17</v>
      </c>
      <c r="I234" s="210">
        <f t="shared" si="60"/>
        <v>29</v>
      </c>
      <c r="K234" s="43"/>
    </row>
    <row r="235" spans="1:11" x14ac:dyDescent="0.25">
      <c r="A235" s="203">
        <f t="shared" si="61"/>
        <v>18</v>
      </c>
      <c r="B235" s="38" t="s">
        <v>709</v>
      </c>
      <c r="E235" s="473">
        <f>E230-E233</f>
        <v>0</v>
      </c>
      <c r="F235" s="165"/>
      <c r="G235" s="175" t="s">
        <v>1040</v>
      </c>
      <c r="H235" s="203">
        <f t="shared" si="62"/>
        <v>18</v>
      </c>
      <c r="I235" s="210">
        <f t="shared" si="60"/>
        <v>30</v>
      </c>
      <c r="K235" s="43"/>
    </row>
    <row r="236" spans="1:11" x14ac:dyDescent="0.25">
      <c r="A236" s="203">
        <f t="shared" si="61"/>
        <v>19</v>
      </c>
      <c r="B236" s="172"/>
      <c r="E236" s="33"/>
      <c r="G236" s="2"/>
      <c r="H236" s="203">
        <f t="shared" si="62"/>
        <v>19</v>
      </c>
      <c r="I236" s="210">
        <f t="shared" si="60"/>
        <v>31</v>
      </c>
    </row>
    <row r="237" spans="1:11" ht="16.5" thickBot="1" x14ac:dyDescent="0.3">
      <c r="A237" s="203">
        <f t="shared" si="61"/>
        <v>20</v>
      </c>
      <c r="B237" s="38" t="s">
        <v>448</v>
      </c>
      <c r="E237" s="28">
        <f>E228*E235</f>
        <v>0</v>
      </c>
      <c r="F237" s="165"/>
      <c r="G237" s="2" t="s">
        <v>1041</v>
      </c>
      <c r="H237" s="203">
        <f t="shared" si="62"/>
        <v>20</v>
      </c>
      <c r="I237" s="210">
        <f t="shared" si="60"/>
        <v>32</v>
      </c>
    </row>
    <row r="238" spans="1:11" ht="16.5" thickTop="1" x14ac:dyDescent="0.25">
      <c r="A238" s="2"/>
      <c r="E238" s="9"/>
      <c r="G238" s="2"/>
    </row>
    <row r="239" spans="1:11" x14ac:dyDescent="0.25">
      <c r="A239" s="2"/>
      <c r="B239" s="1"/>
      <c r="E239" s="33"/>
      <c r="G239" s="2"/>
    </row>
    <row r="240" spans="1:11" x14ac:dyDescent="0.25">
      <c r="A240" s="2"/>
      <c r="B240" s="584" t="s">
        <v>16</v>
      </c>
      <c r="C240" s="581"/>
      <c r="D240" s="581"/>
      <c r="E240" s="581"/>
      <c r="F240" s="581"/>
      <c r="G240" s="581"/>
    </row>
    <row r="241" spans="1:9" x14ac:dyDescent="0.25">
      <c r="A241" s="2" t="s">
        <v>8</v>
      </c>
      <c r="B241" s="584" t="s">
        <v>179</v>
      </c>
      <c r="C241" s="581"/>
      <c r="D241" s="581"/>
      <c r="E241" s="581"/>
      <c r="F241" s="581"/>
      <c r="G241" s="581"/>
    </row>
    <row r="242" spans="1:9" ht="17.25" x14ac:dyDescent="0.25">
      <c r="A242" s="2"/>
      <c r="B242" s="584" t="s">
        <v>208</v>
      </c>
      <c r="C242" s="585"/>
      <c r="D242" s="585"/>
      <c r="E242" s="585"/>
      <c r="F242" s="585"/>
      <c r="G242" s="585"/>
    </row>
    <row r="243" spans="1:9" x14ac:dyDescent="0.25">
      <c r="A243" s="2"/>
      <c r="B243" s="586" t="str">
        <f>B198</f>
        <v>For the Forecast Period January 1, xxxx - December 31, xxxx</v>
      </c>
      <c r="C243" s="587"/>
      <c r="D243" s="587"/>
      <c r="E243" s="587"/>
      <c r="F243" s="587"/>
      <c r="G243" s="587"/>
    </row>
    <row r="244" spans="1:9" x14ac:dyDescent="0.25">
      <c r="A244" s="2"/>
      <c r="B244" s="580" t="s">
        <v>1</v>
      </c>
      <c r="C244" s="581"/>
      <c r="D244" s="581"/>
      <c r="E244" s="581"/>
      <c r="F244" s="581"/>
      <c r="G244" s="581"/>
    </row>
    <row r="245" spans="1:9" x14ac:dyDescent="0.25">
      <c r="A245" s="2"/>
      <c r="B245" s="188"/>
      <c r="C245" s="1"/>
      <c r="D245" s="1"/>
      <c r="E245" s="1"/>
      <c r="F245" s="1"/>
      <c r="G245" s="1"/>
    </row>
    <row r="246" spans="1:9" x14ac:dyDescent="0.25">
      <c r="A246" s="2" t="s">
        <v>2</v>
      </c>
      <c r="E246" s="29"/>
      <c r="G246" s="2"/>
      <c r="H246" s="2" t="s">
        <v>2</v>
      </c>
    </row>
    <row r="247" spans="1:9" x14ac:dyDescent="0.25">
      <c r="A247" s="2" t="s">
        <v>18</v>
      </c>
      <c r="B247" s="1" t="s">
        <v>8</v>
      </c>
      <c r="E247" s="183" t="s">
        <v>37</v>
      </c>
      <c r="G247" s="42" t="s">
        <v>7</v>
      </c>
      <c r="H247" s="2" t="s">
        <v>18</v>
      </c>
    </row>
    <row r="248" spans="1:9" x14ac:dyDescent="0.25">
      <c r="A248" s="2"/>
      <c r="B248" s="40" t="s">
        <v>1006</v>
      </c>
      <c r="E248" s="57"/>
      <c r="G248" s="2"/>
    </row>
    <row r="249" spans="1:9" x14ac:dyDescent="0.25">
      <c r="A249" s="2"/>
      <c r="B249" s="500" t="s">
        <v>218</v>
      </c>
      <c r="E249" s="57"/>
      <c r="G249" s="2"/>
    </row>
    <row r="250" spans="1:9" ht="17.25" x14ac:dyDescent="0.25">
      <c r="A250" s="2"/>
      <c r="B250" s="40" t="s">
        <v>219</v>
      </c>
      <c r="E250" s="33"/>
      <c r="G250" s="2"/>
    </row>
    <row r="251" spans="1:9" x14ac:dyDescent="0.25">
      <c r="A251" s="2"/>
      <c r="B251" s="40" t="s">
        <v>220</v>
      </c>
      <c r="E251" s="33"/>
      <c r="G251" s="2"/>
    </row>
    <row r="252" spans="1:9" x14ac:dyDescent="0.25">
      <c r="A252" s="2"/>
      <c r="B252" s="505" t="s">
        <v>187</v>
      </c>
      <c r="C252" s="506"/>
      <c r="D252" s="506"/>
      <c r="E252" s="507">
        <f>E137</f>
        <v>0</v>
      </c>
      <c r="F252" s="508"/>
      <c r="G252" s="509" t="s">
        <v>746</v>
      </c>
      <c r="I252" s="210">
        <v>1</v>
      </c>
    </row>
    <row r="253" spans="1:9" x14ac:dyDescent="0.25">
      <c r="A253" s="2"/>
      <c r="B253" s="505" t="s">
        <v>1042</v>
      </c>
      <c r="C253" s="506"/>
      <c r="D253" s="506"/>
      <c r="E253" s="557">
        <f>-E172</f>
        <v>0</v>
      </c>
      <c r="F253" s="508"/>
      <c r="G253" s="509" t="s">
        <v>1132</v>
      </c>
      <c r="I253" s="210">
        <f>I252+1</f>
        <v>2</v>
      </c>
    </row>
    <row r="254" spans="1:9" x14ac:dyDescent="0.25">
      <c r="A254" s="2"/>
      <c r="B254" s="505" t="s">
        <v>1004</v>
      </c>
      <c r="C254" s="506"/>
      <c r="D254" s="506"/>
      <c r="E254" s="510">
        <f>E193</f>
        <v>0</v>
      </c>
      <c r="F254" s="511"/>
      <c r="G254" s="210" t="s">
        <v>1095</v>
      </c>
      <c r="I254" s="210">
        <f t="shared" ref="I254:I298" si="63">I253+1</f>
        <v>3</v>
      </c>
    </row>
    <row r="255" spans="1:9" x14ac:dyDescent="0.25">
      <c r="A255" s="2"/>
      <c r="B255" s="505" t="s">
        <v>1154</v>
      </c>
      <c r="C255" s="506"/>
      <c r="D255" s="506"/>
      <c r="E255" s="540">
        <f>SUM(E252:E254)</f>
        <v>0</v>
      </c>
      <c r="F255" s="508"/>
      <c r="G255" s="509" t="s">
        <v>707</v>
      </c>
      <c r="I255" s="210">
        <f t="shared" si="63"/>
        <v>4</v>
      </c>
    </row>
    <row r="256" spans="1:9" x14ac:dyDescent="0.25">
      <c r="A256" s="2"/>
      <c r="B256" s="505"/>
      <c r="C256" s="506"/>
      <c r="D256" s="506"/>
      <c r="E256" s="512"/>
      <c r="F256" s="508"/>
      <c r="G256" s="509"/>
      <c r="I256" s="210">
        <f t="shared" si="63"/>
        <v>5</v>
      </c>
    </row>
    <row r="257" spans="1:10" ht="18.75" x14ac:dyDescent="0.25">
      <c r="A257" s="2"/>
      <c r="B257" s="212" t="s">
        <v>989</v>
      </c>
      <c r="C257" s="506"/>
      <c r="D257" s="506"/>
      <c r="E257" s="513">
        <f>'Stmt AV'!G156</f>
        <v>0</v>
      </c>
      <c r="F257" s="506"/>
      <c r="G257" s="210" t="s">
        <v>1032</v>
      </c>
      <c r="I257" s="210">
        <f t="shared" si="63"/>
        <v>6</v>
      </c>
    </row>
    <row r="258" spans="1:10" x14ac:dyDescent="0.25">
      <c r="A258" s="2"/>
      <c r="B258" s="212"/>
      <c r="C258" s="506"/>
      <c r="D258" s="506"/>
      <c r="E258" s="524"/>
      <c r="F258" s="506"/>
      <c r="G258" s="509"/>
      <c r="I258" s="210">
        <f t="shared" si="63"/>
        <v>7</v>
      </c>
    </row>
    <row r="259" spans="1:10" x14ac:dyDescent="0.25">
      <c r="A259" s="2"/>
      <c r="B259" s="505" t="s">
        <v>990</v>
      </c>
      <c r="C259" s="506"/>
      <c r="D259" s="506"/>
      <c r="E259" s="512">
        <f>E255*E257</f>
        <v>0</v>
      </c>
      <c r="F259" s="508"/>
      <c r="G259" s="509" t="s">
        <v>1033</v>
      </c>
      <c r="I259" s="210">
        <f t="shared" si="63"/>
        <v>8</v>
      </c>
    </row>
    <row r="260" spans="1:10" x14ac:dyDescent="0.25">
      <c r="A260" s="2"/>
      <c r="B260" s="179" t="s">
        <v>991</v>
      </c>
      <c r="C260" s="506"/>
      <c r="D260" s="506"/>
      <c r="E260" s="557">
        <f>E29+E33</f>
        <v>0</v>
      </c>
      <c r="F260" s="506"/>
      <c r="G260" s="509" t="s">
        <v>1096</v>
      </c>
      <c r="I260" s="210">
        <f t="shared" si="63"/>
        <v>9</v>
      </c>
    </row>
    <row r="261" spans="1:10" ht="16.5" thickBot="1" x14ac:dyDescent="0.3">
      <c r="A261" s="2"/>
      <c r="B261" s="505" t="s">
        <v>1005</v>
      </c>
      <c r="C261" s="506"/>
      <c r="D261" s="506"/>
      <c r="E261" s="514">
        <f>E259-E260</f>
        <v>0</v>
      </c>
      <c r="F261" s="511"/>
      <c r="G261" s="509" t="s">
        <v>1035</v>
      </c>
      <c r="I261" s="210">
        <f t="shared" si="63"/>
        <v>10</v>
      </c>
    </row>
    <row r="262" spans="1:10" ht="16.5" thickTop="1" x14ac:dyDescent="0.25">
      <c r="A262" s="2"/>
      <c r="B262" s="40"/>
      <c r="E262" s="33"/>
      <c r="G262" s="2"/>
      <c r="I262" s="210">
        <f t="shared" si="63"/>
        <v>11</v>
      </c>
    </row>
    <row r="263" spans="1:10" ht="18.75" x14ac:dyDescent="0.25">
      <c r="A263" s="2">
        <v>1</v>
      </c>
      <c r="B263" s="38" t="s">
        <v>221</v>
      </c>
      <c r="E263" s="9">
        <f>E40+E65</f>
        <v>0</v>
      </c>
      <c r="F263" s="165"/>
      <c r="G263" s="2" t="s">
        <v>1100</v>
      </c>
      <c r="H263" s="203">
        <f>A263</f>
        <v>1</v>
      </c>
      <c r="I263" s="210">
        <f t="shared" si="63"/>
        <v>12</v>
      </c>
    </row>
    <row r="264" spans="1:10" x14ac:dyDescent="0.25">
      <c r="A264" s="2">
        <f t="shared" ref="A264:A298" si="64">A263+1</f>
        <v>2</v>
      </c>
      <c r="B264" s="38" t="s">
        <v>213</v>
      </c>
      <c r="E264" s="6">
        <f>(-E11)*0.5</f>
        <v>0</v>
      </c>
      <c r="F264" s="71"/>
      <c r="G264" s="2" t="s">
        <v>697</v>
      </c>
      <c r="H264" s="203">
        <f t="shared" ref="H264:H298" si="65">H263+1</f>
        <v>2</v>
      </c>
      <c r="I264" s="210">
        <f t="shared" si="63"/>
        <v>13</v>
      </c>
    </row>
    <row r="265" spans="1:10" x14ac:dyDescent="0.25">
      <c r="A265" s="2">
        <f t="shared" si="64"/>
        <v>3</v>
      </c>
      <c r="B265" s="38" t="s">
        <v>214</v>
      </c>
      <c r="E265" s="6">
        <f>(-E13*0.5)</f>
        <v>0</v>
      </c>
      <c r="F265" s="165"/>
      <c r="G265" s="2" t="s">
        <v>698</v>
      </c>
      <c r="H265" s="203">
        <f t="shared" si="65"/>
        <v>3</v>
      </c>
      <c r="I265" s="210">
        <f t="shared" si="63"/>
        <v>14</v>
      </c>
    </row>
    <row r="266" spans="1:10" x14ac:dyDescent="0.25">
      <c r="A266" s="2">
        <f t="shared" si="64"/>
        <v>4</v>
      </c>
      <c r="B266" s="39" t="s">
        <v>64</v>
      </c>
      <c r="E266" s="6">
        <f>-E15</f>
        <v>0</v>
      </c>
      <c r="G266" s="2" t="s">
        <v>699</v>
      </c>
      <c r="H266" s="203">
        <f t="shared" si="65"/>
        <v>4</v>
      </c>
      <c r="I266" s="210">
        <f t="shared" si="63"/>
        <v>15</v>
      </c>
    </row>
    <row r="267" spans="1:10" x14ac:dyDescent="0.25">
      <c r="A267" s="2">
        <f t="shared" si="64"/>
        <v>5</v>
      </c>
      <c r="B267" s="38" t="s">
        <v>333</v>
      </c>
      <c r="E267" s="6">
        <f>-E35</f>
        <v>0</v>
      </c>
      <c r="G267" s="2" t="s">
        <v>1098</v>
      </c>
      <c r="H267" s="203">
        <f t="shared" si="65"/>
        <v>5</v>
      </c>
      <c r="I267" s="210">
        <f t="shared" si="63"/>
        <v>16</v>
      </c>
      <c r="J267" s="39"/>
    </row>
    <row r="268" spans="1:10" x14ac:dyDescent="0.25">
      <c r="A268" s="2">
        <f t="shared" si="64"/>
        <v>6</v>
      </c>
      <c r="B268" s="170" t="s">
        <v>189</v>
      </c>
      <c r="E268" s="10">
        <f>-E38</f>
        <v>0</v>
      </c>
      <c r="G268" s="2" t="s">
        <v>1099</v>
      </c>
      <c r="H268" s="203">
        <f t="shared" si="65"/>
        <v>6</v>
      </c>
      <c r="I268" s="210">
        <f t="shared" si="63"/>
        <v>17</v>
      </c>
    </row>
    <row r="269" spans="1:10" x14ac:dyDescent="0.25">
      <c r="A269" s="2"/>
      <c r="B269" s="505" t="s">
        <v>1005</v>
      </c>
      <c r="E269" s="487">
        <f>E261</f>
        <v>0</v>
      </c>
      <c r="G269" s="515" t="s">
        <v>1036</v>
      </c>
      <c r="H269" s="203"/>
      <c r="I269" s="210">
        <f t="shared" si="63"/>
        <v>18</v>
      </c>
    </row>
    <row r="270" spans="1:10" ht="18.75" x14ac:dyDescent="0.25">
      <c r="A270" s="2">
        <f>A268+1</f>
        <v>7</v>
      </c>
      <c r="B270" s="38" t="s">
        <v>416</v>
      </c>
      <c r="E270" s="14">
        <f>SUM(E263:E269)</f>
        <v>0</v>
      </c>
      <c r="F270" s="165"/>
      <c r="G270" s="2" t="s">
        <v>1037</v>
      </c>
      <c r="H270" s="203">
        <f>H268+1</f>
        <v>7</v>
      </c>
      <c r="I270" s="210">
        <f t="shared" si="63"/>
        <v>19</v>
      </c>
    </row>
    <row r="271" spans="1:10" x14ac:dyDescent="0.25">
      <c r="A271" s="2">
        <f t="shared" si="64"/>
        <v>8</v>
      </c>
      <c r="E271" s="33"/>
      <c r="G271" s="2"/>
      <c r="H271" s="203">
        <f t="shared" si="65"/>
        <v>8</v>
      </c>
      <c r="I271" s="210">
        <f t="shared" si="63"/>
        <v>20</v>
      </c>
    </row>
    <row r="272" spans="1:10" x14ac:dyDescent="0.25">
      <c r="A272" s="2">
        <f t="shared" si="64"/>
        <v>9</v>
      </c>
      <c r="B272" s="39" t="s">
        <v>520</v>
      </c>
      <c r="E272" s="569">
        <f>+E184+E189</f>
        <v>0</v>
      </c>
      <c r="F272" s="71"/>
      <c r="G272" s="2" t="s">
        <v>755</v>
      </c>
      <c r="H272" s="203">
        <f t="shared" si="65"/>
        <v>9</v>
      </c>
      <c r="I272" s="210">
        <f t="shared" si="63"/>
        <v>21</v>
      </c>
    </row>
    <row r="273" spans="1:10" x14ac:dyDescent="0.25">
      <c r="A273" s="2">
        <f t="shared" si="64"/>
        <v>10</v>
      </c>
      <c r="E273" s="12"/>
      <c r="G273" s="2"/>
      <c r="H273" s="203">
        <f t="shared" si="65"/>
        <v>10</v>
      </c>
      <c r="I273" s="210">
        <f t="shared" si="63"/>
        <v>22</v>
      </c>
    </row>
    <row r="274" spans="1:10" ht="18.75" x14ac:dyDescent="0.25">
      <c r="A274" s="2">
        <f t="shared" si="64"/>
        <v>11</v>
      </c>
      <c r="B274" s="38" t="s">
        <v>1106</v>
      </c>
      <c r="E274" s="32">
        <f>IFERROR(E270/E272,0)</f>
        <v>0</v>
      </c>
      <c r="F274" s="165"/>
      <c r="G274" s="2" t="s">
        <v>1038</v>
      </c>
      <c r="H274" s="203">
        <f t="shared" si="65"/>
        <v>11</v>
      </c>
      <c r="I274" s="210">
        <f t="shared" si="63"/>
        <v>23</v>
      </c>
    </row>
    <row r="275" spans="1:10" x14ac:dyDescent="0.25">
      <c r="A275" s="2">
        <f t="shared" si="64"/>
        <v>12</v>
      </c>
      <c r="E275" s="33"/>
      <c r="G275" s="2"/>
      <c r="H275" s="203">
        <f t="shared" si="65"/>
        <v>12</v>
      </c>
      <c r="I275" s="210">
        <f t="shared" si="63"/>
        <v>24</v>
      </c>
    </row>
    <row r="276" spans="1:10" ht="31.5" x14ac:dyDescent="0.25">
      <c r="A276" s="2">
        <f t="shared" si="64"/>
        <v>13</v>
      </c>
      <c r="B276" s="38" t="s">
        <v>222</v>
      </c>
      <c r="E276" s="13">
        <f>'Summary of HV-LV Splits'!I18</f>
        <v>0</v>
      </c>
      <c r="G276" s="175" t="s">
        <v>701</v>
      </c>
      <c r="H276" s="203">
        <f t="shared" si="65"/>
        <v>13</v>
      </c>
      <c r="I276" s="210">
        <f t="shared" si="63"/>
        <v>25</v>
      </c>
    </row>
    <row r="277" spans="1:10" x14ac:dyDescent="0.25">
      <c r="A277" s="2">
        <f t="shared" si="64"/>
        <v>14</v>
      </c>
      <c r="E277" s="43"/>
      <c r="G277" s="175"/>
      <c r="H277" s="203">
        <f t="shared" si="65"/>
        <v>14</v>
      </c>
      <c r="I277" s="210">
        <f t="shared" si="63"/>
        <v>26</v>
      </c>
    </row>
    <row r="278" spans="1:10" x14ac:dyDescent="0.25">
      <c r="A278" s="2">
        <f t="shared" si="64"/>
        <v>15</v>
      </c>
      <c r="B278" s="38" t="s">
        <v>73</v>
      </c>
      <c r="E278" s="286">
        <f>E232</f>
        <v>0</v>
      </c>
      <c r="G278" s="175" t="s">
        <v>1043</v>
      </c>
      <c r="H278" s="203">
        <f t="shared" si="65"/>
        <v>15</v>
      </c>
      <c r="I278" s="210">
        <f t="shared" si="63"/>
        <v>27</v>
      </c>
    </row>
    <row r="279" spans="1:10" x14ac:dyDescent="0.25">
      <c r="A279" s="2">
        <f t="shared" si="64"/>
        <v>16</v>
      </c>
      <c r="B279" s="38" t="s">
        <v>708</v>
      </c>
      <c r="E279" s="556">
        <f>E276*E278</f>
        <v>0</v>
      </c>
      <c r="G279" s="175" t="s">
        <v>1039</v>
      </c>
      <c r="H279" s="203">
        <f t="shared" si="65"/>
        <v>16</v>
      </c>
      <c r="I279" s="210">
        <f t="shared" si="63"/>
        <v>28</v>
      </c>
    </row>
    <row r="280" spans="1:10" x14ac:dyDescent="0.25">
      <c r="A280" s="2">
        <f t="shared" si="64"/>
        <v>17</v>
      </c>
      <c r="E280" s="9"/>
      <c r="G280" s="290" t="s">
        <v>764</v>
      </c>
      <c r="H280" s="203">
        <f t="shared" si="65"/>
        <v>17</v>
      </c>
      <c r="I280" s="210">
        <f t="shared" si="63"/>
        <v>29</v>
      </c>
    </row>
    <row r="281" spans="1:10" x14ac:dyDescent="0.25">
      <c r="A281" s="2">
        <f t="shared" si="64"/>
        <v>18</v>
      </c>
      <c r="B281" s="38" t="s">
        <v>709</v>
      </c>
      <c r="E281" s="473">
        <f>E276-E279</f>
        <v>0</v>
      </c>
      <c r="G281" s="175" t="s">
        <v>1040</v>
      </c>
      <c r="H281" s="203">
        <f t="shared" si="65"/>
        <v>18</v>
      </c>
      <c r="I281" s="210">
        <f t="shared" si="63"/>
        <v>30</v>
      </c>
    </row>
    <row r="282" spans="1:10" x14ac:dyDescent="0.25">
      <c r="A282" s="2">
        <f t="shared" si="64"/>
        <v>19</v>
      </c>
      <c r="B282" s="172"/>
      <c r="E282" s="33"/>
      <c r="G282" s="2"/>
      <c r="H282" s="203">
        <f t="shared" si="65"/>
        <v>19</v>
      </c>
      <c r="I282" s="210">
        <f t="shared" si="63"/>
        <v>31</v>
      </c>
    </row>
    <row r="283" spans="1:10" ht="19.5" thickBot="1" x14ac:dyDescent="0.3">
      <c r="A283" s="2">
        <f t="shared" si="64"/>
        <v>20</v>
      </c>
      <c r="B283" s="38" t="s">
        <v>459</v>
      </c>
      <c r="E283" s="28">
        <f>E274*E281</f>
        <v>0</v>
      </c>
      <c r="G283" s="2" t="s">
        <v>1041</v>
      </c>
      <c r="H283" s="203">
        <f t="shared" si="65"/>
        <v>20</v>
      </c>
      <c r="I283" s="210">
        <f t="shared" si="63"/>
        <v>32</v>
      </c>
    </row>
    <row r="284" spans="1:10" ht="16.5" thickTop="1" x14ac:dyDescent="0.25">
      <c r="A284" s="2">
        <f t="shared" si="64"/>
        <v>21</v>
      </c>
      <c r="E284" s="9"/>
      <c r="G284" s="2"/>
      <c r="H284" s="203">
        <f t="shared" si="65"/>
        <v>21</v>
      </c>
      <c r="I284" s="210">
        <f t="shared" si="63"/>
        <v>33</v>
      </c>
      <c r="J284" s="43"/>
    </row>
    <row r="285" spans="1:10" x14ac:dyDescent="0.25">
      <c r="A285" s="2">
        <f t="shared" si="64"/>
        <v>22</v>
      </c>
      <c r="B285" s="40" t="s">
        <v>223</v>
      </c>
      <c r="E285" s="9"/>
      <c r="G285" s="2"/>
      <c r="H285" s="203">
        <f t="shared" si="65"/>
        <v>22</v>
      </c>
      <c r="I285" s="210">
        <f t="shared" si="63"/>
        <v>34</v>
      </c>
      <c r="J285" s="43"/>
    </row>
    <row r="286" spans="1:10" ht="31.5" x14ac:dyDescent="0.25">
      <c r="A286" s="2">
        <f t="shared" si="64"/>
        <v>23</v>
      </c>
      <c r="B286" s="38" t="s">
        <v>224</v>
      </c>
      <c r="E286" s="5">
        <f>'Summary of HV-LV Splits'!I20+'Summary of HV-LV Splits'!I22</f>
        <v>0</v>
      </c>
      <c r="G286" s="175" t="s">
        <v>702</v>
      </c>
      <c r="H286" s="203">
        <f t="shared" si="65"/>
        <v>23</v>
      </c>
      <c r="I286" s="210">
        <f t="shared" si="63"/>
        <v>35</v>
      </c>
    </row>
    <row r="287" spans="1:10" x14ac:dyDescent="0.25">
      <c r="A287" s="2">
        <f t="shared" si="64"/>
        <v>24</v>
      </c>
      <c r="E287" s="9"/>
      <c r="G287" s="2"/>
      <c r="H287" s="203">
        <f t="shared" si="65"/>
        <v>24</v>
      </c>
      <c r="I287" s="210">
        <f t="shared" si="63"/>
        <v>36</v>
      </c>
      <c r="J287" s="43"/>
    </row>
    <row r="288" spans="1:10" ht="18.75" x14ac:dyDescent="0.25">
      <c r="A288" s="2">
        <f t="shared" si="64"/>
        <v>25</v>
      </c>
      <c r="B288" s="38" t="s">
        <v>1105</v>
      </c>
      <c r="E288" s="20">
        <f>'Stmt AV'!G156</f>
        <v>0</v>
      </c>
      <c r="F288" s="165"/>
      <c r="G288" s="2" t="s">
        <v>1010</v>
      </c>
      <c r="H288" s="203">
        <f t="shared" si="65"/>
        <v>25</v>
      </c>
      <c r="I288" s="210">
        <f t="shared" si="63"/>
        <v>37</v>
      </c>
      <c r="J288" s="43"/>
    </row>
    <row r="289" spans="1:10" x14ac:dyDescent="0.25">
      <c r="A289" s="2">
        <f t="shared" si="64"/>
        <v>26</v>
      </c>
      <c r="E289" s="9"/>
      <c r="G289" s="2"/>
      <c r="H289" s="203">
        <f t="shared" si="65"/>
        <v>26</v>
      </c>
      <c r="I289" s="210">
        <f t="shared" si="63"/>
        <v>38</v>
      </c>
      <c r="J289" s="43"/>
    </row>
    <row r="290" spans="1:10" ht="16.5" thickBot="1" x14ac:dyDescent="0.3">
      <c r="A290" s="2">
        <f t="shared" si="64"/>
        <v>27</v>
      </c>
      <c r="B290" s="38" t="s">
        <v>1101</v>
      </c>
      <c r="E290" s="28">
        <f>E286*E288</f>
        <v>0</v>
      </c>
      <c r="G290" s="2" t="s">
        <v>1044</v>
      </c>
      <c r="H290" s="203">
        <f t="shared" si="65"/>
        <v>27</v>
      </c>
      <c r="I290" s="210">
        <f t="shared" si="63"/>
        <v>39</v>
      </c>
      <c r="J290" s="43"/>
    </row>
    <row r="291" spans="1:10" ht="16.5" thickTop="1" x14ac:dyDescent="0.25">
      <c r="A291" s="203">
        <f t="shared" si="64"/>
        <v>28</v>
      </c>
      <c r="E291" s="9"/>
      <c r="G291" s="2"/>
      <c r="H291" s="203">
        <f t="shared" si="65"/>
        <v>28</v>
      </c>
      <c r="I291" s="210">
        <f t="shared" si="63"/>
        <v>40</v>
      </c>
      <c r="J291" s="43"/>
    </row>
    <row r="292" spans="1:10" ht="31.5" x14ac:dyDescent="0.25">
      <c r="A292" s="203">
        <f t="shared" si="64"/>
        <v>29</v>
      </c>
      <c r="B292" s="38" t="s">
        <v>224</v>
      </c>
      <c r="C292" s="218"/>
      <c r="D292" s="218"/>
      <c r="E292" s="5">
        <f>'Summary of HV-LV Splits'!I20+'Summary of HV-LV Splits'!I22</f>
        <v>0</v>
      </c>
      <c r="G292" s="175" t="s">
        <v>702</v>
      </c>
      <c r="H292" s="203">
        <f t="shared" si="65"/>
        <v>29</v>
      </c>
      <c r="I292" s="210">
        <f t="shared" si="63"/>
        <v>41</v>
      </c>
      <c r="J292" s="43"/>
    </row>
    <row r="293" spans="1:10" x14ac:dyDescent="0.25">
      <c r="A293" s="203">
        <f t="shared" si="64"/>
        <v>30</v>
      </c>
      <c r="C293" s="218"/>
      <c r="D293" s="218"/>
      <c r="E293" s="9"/>
      <c r="G293" s="2"/>
      <c r="H293" s="203">
        <f t="shared" si="65"/>
        <v>30</v>
      </c>
      <c r="I293" s="210">
        <f t="shared" si="63"/>
        <v>42</v>
      </c>
      <c r="J293" s="43"/>
    </row>
    <row r="294" spans="1:10" ht="18.75" x14ac:dyDescent="0.25">
      <c r="A294" s="203">
        <f t="shared" si="64"/>
        <v>31</v>
      </c>
      <c r="B294" s="38" t="s">
        <v>1048</v>
      </c>
      <c r="C294" s="218"/>
      <c r="D294" s="218"/>
      <c r="E294" s="20">
        <f>'Stmt AV'!G196</f>
        <v>0</v>
      </c>
      <c r="G294" s="2" t="s">
        <v>1050</v>
      </c>
      <c r="H294" s="203">
        <f t="shared" si="65"/>
        <v>31</v>
      </c>
      <c r="I294" s="210">
        <f t="shared" si="63"/>
        <v>43</v>
      </c>
      <c r="J294" s="43"/>
    </row>
    <row r="295" spans="1:10" x14ac:dyDescent="0.25">
      <c r="A295" s="203">
        <f t="shared" si="64"/>
        <v>32</v>
      </c>
      <c r="C295" s="218"/>
      <c r="D295" s="218"/>
      <c r="E295" s="9"/>
      <c r="G295" s="2"/>
      <c r="H295" s="203">
        <f t="shared" si="65"/>
        <v>32</v>
      </c>
      <c r="I295" s="210">
        <f t="shared" si="63"/>
        <v>44</v>
      </c>
      <c r="J295" s="43"/>
    </row>
    <row r="296" spans="1:10" ht="16.5" thickBot="1" x14ac:dyDescent="0.3">
      <c r="A296" s="203">
        <f t="shared" si="64"/>
        <v>33</v>
      </c>
      <c r="B296" s="38" t="s">
        <v>772</v>
      </c>
      <c r="C296" s="218"/>
      <c r="D296" s="218"/>
      <c r="E296" s="28">
        <f>E292*E294</f>
        <v>0</v>
      </c>
      <c r="G296" s="2" t="s">
        <v>1102</v>
      </c>
      <c r="H296" s="203">
        <f t="shared" si="65"/>
        <v>33</v>
      </c>
      <c r="I296" s="210">
        <f t="shared" si="63"/>
        <v>45</v>
      </c>
      <c r="J296" s="43"/>
    </row>
    <row r="297" spans="1:10" ht="16.5" thickTop="1" x14ac:dyDescent="0.25">
      <c r="A297" s="203">
        <f t="shared" si="64"/>
        <v>34</v>
      </c>
      <c r="E297" s="9"/>
      <c r="G297" s="2"/>
      <c r="H297" s="203">
        <f t="shared" si="65"/>
        <v>34</v>
      </c>
      <c r="I297" s="210">
        <f t="shared" si="63"/>
        <v>46</v>
      </c>
      <c r="J297" s="43"/>
    </row>
    <row r="298" spans="1:10" ht="16.5" thickBot="1" x14ac:dyDescent="0.3">
      <c r="A298" s="203">
        <f t="shared" si="64"/>
        <v>35</v>
      </c>
      <c r="B298" s="38" t="s">
        <v>773</v>
      </c>
      <c r="C298" s="218"/>
      <c r="D298" s="218"/>
      <c r="E298" s="28">
        <f>E290+E296</f>
        <v>0</v>
      </c>
      <c r="G298" s="2" t="s">
        <v>1103</v>
      </c>
      <c r="H298" s="203">
        <f t="shared" si="65"/>
        <v>35</v>
      </c>
      <c r="I298" s="210">
        <f t="shared" si="63"/>
        <v>47</v>
      </c>
      <c r="J298" s="43"/>
    </row>
    <row r="299" spans="1:10" ht="16.5" thickTop="1" x14ac:dyDescent="0.25">
      <c r="A299" s="2"/>
      <c r="E299" s="9"/>
      <c r="G299" s="2"/>
      <c r="J299" s="43"/>
    </row>
    <row r="300" spans="1:10" x14ac:dyDescent="0.25">
      <c r="A300" s="2"/>
      <c r="E300" s="9"/>
      <c r="G300" s="2"/>
      <c r="J300" s="43"/>
    </row>
    <row r="301" spans="1:10" ht="18.75" x14ac:dyDescent="0.25">
      <c r="A301" s="516">
        <v>1</v>
      </c>
      <c r="B301" s="179" t="s">
        <v>1104</v>
      </c>
      <c r="E301" s="9"/>
      <c r="G301" s="2"/>
      <c r="J301" s="43"/>
    </row>
    <row r="302" spans="1:10" ht="18.75" x14ac:dyDescent="0.25">
      <c r="A302" s="527" t="s">
        <v>1133</v>
      </c>
      <c r="B302" s="38" t="s">
        <v>226</v>
      </c>
      <c r="E302" s="9"/>
      <c r="G302" s="2"/>
      <c r="J302" s="43"/>
    </row>
    <row r="303" spans="1:10" x14ac:dyDescent="0.25">
      <c r="A303" s="2"/>
      <c r="E303" s="9"/>
      <c r="G303" s="2"/>
      <c r="J303" s="43"/>
    </row>
    <row r="304" spans="1:10" x14ac:dyDescent="0.25">
      <c r="A304" s="2"/>
      <c r="E304" s="9"/>
      <c r="G304" s="2"/>
      <c r="J304" s="43"/>
    </row>
    <row r="305" spans="1:10" x14ac:dyDescent="0.25">
      <c r="A305" s="2"/>
      <c r="B305" s="584" t="s">
        <v>16</v>
      </c>
      <c r="C305" s="581"/>
      <c r="D305" s="581"/>
      <c r="E305" s="581"/>
      <c r="F305" s="581"/>
      <c r="G305" s="581"/>
      <c r="J305" s="43"/>
    </row>
    <row r="306" spans="1:10" x14ac:dyDescent="0.25">
      <c r="A306" s="2"/>
      <c r="B306" s="584" t="s">
        <v>179</v>
      </c>
      <c r="C306" s="581"/>
      <c r="D306" s="581"/>
      <c r="E306" s="581"/>
      <c r="F306" s="581"/>
      <c r="G306" s="581"/>
      <c r="J306" s="43"/>
    </row>
    <row r="307" spans="1:10" ht="17.25" x14ac:dyDescent="0.25">
      <c r="A307" s="2"/>
      <c r="B307" s="584" t="s">
        <v>227</v>
      </c>
      <c r="C307" s="585"/>
      <c r="D307" s="585"/>
      <c r="E307" s="585"/>
      <c r="F307" s="585"/>
      <c r="G307" s="585"/>
      <c r="J307" s="43"/>
    </row>
    <row r="308" spans="1:10" x14ac:dyDescent="0.25">
      <c r="A308" s="2"/>
      <c r="B308" s="582" t="s">
        <v>1027</v>
      </c>
      <c r="C308" s="588"/>
      <c r="D308" s="588"/>
      <c r="E308" s="588"/>
      <c r="F308" s="588"/>
      <c r="G308" s="588"/>
    </row>
    <row r="309" spans="1:10" x14ac:dyDescent="0.25">
      <c r="A309" s="2"/>
      <c r="B309" s="580" t="s">
        <v>1</v>
      </c>
      <c r="C309" s="581"/>
      <c r="D309" s="581"/>
      <c r="E309" s="581"/>
      <c r="F309" s="581"/>
      <c r="G309" s="581"/>
    </row>
    <row r="310" spans="1:10" x14ac:dyDescent="0.25">
      <c r="A310" s="2"/>
      <c r="B310" s="41"/>
      <c r="J310" s="43"/>
    </row>
    <row r="311" spans="1:10" x14ac:dyDescent="0.25">
      <c r="A311" s="2" t="s">
        <v>2</v>
      </c>
      <c r="E311" s="29"/>
      <c r="G311" s="2"/>
      <c r="H311" s="2" t="s">
        <v>2</v>
      </c>
      <c r="J311" s="43"/>
    </row>
    <row r="312" spans="1:10" x14ac:dyDescent="0.25">
      <c r="A312" s="2" t="s">
        <v>18</v>
      </c>
      <c r="B312" s="1" t="s">
        <v>8</v>
      </c>
      <c r="E312" s="183" t="s">
        <v>37</v>
      </c>
      <c r="G312" s="42" t="s">
        <v>7</v>
      </c>
      <c r="H312" s="2" t="s">
        <v>18</v>
      </c>
      <c r="J312" s="43"/>
    </row>
    <row r="313" spans="1:10" x14ac:dyDescent="0.25">
      <c r="A313" s="2"/>
      <c r="E313" s="187"/>
      <c r="G313" s="165"/>
      <c r="J313" s="43"/>
    </row>
    <row r="314" spans="1:10" ht="17.25" x14ac:dyDescent="0.25">
      <c r="A314" s="2"/>
      <c r="B314" s="40" t="s">
        <v>228</v>
      </c>
      <c r="G314" s="2"/>
      <c r="J314" s="43"/>
    </row>
    <row r="315" spans="1:10" x14ac:dyDescent="0.25">
      <c r="A315" s="2">
        <v>1</v>
      </c>
      <c r="B315" s="40"/>
      <c r="G315" s="2"/>
      <c r="H315" s="2">
        <f>A315</f>
        <v>1</v>
      </c>
      <c r="J315" s="43"/>
    </row>
    <row r="316" spans="1:10" ht="18.75" x14ac:dyDescent="0.25">
      <c r="A316" s="2">
        <f t="shared" ref="A316:A339" si="66">A315+1</f>
        <v>2</v>
      </c>
      <c r="B316" s="38" t="s">
        <v>190</v>
      </c>
      <c r="C316" s="38" t="s">
        <v>8</v>
      </c>
      <c r="E316" s="5">
        <f>E40</f>
        <v>0</v>
      </c>
      <c r="F316" s="165"/>
      <c r="G316" s="2" t="s">
        <v>1097</v>
      </c>
      <c r="H316" s="2">
        <f t="shared" ref="H316:H339" si="67">H315+1</f>
        <v>2</v>
      </c>
      <c r="J316" s="43"/>
    </row>
    <row r="317" spans="1:10" x14ac:dyDescent="0.25">
      <c r="A317" s="2">
        <f t="shared" si="66"/>
        <v>3</v>
      </c>
      <c r="E317" s="34"/>
      <c r="G317" s="2"/>
      <c r="H317" s="2">
        <f t="shared" si="67"/>
        <v>3</v>
      </c>
    </row>
    <row r="318" spans="1:10" ht="18.75" x14ac:dyDescent="0.25">
      <c r="A318" s="2">
        <f t="shared" si="66"/>
        <v>4</v>
      </c>
      <c r="B318" s="38" t="s">
        <v>229</v>
      </c>
      <c r="E318" s="7">
        <f>E91</f>
        <v>0</v>
      </c>
      <c r="G318" s="2" t="s">
        <v>1107</v>
      </c>
      <c r="H318" s="2">
        <f t="shared" si="67"/>
        <v>4</v>
      </c>
    </row>
    <row r="319" spans="1:10" x14ac:dyDescent="0.25">
      <c r="A319" s="2">
        <f t="shared" si="66"/>
        <v>5</v>
      </c>
      <c r="E319" s="6"/>
      <c r="G319" s="2"/>
      <c r="H319" s="2">
        <f t="shared" si="67"/>
        <v>5</v>
      </c>
    </row>
    <row r="320" spans="1:10" x14ac:dyDescent="0.25">
      <c r="A320" s="2">
        <f t="shared" si="66"/>
        <v>6</v>
      </c>
      <c r="B320" s="38" t="s">
        <v>230</v>
      </c>
      <c r="C320" s="326"/>
      <c r="E320" s="7">
        <f>'True-Up'!M34</f>
        <v>0</v>
      </c>
      <c r="F320" s="165"/>
      <c r="G320" s="2" t="s">
        <v>703</v>
      </c>
      <c r="H320" s="2">
        <f t="shared" si="67"/>
        <v>6</v>
      </c>
    </row>
    <row r="321" spans="1:11" x14ac:dyDescent="0.25">
      <c r="A321" s="2">
        <f t="shared" si="66"/>
        <v>7</v>
      </c>
      <c r="E321" s="4"/>
      <c r="G321" s="2"/>
      <c r="H321" s="2">
        <f t="shared" si="67"/>
        <v>7</v>
      </c>
    </row>
    <row r="322" spans="1:11" x14ac:dyDescent="0.25">
      <c r="A322" s="2">
        <f t="shared" si="66"/>
        <v>8</v>
      </c>
      <c r="B322" s="38" t="s">
        <v>231</v>
      </c>
      <c r="E322" s="7">
        <f>'Interest TU CY'!D31</f>
        <v>0</v>
      </c>
      <c r="G322" s="2" t="s">
        <v>704</v>
      </c>
      <c r="H322" s="2">
        <f t="shared" si="67"/>
        <v>8</v>
      </c>
    </row>
    <row r="323" spans="1:11" x14ac:dyDescent="0.25">
      <c r="A323" s="2">
        <f t="shared" si="66"/>
        <v>9</v>
      </c>
      <c r="E323" s="4"/>
      <c r="G323" s="2"/>
      <c r="H323" s="2">
        <f t="shared" si="67"/>
        <v>9</v>
      </c>
    </row>
    <row r="324" spans="1:11" x14ac:dyDescent="0.25">
      <c r="A324" s="2">
        <f>A323+1</f>
        <v>10</v>
      </c>
      <c r="B324" s="38" t="s">
        <v>217</v>
      </c>
      <c r="E324" s="7">
        <f>E237</f>
        <v>0</v>
      </c>
      <c r="F324" s="165"/>
      <c r="G324" s="2" t="s">
        <v>1045</v>
      </c>
      <c r="H324" s="2">
        <f t="shared" si="67"/>
        <v>10</v>
      </c>
    </row>
    <row r="325" spans="1:11" x14ac:dyDescent="0.25">
      <c r="A325" s="2">
        <f t="shared" si="66"/>
        <v>11</v>
      </c>
      <c r="E325" s="4"/>
      <c r="G325" s="2"/>
      <c r="H325" s="2">
        <f t="shared" si="67"/>
        <v>11</v>
      </c>
    </row>
    <row r="326" spans="1:11" ht="18.75" x14ac:dyDescent="0.25">
      <c r="A326" s="2">
        <f t="shared" si="66"/>
        <v>12</v>
      </c>
      <c r="B326" s="38" t="s">
        <v>232</v>
      </c>
      <c r="E326" s="7">
        <f>E283</f>
        <v>0</v>
      </c>
      <c r="G326" s="2" t="s">
        <v>1046</v>
      </c>
      <c r="H326" s="2">
        <f t="shared" si="67"/>
        <v>12</v>
      </c>
    </row>
    <row r="327" spans="1:11" x14ac:dyDescent="0.25">
      <c r="A327" s="2">
        <f t="shared" si="66"/>
        <v>13</v>
      </c>
      <c r="E327" s="4"/>
      <c r="G327" s="2"/>
      <c r="H327" s="2">
        <f t="shared" si="67"/>
        <v>13</v>
      </c>
    </row>
    <row r="328" spans="1:11" x14ac:dyDescent="0.25">
      <c r="A328" s="2">
        <f t="shared" si="66"/>
        <v>14</v>
      </c>
      <c r="B328" s="38" t="s">
        <v>225</v>
      </c>
      <c r="E328" s="35">
        <f>E298</f>
        <v>0</v>
      </c>
      <c r="G328" s="2" t="s">
        <v>1108</v>
      </c>
      <c r="H328" s="2">
        <f t="shared" si="67"/>
        <v>14</v>
      </c>
    </row>
    <row r="329" spans="1:11" x14ac:dyDescent="0.25">
      <c r="A329" s="2">
        <f t="shared" si="66"/>
        <v>15</v>
      </c>
      <c r="E329" s="4"/>
      <c r="G329" s="2"/>
      <c r="H329" s="2">
        <f t="shared" si="67"/>
        <v>15</v>
      </c>
    </row>
    <row r="330" spans="1:11" ht="17.25" x14ac:dyDescent="0.25">
      <c r="A330" s="2">
        <f t="shared" si="66"/>
        <v>16</v>
      </c>
      <c r="B330" s="40" t="s">
        <v>294</v>
      </c>
      <c r="C330" s="43"/>
      <c r="E330" s="9">
        <f>E316+E318+E320+E322+E324+E326+E328</f>
        <v>0</v>
      </c>
      <c r="F330" s="165"/>
      <c r="G330" s="2" t="s">
        <v>760</v>
      </c>
      <c r="H330" s="2">
        <f t="shared" si="67"/>
        <v>16</v>
      </c>
    </row>
    <row r="331" spans="1:11" x14ac:dyDescent="0.25">
      <c r="A331" s="2">
        <f t="shared" si="66"/>
        <v>17</v>
      </c>
      <c r="E331" s="4"/>
      <c r="G331" s="2"/>
      <c r="H331" s="2">
        <f t="shared" si="67"/>
        <v>17</v>
      </c>
    </row>
    <row r="332" spans="1:11" ht="18.75" x14ac:dyDescent="0.25">
      <c r="A332" s="2">
        <f t="shared" si="66"/>
        <v>18</v>
      </c>
      <c r="B332" s="39" t="s">
        <v>233</v>
      </c>
      <c r="C332" s="37">
        <v>0</v>
      </c>
      <c r="D332" s="527">
        <v>1</v>
      </c>
      <c r="E332" s="9">
        <f>$E$330*C332</f>
        <v>0</v>
      </c>
      <c r="F332" s="165"/>
      <c r="G332" s="2" t="s">
        <v>761</v>
      </c>
      <c r="H332" s="2">
        <f t="shared" si="67"/>
        <v>18</v>
      </c>
      <c r="K332" s="32"/>
    </row>
    <row r="333" spans="1:11" ht="18.75" x14ac:dyDescent="0.25">
      <c r="A333" s="2">
        <f t="shared" si="66"/>
        <v>19</v>
      </c>
      <c r="B333" s="39" t="s">
        <v>234</v>
      </c>
      <c r="C333" s="37">
        <v>0</v>
      </c>
      <c r="D333" s="527">
        <v>1</v>
      </c>
      <c r="E333" s="31">
        <f>$E$330*C333</f>
        <v>0</v>
      </c>
      <c r="F333" s="165"/>
      <c r="G333" s="2" t="s">
        <v>762</v>
      </c>
      <c r="H333" s="2">
        <f t="shared" si="67"/>
        <v>19</v>
      </c>
      <c r="K333" s="32"/>
    </row>
    <row r="334" spans="1:11" x14ac:dyDescent="0.25">
      <c r="A334" s="2">
        <f t="shared" si="66"/>
        <v>20</v>
      </c>
      <c r="E334" s="6"/>
      <c r="G334" s="2"/>
      <c r="H334" s="2">
        <f t="shared" si="67"/>
        <v>20</v>
      </c>
    </row>
    <row r="335" spans="1:11" ht="17.25" x14ac:dyDescent="0.25">
      <c r="A335" s="2">
        <f t="shared" si="66"/>
        <v>21</v>
      </c>
      <c r="B335" s="40" t="s">
        <v>338</v>
      </c>
      <c r="C335" s="43"/>
      <c r="E335" s="9">
        <f>SUM(E330:E333)</f>
        <v>0</v>
      </c>
      <c r="F335" s="165"/>
      <c r="G335" s="2" t="s">
        <v>612</v>
      </c>
      <c r="H335" s="2">
        <f t="shared" si="67"/>
        <v>21</v>
      </c>
    </row>
    <row r="336" spans="1:11" x14ac:dyDescent="0.25">
      <c r="A336" s="2">
        <f t="shared" si="66"/>
        <v>22</v>
      </c>
      <c r="B336" s="1"/>
      <c r="E336" s="36"/>
      <c r="G336" s="2"/>
      <c r="H336" s="2">
        <f t="shared" si="67"/>
        <v>22</v>
      </c>
    </row>
    <row r="337" spans="1:8" ht="17.25" x14ac:dyDescent="0.25">
      <c r="A337" s="2">
        <f t="shared" si="66"/>
        <v>23</v>
      </c>
      <c r="B337" s="40" t="s">
        <v>340</v>
      </c>
      <c r="E337" s="312">
        <v>0</v>
      </c>
      <c r="G337" s="175" t="s">
        <v>342</v>
      </c>
      <c r="H337" s="2">
        <f t="shared" si="67"/>
        <v>23</v>
      </c>
    </row>
    <row r="338" spans="1:8" x14ac:dyDescent="0.25">
      <c r="A338" s="2">
        <f t="shared" si="66"/>
        <v>24</v>
      </c>
      <c r="B338" s="38" t="s">
        <v>8</v>
      </c>
      <c r="H338" s="2">
        <f t="shared" si="67"/>
        <v>24</v>
      </c>
    </row>
    <row r="339" spans="1:8" ht="18" thickBot="1" x14ac:dyDescent="0.3">
      <c r="A339" s="2">
        <f t="shared" si="66"/>
        <v>25</v>
      </c>
      <c r="B339" s="40" t="s">
        <v>339</v>
      </c>
      <c r="E339" s="28">
        <f>E335+E337</f>
        <v>0</v>
      </c>
      <c r="G339" s="2" t="s">
        <v>763</v>
      </c>
      <c r="H339" s="2">
        <f t="shared" si="67"/>
        <v>25</v>
      </c>
    </row>
    <row r="340" spans="1:8" ht="16.5" thickTop="1" x14ac:dyDescent="0.25"/>
    <row r="341" spans="1:8" x14ac:dyDescent="0.25">
      <c r="E341" s="43"/>
    </row>
    <row r="342" spans="1:8" ht="18.75" x14ac:dyDescent="0.25">
      <c r="A342" s="527">
        <v>1</v>
      </c>
      <c r="B342" s="179" t="s">
        <v>1134</v>
      </c>
    </row>
    <row r="343" spans="1:8" x14ac:dyDescent="0.25">
      <c r="E343" s="325"/>
    </row>
    <row r="345" spans="1:8" x14ac:dyDescent="0.25">
      <c r="E345" s="43"/>
    </row>
  </sheetData>
  <mergeCells count="35">
    <mergeCell ref="B102:G102"/>
    <mergeCell ref="B2:G2"/>
    <mergeCell ref="B3:G3"/>
    <mergeCell ref="B4:G4"/>
    <mergeCell ref="B5:G5"/>
    <mergeCell ref="B6:G6"/>
    <mergeCell ref="B46:G46"/>
    <mergeCell ref="B47:G47"/>
    <mergeCell ref="B48:G48"/>
    <mergeCell ref="B49:G49"/>
    <mergeCell ref="B50:G50"/>
    <mergeCell ref="B197:G197"/>
    <mergeCell ref="B103:G103"/>
    <mergeCell ref="B104:G104"/>
    <mergeCell ref="B105:G105"/>
    <mergeCell ref="B106:G106"/>
    <mergeCell ref="B156:G156"/>
    <mergeCell ref="B157:G157"/>
    <mergeCell ref="B158:G158"/>
    <mergeCell ref="B159:G159"/>
    <mergeCell ref="B160:G160"/>
    <mergeCell ref="B195:G195"/>
    <mergeCell ref="B196:G196"/>
    <mergeCell ref="B309:G309"/>
    <mergeCell ref="B198:G198"/>
    <mergeCell ref="B199:G199"/>
    <mergeCell ref="B240:G240"/>
    <mergeCell ref="B241:G241"/>
    <mergeCell ref="B242:G242"/>
    <mergeCell ref="B243:G243"/>
    <mergeCell ref="B244:G244"/>
    <mergeCell ref="B305:G305"/>
    <mergeCell ref="B306:G306"/>
    <mergeCell ref="B307:G307"/>
    <mergeCell ref="B308:G308"/>
  </mergeCells>
  <printOptions horizontalCentered="1"/>
  <pageMargins left="0.25" right="0.25" top="0.5" bottom="0.5" header="0.25" footer="0.25"/>
  <pageSetup scale="55" fitToHeight="0" orientation="portrait" r:id="rId1"/>
  <headerFooter scaleWithDoc="0">
    <oddFooter>&amp;C&amp;"Times New Roman,Regular"&amp;10BK-1
Page &amp;P of &amp;N</oddFooter>
  </headerFooter>
  <rowBreaks count="6" manualBreakCount="6">
    <brk id="44" max="7" man="1"/>
    <brk id="100" max="8" man="1"/>
    <brk id="154" max="8" man="1"/>
    <brk id="193" max="8" man="1"/>
    <brk id="238" max="8" man="1"/>
    <brk id="303"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29"/>
  <sheetViews>
    <sheetView zoomScale="80" zoomScaleNormal="80" workbookViewId="0"/>
  </sheetViews>
  <sheetFormatPr defaultColWidth="8.7109375" defaultRowHeight="15.75" x14ac:dyDescent="0.25"/>
  <cols>
    <col min="1" max="1" width="5.28515625" style="2" customWidth="1"/>
    <col min="2" max="2" width="64.7109375" style="3" customWidth="1"/>
    <col min="3" max="3" width="21.28515625" style="38" customWidth="1"/>
    <col min="4" max="4" width="1.5703125" style="3" customWidth="1"/>
    <col min="5" max="5" width="16.7109375" style="3" customWidth="1"/>
    <col min="6" max="6" width="1.5703125" style="3" customWidth="1"/>
    <col min="7" max="7" width="34.5703125" style="3" customWidth="1"/>
    <col min="8" max="8" width="5.28515625" style="3" customWidth="1"/>
    <col min="9" max="9" width="8.7109375" style="3"/>
    <col min="10" max="10" width="20.42578125" style="3" bestFit="1" customWidth="1"/>
    <col min="11" max="16384" width="8.7109375" style="3"/>
  </cols>
  <sheetData>
    <row r="1" spans="1:11" x14ac:dyDescent="0.25">
      <c r="A1" s="219"/>
      <c r="B1" s="38"/>
      <c r="D1" s="38"/>
      <c r="E1" s="214"/>
      <c r="F1" s="215"/>
      <c r="G1" s="2"/>
      <c r="H1" s="2"/>
    </row>
    <row r="2" spans="1:11" x14ac:dyDescent="0.25">
      <c r="B2" s="584" t="s">
        <v>16</v>
      </c>
      <c r="C2" s="584"/>
      <c r="D2" s="584"/>
      <c r="E2" s="584"/>
      <c r="F2" s="584"/>
      <c r="G2" s="584"/>
      <c r="H2" s="2"/>
    </row>
    <row r="3" spans="1:11" x14ac:dyDescent="0.25">
      <c r="B3" s="584" t="s">
        <v>781</v>
      </c>
      <c r="C3" s="584"/>
      <c r="D3" s="584"/>
      <c r="E3" s="584"/>
      <c r="F3" s="584"/>
      <c r="G3" s="584"/>
      <c r="H3" s="2"/>
    </row>
    <row r="4" spans="1:11" x14ac:dyDescent="0.25">
      <c r="B4" s="584" t="s">
        <v>148</v>
      </c>
      <c r="C4" s="584"/>
      <c r="D4" s="584"/>
      <c r="E4" s="584"/>
      <c r="F4" s="584"/>
      <c r="G4" s="584"/>
      <c r="H4" s="2"/>
    </row>
    <row r="5" spans="1:11" x14ac:dyDescent="0.25">
      <c r="B5" s="586" t="str">
        <f>'Stmt AD'!B5</f>
        <v>Base Period &amp; True-Up Period 12 - Months Ending  December 31, xxxx</v>
      </c>
      <c r="C5" s="586"/>
      <c r="D5" s="586"/>
      <c r="E5" s="586"/>
      <c r="F5" s="586"/>
      <c r="G5" s="586"/>
      <c r="H5" s="2"/>
    </row>
    <row r="6" spans="1:11" x14ac:dyDescent="0.25">
      <c r="B6" s="580" t="s">
        <v>1</v>
      </c>
      <c r="C6" s="581"/>
      <c r="D6" s="581"/>
      <c r="E6" s="581"/>
      <c r="F6" s="581"/>
      <c r="G6" s="581"/>
      <c r="H6" s="2"/>
    </row>
    <row r="7" spans="1:11" x14ac:dyDescent="0.25">
      <c r="B7" s="2"/>
      <c r="C7" s="2"/>
      <c r="D7" s="2"/>
      <c r="E7" s="2"/>
      <c r="F7" s="165"/>
      <c r="G7" s="2"/>
      <c r="H7" s="2"/>
    </row>
    <row r="8" spans="1:11" x14ac:dyDescent="0.25">
      <c r="A8" s="2" t="s">
        <v>2</v>
      </c>
      <c r="B8" s="165"/>
      <c r="C8" s="2" t="s">
        <v>248</v>
      </c>
      <c r="D8" s="165"/>
      <c r="E8" s="165"/>
      <c r="F8" s="165"/>
      <c r="G8" s="2"/>
      <c r="H8" s="2" t="s">
        <v>2</v>
      </c>
    </row>
    <row r="9" spans="1:11" x14ac:dyDescent="0.25">
      <c r="A9" s="2" t="s">
        <v>18</v>
      </c>
      <c r="B9" s="38"/>
      <c r="C9" s="42" t="s">
        <v>246</v>
      </c>
      <c r="D9" s="38"/>
      <c r="E9" s="189" t="s">
        <v>37</v>
      </c>
      <c r="F9" s="2"/>
      <c r="G9" s="42" t="s">
        <v>7</v>
      </c>
      <c r="H9" s="2" t="s">
        <v>18</v>
      </c>
    </row>
    <row r="10" spans="1:11" x14ac:dyDescent="0.25">
      <c r="B10" s="38"/>
      <c r="D10" s="38"/>
      <c r="E10" s="38"/>
      <c r="F10" s="2"/>
      <c r="G10" s="216"/>
      <c r="H10" s="2"/>
    </row>
    <row r="11" spans="1:11" x14ac:dyDescent="0.25">
      <c r="A11" s="2">
        <v>1</v>
      </c>
      <c r="B11" s="38" t="s">
        <v>65</v>
      </c>
      <c r="C11" s="57" t="s">
        <v>261</v>
      </c>
      <c r="D11" s="38"/>
      <c r="E11" s="50">
        <v>0</v>
      </c>
      <c r="F11" s="51"/>
      <c r="G11" s="217"/>
      <c r="H11" s="2">
        <f>A11</f>
        <v>1</v>
      </c>
      <c r="K11" s="57"/>
    </row>
    <row r="12" spans="1:11" x14ac:dyDescent="0.25">
      <c r="A12" s="2">
        <f>+A11+1</f>
        <v>2</v>
      </c>
      <c r="B12" s="38"/>
      <c r="C12" s="57"/>
      <c r="D12" s="38"/>
      <c r="E12" s="70"/>
      <c r="F12" s="51"/>
      <c r="G12" s="218"/>
      <c r="H12" s="2">
        <f>+H11+1</f>
        <v>2</v>
      </c>
      <c r="K12" s="57"/>
    </row>
    <row r="13" spans="1:11" x14ac:dyDescent="0.25">
      <c r="A13" s="2">
        <f t="shared" ref="A13:A25" si="0">+A12+1</f>
        <v>3</v>
      </c>
      <c r="B13" s="38" t="s">
        <v>66</v>
      </c>
      <c r="C13" s="57" t="s">
        <v>262</v>
      </c>
      <c r="D13" s="38"/>
      <c r="E13" s="52">
        <v>0</v>
      </c>
      <c r="F13" s="51"/>
      <c r="G13" s="217"/>
      <c r="H13" s="2">
        <f t="shared" ref="H13:H25" si="1">+H12+1</f>
        <v>3</v>
      </c>
      <c r="K13" s="57"/>
    </row>
    <row r="14" spans="1:11" x14ac:dyDescent="0.25">
      <c r="A14" s="2">
        <f t="shared" si="0"/>
        <v>4</v>
      </c>
      <c r="B14" s="38"/>
      <c r="C14" s="57"/>
      <c r="D14" s="38"/>
      <c r="E14" s="48"/>
      <c r="F14" s="51"/>
      <c r="G14" s="217"/>
      <c r="H14" s="2">
        <f t="shared" si="1"/>
        <v>4</v>
      </c>
      <c r="K14" s="57"/>
    </row>
    <row r="15" spans="1:11" x14ac:dyDescent="0.25">
      <c r="A15" s="2">
        <f t="shared" si="0"/>
        <v>5</v>
      </c>
      <c r="B15" s="38" t="s">
        <v>67</v>
      </c>
      <c r="C15" s="57" t="s">
        <v>263</v>
      </c>
      <c r="D15" s="38"/>
      <c r="E15" s="52">
        <v>0</v>
      </c>
      <c r="F15" s="51"/>
      <c r="G15" s="217"/>
      <c r="H15" s="2">
        <f t="shared" si="1"/>
        <v>5</v>
      </c>
      <c r="K15" s="57"/>
    </row>
    <row r="16" spans="1:11" x14ac:dyDescent="0.25">
      <c r="A16" s="2">
        <f t="shared" si="0"/>
        <v>6</v>
      </c>
      <c r="B16" s="38"/>
      <c r="C16" s="57"/>
      <c r="D16" s="38"/>
      <c r="E16" s="48"/>
      <c r="F16" s="51"/>
      <c r="G16" s="217"/>
      <c r="H16" s="2">
        <f t="shared" si="1"/>
        <v>6</v>
      </c>
      <c r="K16" s="57"/>
    </row>
    <row r="17" spans="1:11" x14ac:dyDescent="0.25">
      <c r="A17" s="2">
        <f t="shared" si="0"/>
        <v>7</v>
      </c>
      <c r="B17" s="38" t="s">
        <v>68</v>
      </c>
      <c r="C17" s="57" t="s">
        <v>264</v>
      </c>
      <c r="D17" s="38"/>
      <c r="E17" s="52">
        <v>0</v>
      </c>
      <c r="F17" s="51"/>
      <c r="G17" s="217"/>
      <c r="H17" s="2">
        <f t="shared" si="1"/>
        <v>7</v>
      </c>
      <c r="K17" s="57"/>
    </row>
    <row r="18" spans="1:11" x14ac:dyDescent="0.25">
      <c r="A18" s="2">
        <f t="shared" si="0"/>
        <v>8</v>
      </c>
      <c r="B18" s="38"/>
      <c r="C18" s="57"/>
      <c r="D18" s="38"/>
      <c r="E18" s="48"/>
      <c r="F18" s="51"/>
      <c r="G18" s="217"/>
      <c r="H18" s="2">
        <f t="shared" si="1"/>
        <v>8</v>
      </c>
      <c r="K18" s="57"/>
    </row>
    <row r="19" spans="1:11" x14ac:dyDescent="0.25">
      <c r="A19" s="2">
        <f t="shared" si="0"/>
        <v>9</v>
      </c>
      <c r="B19" s="38" t="s">
        <v>69</v>
      </c>
      <c r="C19" s="57" t="s">
        <v>265</v>
      </c>
      <c r="D19" s="38"/>
      <c r="E19" s="52">
        <v>0</v>
      </c>
      <c r="F19" s="51"/>
      <c r="G19" s="217"/>
      <c r="H19" s="2">
        <f t="shared" si="1"/>
        <v>9</v>
      </c>
      <c r="K19" s="57"/>
    </row>
    <row r="20" spans="1:11" x14ac:dyDescent="0.25">
      <c r="A20" s="2">
        <f t="shared" si="0"/>
        <v>10</v>
      </c>
      <c r="B20" s="38"/>
      <c r="C20" s="57"/>
      <c r="D20" s="38"/>
      <c r="E20" s="48"/>
      <c r="F20" s="51"/>
      <c r="G20" s="217"/>
      <c r="H20" s="2">
        <f t="shared" si="1"/>
        <v>10</v>
      </c>
      <c r="K20" s="57"/>
    </row>
    <row r="21" spans="1:11" x14ac:dyDescent="0.25">
      <c r="A21" s="2">
        <f t="shared" si="0"/>
        <v>11</v>
      </c>
      <c r="B21" s="38" t="s">
        <v>70</v>
      </c>
      <c r="C21" s="57" t="s">
        <v>266</v>
      </c>
      <c r="D21" s="38"/>
      <c r="E21" s="93">
        <v>0</v>
      </c>
      <c r="F21" s="51"/>
      <c r="G21" s="217"/>
      <c r="H21" s="2">
        <f t="shared" si="1"/>
        <v>11</v>
      </c>
      <c r="K21" s="57"/>
    </row>
    <row r="22" spans="1:11" x14ac:dyDescent="0.25">
      <c r="A22" s="2">
        <f t="shared" si="0"/>
        <v>12</v>
      </c>
      <c r="B22" s="38"/>
      <c r="D22" s="38"/>
      <c r="E22" s="70"/>
      <c r="F22" s="51"/>
      <c r="G22" s="57"/>
      <c r="H22" s="2">
        <f t="shared" si="1"/>
        <v>12</v>
      </c>
    </row>
    <row r="23" spans="1:11" ht="16.5" thickBot="1" x14ac:dyDescent="0.3">
      <c r="A23" s="2">
        <f t="shared" si="0"/>
        <v>13</v>
      </c>
      <c r="B23" s="38" t="s">
        <v>729</v>
      </c>
      <c r="D23" s="38"/>
      <c r="E23" s="113">
        <f>SUM(E11:E21)</f>
        <v>0</v>
      </c>
      <c r="F23" s="51"/>
      <c r="G23" s="55" t="s">
        <v>620</v>
      </c>
      <c r="H23" s="2">
        <f t="shared" si="1"/>
        <v>13</v>
      </c>
    </row>
    <row r="24" spans="1:11" ht="16.5" thickTop="1" x14ac:dyDescent="0.25">
      <c r="A24" s="2">
        <f t="shared" si="0"/>
        <v>14</v>
      </c>
      <c r="B24" s="38"/>
      <c r="D24" s="38"/>
      <c r="E24" s="60"/>
      <c r="F24" s="51"/>
      <c r="G24" s="55"/>
      <c r="H24" s="2">
        <f t="shared" si="1"/>
        <v>14</v>
      </c>
    </row>
    <row r="25" spans="1:11" ht="16.5" thickBot="1" x14ac:dyDescent="0.3">
      <c r="A25" s="2">
        <f t="shared" si="0"/>
        <v>15</v>
      </c>
      <c r="B25" s="38" t="s">
        <v>10</v>
      </c>
      <c r="D25" s="38"/>
      <c r="E25" s="533">
        <f>IFERROR(E13/E23,0)</f>
        <v>0</v>
      </c>
      <c r="F25" s="73"/>
      <c r="G25" s="2" t="s">
        <v>646</v>
      </c>
      <c r="H25" s="2">
        <f t="shared" si="1"/>
        <v>15</v>
      </c>
    </row>
    <row r="26" spans="1:11" ht="16.5" thickTop="1" x14ac:dyDescent="0.25">
      <c r="B26" s="38"/>
      <c r="D26" s="38"/>
      <c r="E26" s="72"/>
      <c r="F26" s="73"/>
      <c r="G26" s="2"/>
      <c r="H26" s="2"/>
    </row>
    <row r="27" spans="1:11" x14ac:dyDescent="0.25">
      <c r="B27" s="38"/>
      <c r="D27" s="38"/>
      <c r="E27" s="72"/>
      <c r="F27" s="73"/>
      <c r="G27" s="55"/>
      <c r="H27" s="2"/>
    </row>
    <row r="28" spans="1:11" x14ac:dyDescent="0.25">
      <c r="B28" s="38"/>
      <c r="D28" s="38"/>
      <c r="F28" s="73"/>
      <c r="G28" s="2"/>
      <c r="H28" s="2"/>
    </row>
    <row r="29" spans="1:11" x14ac:dyDescent="0.25">
      <c r="E29" s="324"/>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zoomScale="80" zoomScaleNormal="80" workbookViewId="0"/>
  </sheetViews>
  <sheetFormatPr defaultColWidth="8.7109375" defaultRowHeight="15.75" x14ac:dyDescent="0.25"/>
  <cols>
    <col min="1" max="1" width="5.28515625" style="2" customWidth="1"/>
    <col min="2" max="2" width="71.5703125" style="38" customWidth="1"/>
    <col min="3" max="3" width="21.28515625" style="210" customWidth="1"/>
    <col min="4" max="4" width="1.5703125" style="38" customWidth="1"/>
    <col min="5" max="5" width="16.7109375" style="38" customWidth="1"/>
    <col min="6" max="6" width="1.5703125" style="38" customWidth="1"/>
    <col min="7" max="7" width="34.5703125" style="38" customWidth="1"/>
    <col min="8" max="8" width="5.28515625" style="2" customWidth="1"/>
    <col min="9" max="9" width="20.42578125" style="38" bestFit="1" customWidth="1"/>
    <col min="10" max="16384" width="8.7109375" style="38"/>
  </cols>
  <sheetData>
    <row r="1" spans="1:8" x14ac:dyDescent="0.25">
      <c r="B1" s="39"/>
      <c r="E1" s="70"/>
      <c r="F1" s="51"/>
      <c r="G1" s="2"/>
    </row>
    <row r="2" spans="1:8" x14ac:dyDescent="0.25">
      <c r="B2" s="584" t="s">
        <v>16</v>
      </c>
      <c r="C2" s="584"/>
      <c r="D2" s="584"/>
      <c r="E2" s="584"/>
      <c r="F2" s="584"/>
      <c r="G2" s="584"/>
    </row>
    <row r="3" spans="1:8" x14ac:dyDescent="0.25">
      <c r="B3" s="584" t="s">
        <v>782</v>
      </c>
      <c r="C3" s="584"/>
      <c r="D3" s="584"/>
      <c r="E3" s="584"/>
      <c r="F3" s="584"/>
      <c r="G3" s="584"/>
    </row>
    <row r="4" spans="1:8" x14ac:dyDescent="0.25">
      <c r="B4" s="584" t="s">
        <v>137</v>
      </c>
      <c r="C4" s="584"/>
      <c r="D4" s="584"/>
      <c r="E4" s="584"/>
      <c r="F4" s="584"/>
      <c r="G4" s="584"/>
    </row>
    <row r="5" spans="1:8" x14ac:dyDescent="0.25">
      <c r="B5" s="586" t="str">
        <f>'Stmt AD'!B5</f>
        <v>Base Period &amp; True-Up Period 12 - Months Ending  December 31, xxxx</v>
      </c>
      <c r="C5" s="586"/>
      <c r="D5" s="586"/>
      <c r="E5" s="586"/>
      <c r="F5" s="586"/>
      <c r="G5" s="586"/>
    </row>
    <row r="6" spans="1:8" ht="15.75" customHeight="1" x14ac:dyDescent="0.25">
      <c r="B6" s="591">
        <v>-1000</v>
      </c>
      <c r="C6" s="591"/>
      <c r="D6" s="591"/>
      <c r="E6" s="591"/>
      <c r="F6" s="591"/>
      <c r="G6" s="591"/>
    </row>
    <row r="7" spans="1:8" x14ac:dyDescent="0.25">
      <c r="B7" s="2"/>
      <c r="D7" s="2"/>
      <c r="E7" s="2"/>
      <c r="F7" s="165"/>
      <c r="G7" s="2"/>
    </row>
    <row r="8" spans="1:8" x14ac:dyDescent="0.25">
      <c r="A8" s="2" t="s">
        <v>2</v>
      </c>
      <c r="B8" s="165"/>
      <c r="C8" s="2" t="s">
        <v>248</v>
      </c>
      <c r="D8" s="165"/>
      <c r="E8" s="41"/>
      <c r="F8" s="165"/>
      <c r="G8" s="2"/>
      <c r="H8" s="2" t="s">
        <v>2</v>
      </c>
    </row>
    <row r="9" spans="1:8" x14ac:dyDescent="0.25">
      <c r="A9" s="2" t="s">
        <v>18</v>
      </c>
      <c r="B9" s="165"/>
      <c r="C9" s="42" t="s">
        <v>246</v>
      </c>
      <c r="D9" s="165"/>
      <c r="E9" s="189" t="s">
        <v>37</v>
      </c>
      <c r="F9" s="165"/>
      <c r="G9" s="42" t="s">
        <v>7</v>
      </c>
      <c r="H9" s="2" t="s">
        <v>18</v>
      </c>
    </row>
    <row r="10" spans="1:8" x14ac:dyDescent="0.25">
      <c r="B10" s="165"/>
      <c r="C10" s="219"/>
      <c r="D10" s="165"/>
      <c r="E10" s="2"/>
      <c r="F10" s="165"/>
      <c r="G10" s="2"/>
    </row>
    <row r="11" spans="1:8" x14ac:dyDescent="0.25">
      <c r="A11" s="2">
        <v>1</v>
      </c>
      <c r="B11" s="39" t="s">
        <v>332</v>
      </c>
      <c r="D11" s="2"/>
      <c r="E11" s="97">
        <v>0</v>
      </c>
      <c r="F11" s="2"/>
      <c r="G11" s="57" t="s">
        <v>635</v>
      </c>
      <c r="H11" s="2">
        <f>A11</f>
        <v>1</v>
      </c>
    </row>
    <row r="12" spans="1:8" x14ac:dyDescent="0.25">
      <c r="A12" s="2">
        <f>A11+1</f>
        <v>2</v>
      </c>
      <c r="E12" s="98"/>
      <c r="F12" s="71"/>
      <c r="G12" s="57"/>
      <c r="H12" s="2">
        <f>H11+1</f>
        <v>2</v>
      </c>
    </row>
    <row r="13" spans="1:8" x14ac:dyDescent="0.25">
      <c r="A13" s="2">
        <f t="shared" ref="A13:A33" si="0">A12+1</f>
        <v>3</v>
      </c>
      <c r="B13" s="38" t="s">
        <v>138</v>
      </c>
      <c r="C13" s="2" t="s">
        <v>289</v>
      </c>
      <c r="E13" s="52">
        <v>0</v>
      </c>
      <c r="F13" s="71"/>
      <c r="G13" s="57" t="s">
        <v>636</v>
      </c>
      <c r="H13" s="2">
        <f t="shared" ref="H13:H28" si="1">H12+1</f>
        <v>3</v>
      </c>
    </row>
    <row r="14" spans="1:8" x14ac:dyDescent="0.25">
      <c r="A14" s="2">
        <f t="shared" si="0"/>
        <v>4</v>
      </c>
      <c r="C14" s="2"/>
      <c r="E14" s="98"/>
      <c r="F14" s="71"/>
      <c r="G14" s="57"/>
      <c r="H14" s="2">
        <f t="shared" si="1"/>
        <v>4</v>
      </c>
    </row>
    <row r="15" spans="1:8" x14ac:dyDescent="0.25">
      <c r="A15" s="2">
        <f t="shared" si="0"/>
        <v>5</v>
      </c>
      <c r="B15" s="38" t="s">
        <v>139</v>
      </c>
      <c r="C15" s="2" t="s">
        <v>290</v>
      </c>
      <c r="E15" s="99">
        <v>0</v>
      </c>
      <c r="F15" s="55"/>
      <c r="G15" s="57" t="s">
        <v>637</v>
      </c>
      <c r="H15" s="2">
        <f t="shared" si="1"/>
        <v>5</v>
      </c>
    </row>
    <row r="16" spans="1:8" x14ac:dyDescent="0.25">
      <c r="A16" s="2">
        <f t="shared" si="0"/>
        <v>6</v>
      </c>
      <c r="C16" s="2"/>
      <c r="E16" s="48"/>
      <c r="F16" s="73"/>
      <c r="G16" s="57"/>
      <c r="H16" s="2">
        <f t="shared" si="1"/>
        <v>6</v>
      </c>
    </row>
    <row r="17" spans="1:8" x14ac:dyDescent="0.25">
      <c r="A17" s="2">
        <f t="shared" si="0"/>
        <v>7</v>
      </c>
      <c r="B17" s="38" t="s">
        <v>140</v>
      </c>
      <c r="C17" s="2" t="s">
        <v>291</v>
      </c>
      <c r="E17" s="52">
        <v>0</v>
      </c>
      <c r="F17" s="51"/>
      <c r="G17" s="57" t="s">
        <v>638</v>
      </c>
      <c r="H17" s="2">
        <f t="shared" si="1"/>
        <v>7</v>
      </c>
    </row>
    <row r="18" spans="1:8" x14ac:dyDescent="0.25">
      <c r="A18" s="2">
        <f t="shared" si="0"/>
        <v>8</v>
      </c>
      <c r="E18" s="72"/>
      <c r="F18" s="73"/>
      <c r="G18" s="57"/>
      <c r="H18" s="2">
        <f t="shared" si="1"/>
        <v>8</v>
      </c>
    </row>
    <row r="19" spans="1:8" x14ac:dyDescent="0.25">
      <c r="A19" s="2">
        <f t="shared" si="0"/>
        <v>9</v>
      </c>
      <c r="B19" s="38" t="s">
        <v>10</v>
      </c>
      <c r="E19" s="100">
        <f>'Stmt AI'!E25</f>
        <v>0</v>
      </c>
      <c r="F19" s="73"/>
      <c r="G19" s="57" t="s">
        <v>634</v>
      </c>
      <c r="H19" s="2">
        <f t="shared" si="1"/>
        <v>9</v>
      </c>
    </row>
    <row r="20" spans="1:8" x14ac:dyDescent="0.25">
      <c r="A20" s="2">
        <f t="shared" si="0"/>
        <v>10</v>
      </c>
      <c r="E20" s="101"/>
      <c r="F20" s="73"/>
      <c r="G20" s="57"/>
      <c r="H20" s="2">
        <f t="shared" si="1"/>
        <v>10</v>
      </c>
    </row>
    <row r="21" spans="1:8" x14ac:dyDescent="0.25">
      <c r="A21" s="2">
        <f t="shared" si="0"/>
        <v>11</v>
      </c>
      <c r="B21" s="38" t="s">
        <v>141</v>
      </c>
      <c r="E21" s="76">
        <f>E13*$E$19</f>
        <v>0</v>
      </c>
      <c r="F21" s="71"/>
      <c r="G21" s="57" t="s">
        <v>639</v>
      </c>
      <c r="H21" s="2">
        <f t="shared" si="1"/>
        <v>11</v>
      </c>
    </row>
    <row r="22" spans="1:8" x14ac:dyDescent="0.25">
      <c r="A22" s="2">
        <f t="shared" si="0"/>
        <v>12</v>
      </c>
      <c r="E22" s="101"/>
      <c r="F22" s="73"/>
      <c r="G22" s="57"/>
      <c r="H22" s="2">
        <f t="shared" si="1"/>
        <v>12</v>
      </c>
    </row>
    <row r="23" spans="1:8" x14ac:dyDescent="0.25">
      <c r="A23" s="2">
        <f t="shared" si="0"/>
        <v>13</v>
      </c>
      <c r="B23" s="38" t="s">
        <v>142</v>
      </c>
      <c r="E23" s="77">
        <f>E15*$E$19</f>
        <v>0</v>
      </c>
      <c r="F23" s="51"/>
      <c r="G23" s="57" t="s">
        <v>640</v>
      </c>
      <c r="H23" s="2">
        <f t="shared" si="1"/>
        <v>13</v>
      </c>
    </row>
    <row r="24" spans="1:8" x14ac:dyDescent="0.25">
      <c r="A24" s="2">
        <f t="shared" si="0"/>
        <v>14</v>
      </c>
      <c r="B24" s="38" t="s">
        <v>8</v>
      </c>
      <c r="E24" s="77"/>
      <c r="F24" s="51"/>
      <c r="G24" s="57"/>
      <c r="H24" s="2">
        <f t="shared" si="1"/>
        <v>14</v>
      </c>
    </row>
    <row r="25" spans="1:8" x14ac:dyDescent="0.25">
      <c r="A25" s="2">
        <f t="shared" si="0"/>
        <v>15</v>
      </c>
      <c r="B25" s="38" t="s">
        <v>143</v>
      </c>
      <c r="E25" s="78">
        <f>E17*$E$19</f>
        <v>0</v>
      </c>
      <c r="F25" s="51"/>
      <c r="G25" s="57" t="s">
        <v>641</v>
      </c>
      <c r="H25" s="2">
        <f t="shared" si="1"/>
        <v>15</v>
      </c>
    </row>
    <row r="26" spans="1:8" x14ac:dyDescent="0.25">
      <c r="A26" s="2">
        <f t="shared" si="0"/>
        <v>16</v>
      </c>
      <c r="E26" s="77"/>
      <c r="F26" s="51"/>
      <c r="G26" s="57"/>
      <c r="H26" s="2">
        <f t="shared" si="1"/>
        <v>16</v>
      </c>
    </row>
    <row r="27" spans="1:8" ht="16.5" thickBot="1" x14ac:dyDescent="0.3">
      <c r="A27" s="2">
        <f t="shared" si="0"/>
        <v>17</v>
      </c>
      <c r="B27" s="38" t="s">
        <v>477</v>
      </c>
      <c r="D27" s="60"/>
      <c r="E27" s="79">
        <f>E11+E21+E23+E25</f>
        <v>0</v>
      </c>
      <c r="F27" s="71"/>
      <c r="G27" s="57" t="s">
        <v>642</v>
      </c>
      <c r="H27" s="2">
        <f t="shared" si="1"/>
        <v>17</v>
      </c>
    </row>
    <row r="28" spans="1:8" ht="16.5" thickTop="1" x14ac:dyDescent="0.25">
      <c r="A28" s="2">
        <f t="shared" si="0"/>
        <v>18</v>
      </c>
      <c r="D28" s="60"/>
      <c r="E28" s="60"/>
      <c r="F28" s="51"/>
      <c r="G28" s="57"/>
      <c r="H28" s="2">
        <f t="shared" si="1"/>
        <v>18</v>
      </c>
    </row>
    <row r="29" spans="1:8" ht="16.5" thickBot="1" x14ac:dyDescent="0.3">
      <c r="A29" s="2">
        <f>A28+1</f>
        <v>19</v>
      </c>
      <c r="B29" s="38" t="s">
        <v>144</v>
      </c>
      <c r="D29" s="60"/>
      <c r="E29" s="80">
        <v>0</v>
      </c>
      <c r="F29" s="51"/>
      <c r="G29" s="57" t="s">
        <v>643</v>
      </c>
      <c r="H29" s="2">
        <f>H28+1</f>
        <v>19</v>
      </c>
    </row>
    <row r="30" spans="1:8" ht="16.5" thickTop="1" x14ac:dyDescent="0.25">
      <c r="A30" s="2">
        <f t="shared" si="0"/>
        <v>20</v>
      </c>
      <c r="D30" s="60"/>
      <c r="F30" s="51"/>
      <c r="G30" s="57"/>
      <c r="H30" s="2">
        <f t="shared" ref="H30:H33" si="2">H29+1</f>
        <v>20</v>
      </c>
    </row>
    <row r="31" spans="1:8" ht="19.5" thickBot="1" x14ac:dyDescent="0.3">
      <c r="A31" s="2">
        <f>A30+1</f>
        <v>21</v>
      </c>
      <c r="B31" s="38" t="s">
        <v>371</v>
      </c>
      <c r="D31" s="220"/>
      <c r="E31" s="80">
        <v>0</v>
      </c>
      <c r="F31" s="191"/>
      <c r="G31" s="57" t="s">
        <v>644</v>
      </c>
      <c r="H31" s="2">
        <f>H30+1</f>
        <v>21</v>
      </c>
    </row>
    <row r="32" spans="1:8" ht="16.5" thickTop="1" x14ac:dyDescent="0.25">
      <c r="A32" s="2">
        <f t="shared" si="0"/>
        <v>22</v>
      </c>
      <c r="D32" s="48"/>
      <c r="E32" s="48"/>
      <c r="F32" s="51"/>
      <c r="G32" s="57"/>
      <c r="H32" s="2">
        <f t="shared" si="2"/>
        <v>22</v>
      </c>
    </row>
    <row r="33" spans="1:8" ht="16.5" thickBot="1" x14ac:dyDescent="0.3">
      <c r="A33" s="2">
        <f t="shared" si="0"/>
        <v>23</v>
      </c>
      <c r="B33" s="38" t="s">
        <v>145</v>
      </c>
      <c r="C33" s="219"/>
      <c r="D33" s="98"/>
      <c r="E33" s="80">
        <v>0</v>
      </c>
      <c r="F33" s="51"/>
      <c r="G33" s="57" t="s">
        <v>645</v>
      </c>
      <c r="H33" s="2">
        <f t="shared" si="2"/>
        <v>23</v>
      </c>
    </row>
    <row r="34" spans="1:8" ht="16.5" thickTop="1" x14ac:dyDescent="0.25">
      <c r="B34" s="39"/>
      <c r="E34" s="98"/>
      <c r="F34" s="51"/>
      <c r="G34" s="61"/>
    </row>
    <row r="35" spans="1:8" x14ac:dyDescent="0.25">
      <c r="B35" s="39"/>
      <c r="E35" s="98"/>
      <c r="F35" s="51"/>
      <c r="G35" s="61"/>
    </row>
    <row r="36" spans="1:8" ht="18.75" x14ac:dyDescent="0.25">
      <c r="A36" s="193">
        <v>1</v>
      </c>
      <c r="B36" s="38" t="s">
        <v>334</v>
      </c>
      <c r="E36" s="60"/>
      <c r="F36" s="51"/>
      <c r="G36" s="57"/>
    </row>
    <row r="37" spans="1:8" x14ac:dyDescent="0.25">
      <c r="E37" s="60"/>
      <c r="F37" s="51"/>
      <c r="G37" s="57"/>
    </row>
    <row r="38" spans="1:8" x14ac:dyDescent="0.25">
      <c r="B38" s="172"/>
      <c r="E38" s="48"/>
      <c r="F38" s="51"/>
      <c r="G38" s="57"/>
    </row>
    <row r="39" spans="1:8" x14ac:dyDescent="0.25">
      <c r="B39" s="1"/>
      <c r="C39" s="219"/>
      <c r="E39" s="102"/>
      <c r="F39" s="51"/>
      <c r="G39" s="221"/>
    </row>
    <row r="40" spans="1:8" x14ac:dyDescent="0.25">
      <c r="B40" s="172"/>
      <c r="E40" s="70"/>
      <c r="F40" s="51"/>
      <c r="G40" s="221"/>
    </row>
    <row r="41" spans="1:8" x14ac:dyDescent="0.25">
      <c r="F41" s="2"/>
      <c r="G41" s="57"/>
    </row>
  </sheetData>
  <mergeCells count="5">
    <mergeCell ref="B5:G5"/>
    <mergeCell ref="B2:G2"/>
    <mergeCell ref="B3:G3"/>
    <mergeCell ref="B4:G4"/>
    <mergeCell ref="B6:G6"/>
  </mergeCells>
  <printOptions horizontalCentered="1"/>
  <pageMargins left="0.5" right="0.5" top="0.5" bottom="0.5" header="0.25" footer="0.25"/>
  <pageSetup scale="60" orientation="portrait" r:id="rId1"/>
  <headerFooter scaleWithDoc="0">
    <oddFooter>&amp;C&amp;"Times New Roman,Regular"&amp;10&amp;A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pageSetUpPr fitToPage="1"/>
  </sheetPr>
  <dimension ref="A1:K39"/>
  <sheetViews>
    <sheetView zoomScale="80" zoomScaleNormal="80" workbookViewId="0"/>
  </sheetViews>
  <sheetFormatPr defaultColWidth="8.7109375" defaultRowHeight="15.75" x14ac:dyDescent="0.25"/>
  <cols>
    <col min="1" max="1" width="5.28515625" style="2" bestFit="1" customWidth="1"/>
    <col min="2" max="2" width="55.28515625" style="38" customWidth="1"/>
    <col min="3" max="3" width="24" style="38" customWidth="1"/>
    <col min="4" max="4" width="1.5703125" style="38" customWidth="1"/>
    <col min="5" max="5" width="16.7109375" style="38" customWidth="1"/>
    <col min="6" max="6" width="1.5703125" style="38" customWidth="1"/>
    <col min="7" max="7" width="36.28515625" style="38" bestFit="1" customWidth="1"/>
    <col min="8" max="8" width="5.28515625" style="38" bestFit="1" customWidth="1"/>
    <col min="9" max="9" width="8.7109375" style="38"/>
    <col min="10" max="10" width="19.28515625" style="38" customWidth="1"/>
    <col min="11" max="11" width="17.7109375" style="38" customWidth="1"/>
    <col min="12" max="12" width="17.5703125" style="38" customWidth="1"/>
    <col min="13" max="16384" width="8.7109375" style="38"/>
  </cols>
  <sheetData>
    <row r="1" spans="1:11" x14ac:dyDescent="0.25">
      <c r="A1" s="2" t="s">
        <v>8</v>
      </c>
      <c r="G1" s="2"/>
      <c r="H1" s="2"/>
    </row>
    <row r="2" spans="1:11" x14ac:dyDescent="0.25">
      <c r="B2" s="584" t="s">
        <v>16</v>
      </c>
      <c r="C2" s="584"/>
      <c r="D2" s="584"/>
      <c r="E2" s="584"/>
      <c r="F2" s="584"/>
      <c r="G2" s="584"/>
      <c r="H2" s="2"/>
    </row>
    <row r="3" spans="1:11" x14ac:dyDescent="0.25">
      <c r="B3" s="584" t="s">
        <v>783</v>
      </c>
      <c r="C3" s="584"/>
      <c r="D3" s="584"/>
      <c r="E3" s="584"/>
      <c r="F3" s="584"/>
      <c r="G3" s="584"/>
      <c r="H3" s="2"/>
    </row>
    <row r="4" spans="1:11" x14ac:dyDescent="0.25">
      <c r="B4" s="584" t="s">
        <v>76</v>
      </c>
      <c r="C4" s="584"/>
      <c r="D4" s="584"/>
      <c r="E4" s="584"/>
      <c r="F4" s="584"/>
      <c r="G4" s="584"/>
      <c r="H4" s="2"/>
    </row>
    <row r="5" spans="1:11" x14ac:dyDescent="0.25">
      <c r="B5" s="586" t="str">
        <f>'Stmt AD'!B5</f>
        <v>Base Period &amp; True-Up Period 12 - Months Ending  December 31, xxxx</v>
      </c>
      <c r="C5" s="586"/>
      <c r="D5" s="586"/>
      <c r="E5" s="586"/>
      <c r="F5" s="586"/>
      <c r="G5" s="586"/>
      <c r="H5" s="2"/>
    </row>
    <row r="6" spans="1:11" x14ac:dyDescent="0.25">
      <c r="B6" s="580" t="s">
        <v>1</v>
      </c>
      <c r="C6" s="581"/>
      <c r="D6" s="581"/>
      <c r="E6" s="581"/>
      <c r="F6" s="581"/>
      <c r="G6" s="581"/>
      <c r="H6" s="2"/>
    </row>
    <row r="7" spans="1:11" x14ac:dyDescent="0.25">
      <c r="B7" s="2"/>
      <c r="C7" s="2"/>
      <c r="D7" s="2"/>
      <c r="E7" s="2"/>
      <c r="F7" s="2"/>
      <c r="G7" s="2"/>
      <c r="H7" s="2"/>
    </row>
    <row r="8" spans="1:11" x14ac:dyDescent="0.25">
      <c r="A8" s="2" t="s">
        <v>2</v>
      </c>
      <c r="B8" s="165"/>
      <c r="C8" s="2" t="s">
        <v>248</v>
      </c>
      <c r="D8" s="165"/>
      <c r="E8" s="165"/>
      <c r="F8" s="165"/>
      <c r="G8" s="2"/>
      <c r="H8" s="2" t="s">
        <v>2</v>
      </c>
    </row>
    <row r="9" spans="1:11" x14ac:dyDescent="0.25">
      <c r="A9" s="2" t="s">
        <v>18</v>
      </c>
      <c r="B9" s="165"/>
      <c r="C9" s="42" t="s">
        <v>246</v>
      </c>
      <c r="D9" s="165"/>
      <c r="E9" s="189" t="s">
        <v>37</v>
      </c>
      <c r="F9" s="165"/>
      <c r="G9" s="42" t="s">
        <v>7</v>
      </c>
      <c r="H9" s="2" t="s">
        <v>18</v>
      </c>
    </row>
    <row r="10" spans="1:11" x14ac:dyDescent="0.25">
      <c r="B10" s="2"/>
      <c r="C10" s="2"/>
      <c r="D10" s="2"/>
      <c r="E10" s="2"/>
      <c r="F10" s="165"/>
      <c r="G10" s="2"/>
      <c r="H10" s="2"/>
    </row>
    <row r="11" spans="1:11" ht="18.75" x14ac:dyDescent="0.25">
      <c r="A11" s="203">
        <v>1</v>
      </c>
      <c r="B11" s="218" t="s">
        <v>1015</v>
      </c>
      <c r="C11" s="203" t="s">
        <v>268</v>
      </c>
      <c r="D11" s="218"/>
      <c r="E11" s="528">
        <v>0</v>
      </c>
      <c r="F11" s="499"/>
      <c r="G11" s="217"/>
      <c r="H11" s="203">
        <f>A11</f>
        <v>1</v>
      </c>
      <c r="K11" s="43"/>
    </row>
    <row r="12" spans="1:11" ht="16.149999999999999" customHeight="1" x14ac:dyDescent="0.25">
      <c r="A12" s="203">
        <f>+A11+1</f>
        <v>2</v>
      </c>
      <c r="B12" s="218"/>
      <c r="C12" s="218"/>
      <c r="D12" s="218"/>
      <c r="E12" s="529"/>
      <c r="F12" s="499"/>
      <c r="G12" s="217"/>
      <c r="H12" s="203">
        <f>+H11+1</f>
        <v>2</v>
      </c>
    </row>
    <row r="13" spans="1:11" ht="18.75" x14ac:dyDescent="0.25">
      <c r="A13" s="203">
        <f t="shared" ref="A13:A30" si="0">+A12+1</f>
        <v>3</v>
      </c>
      <c r="B13" s="218" t="s">
        <v>1016</v>
      </c>
      <c r="C13" s="203"/>
      <c r="D13" s="218"/>
      <c r="E13" s="483">
        <v>0</v>
      </c>
      <c r="F13" s="499"/>
      <c r="G13" s="217" t="s">
        <v>973</v>
      </c>
      <c r="H13" s="203">
        <f t="shared" ref="H13:H30" si="1">+H12+1</f>
        <v>3</v>
      </c>
    </row>
    <row r="14" spans="1:11" x14ac:dyDescent="0.25">
      <c r="A14" s="203">
        <f t="shared" si="0"/>
        <v>4</v>
      </c>
      <c r="B14" s="218"/>
      <c r="C14" s="218"/>
      <c r="D14" s="218"/>
      <c r="E14" s="530"/>
      <c r="F14" s="499"/>
      <c r="G14" s="218"/>
      <c r="H14" s="203">
        <f t="shared" si="1"/>
        <v>4</v>
      </c>
    </row>
    <row r="15" spans="1:11" x14ac:dyDescent="0.25">
      <c r="A15" s="203">
        <f t="shared" si="0"/>
        <v>5</v>
      </c>
      <c r="B15" s="218" t="s">
        <v>77</v>
      </c>
      <c r="C15" s="218"/>
      <c r="D15" s="218"/>
      <c r="E15" s="529">
        <f>E11+E13</f>
        <v>0</v>
      </c>
      <c r="F15" s="499"/>
      <c r="G15" s="217" t="s">
        <v>568</v>
      </c>
      <c r="H15" s="203">
        <f t="shared" si="1"/>
        <v>5</v>
      </c>
    </row>
    <row r="16" spans="1:11" x14ac:dyDescent="0.25">
      <c r="A16" s="203">
        <f t="shared" si="0"/>
        <v>6</v>
      </c>
      <c r="B16" s="218"/>
      <c r="C16" s="218"/>
      <c r="D16" s="218"/>
      <c r="E16" s="529"/>
      <c r="F16" s="499"/>
      <c r="G16" s="218"/>
      <c r="H16" s="203">
        <f t="shared" si="1"/>
        <v>6</v>
      </c>
    </row>
    <row r="17" spans="1:10" x14ac:dyDescent="0.25">
      <c r="A17" s="203">
        <f t="shared" si="0"/>
        <v>7</v>
      </c>
      <c r="B17" s="218" t="s">
        <v>147</v>
      </c>
      <c r="C17" s="203" t="s">
        <v>267</v>
      </c>
      <c r="D17" s="218"/>
      <c r="E17" s="483">
        <v>0</v>
      </c>
      <c r="F17" s="499"/>
      <c r="G17" s="504"/>
      <c r="H17" s="203">
        <f t="shared" si="1"/>
        <v>7</v>
      </c>
      <c r="J17" s="43"/>
    </row>
    <row r="18" spans="1:10" x14ac:dyDescent="0.25">
      <c r="A18" s="203">
        <f t="shared" si="0"/>
        <v>8</v>
      </c>
      <c r="E18" s="106"/>
      <c r="F18" s="165"/>
      <c r="G18" s="57"/>
      <c r="H18" s="203">
        <f t="shared" si="1"/>
        <v>8</v>
      </c>
    </row>
    <row r="19" spans="1:10" ht="18.75" x14ac:dyDescent="0.25">
      <c r="A19" s="203">
        <f>+A18+1</f>
        <v>9</v>
      </c>
      <c r="B19" s="38" t="s">
        <v>1020</v>
      </c>
      <c r="C19" s="210" t="s">
        <v>1017</v>
      </c>
      <c r="D19" s="34"/>
      <c r="E19" s="481">
        <v>0</v>
      </c>
      <c r="F19" s="165"/>
      <c r="G19" s="217" t="s">
        <v>633</v>
      </c>
      <c r="H19" s="203">
        <f>+H18+1</f>
        <v>9</v>
      </c>
      <c r="I19" s="210">
        <v>1</v>
      </c>
      <c r="J19" s="280"/>
    </row>
    <row r="20" spans="1:10" x14ac:dyDescent="0.25">
      <c r="A20" s="203">
        <f t="shared" si="0"/>
        <v>10</v>
      </c>
      <c r="C20" s="34"/>
      <c r="D20" s="34"/>
      <c r="F20" s="165"/>
      <c r="G20" s="2"/>
      <c r="H20" s="203">
        <f t="shared" si="1"/>
        <v>10</v>
      </c>
      <c r="I20" s="210">
        <f>I19+1</f>
        <v>2</v>
      </c>
    </row>
    <row r="21" spans="1:10" x14ac:dyDescent="0.25">
      <c r="A21" s="203">
        <f t="shared" si="0"/>
        <v>11</v>
      </c>
      <c r="B21" s="38" t="s">
        <v>392</v>
      </c>
      <c r="C21" s="34"/>
      <c r="D21" s="34"/>
      <c r="E21" s="59">
        <f>'Stmt AH'!E64</f>
        <v>0</v>
      </c>
      <c r="F21" s="219"/>
      <c r="G21" s="2" t="s">
        <v>1171</v>
      </c>
      <c r="H21" s="203">
        <f t="shared" si="1"/>
        <v>11</v>
      </c>
      <c r="I21" s="210">
        <f t="shared" ref="I21:I30" si="2">I20+1</f>
        <v>3</v>
      </c>
    </row>
    <row r="22" spans="1:10" x14ac:dyDescent="0.25">
      <c r="A22" s="203">
        <f t="shared" si="0"/>
        <v>12</v>
      </c>
      <c r="C22" s="34"/>
      <c r="D22" s="34"/>
      <c r="F22" s="165"/>
      <c r="G22" s="2"/>
      <c r="H22" s="203">
        <f t="shared" si="1"/>
        <v>12</v>
      </c>
      <c r="I22" s="210">
        <f t="shared" si="2"/>
        <v>4</v>
      </c>
    </row>
    <row r="23" spans="1:10" ht="16.5" thickBot="1" x14ac:dyDescent="0.3">
      <c r="A23" s="203">
        <f t="shared" si="0"/>
        <v>13</v>
      </c>
      <c r="B23" s="38" t="s">
        <v>451</v>
      </c>
      <c r="C23" s="34"/>
      <c r="D23" s="34"/>
      <c r="E23" s="28">
        <f>E19*E21</f>
        <v>0</v>
      </c>
      <c r="F23" s="165"/>
      <c r="G23" s="2" t="s">
        <v>1018</v>
      </c>
      <c r="H23" s="203">
        <f t="shared" si="1"/>
        <v>13</v>
      </c>
      <c r="I23" s="210">
        <f t="shared" si="2"/>
        <v>5</v>
      </c>
    </row>
    <row r="24" spans="1:10" ht="17.25" thickTop="1" thickBot="1" x14ac:dyDescent="0.3">
      <c r="A24" s="203">
        <f t="shared" si="0"/>
        <v>14</v>
      </c>
      <c r="B24" s="107"/>
      <c r="C24" s="225"/>
      <c r="D24" s="225"/>
      <c r="E24" s="107"/>
      <c r="F24" s="107"/>
      <c r="G24" s="107"/>
      <c r="H24" s="203">
        <f t="shared" si="1"/>
        <v>14</v>
      </c>
      <c r="I24" s="210">
        <f t="shared" si="2"/>
        <v>6</v>
      </c>
    </row>
    <row r="25" spans="1:10" x14ac:dyDescent="0.25">
      <c r="A25" s="203">
        <f>+A24+1</f>
        <v>15</v>
      </c>
      <c r="C25" s="34"/>
      <c r="D25" s="34"/>
      <c r="H25" s="203">
        <f>+H24+1</f>
        <v>15</v>
      </c>
      <c r="I25" s="210">
        <f t="shared" si="2"/>
        <v>7</v>
      </c>
    </row>
    <row r="26" spans="1:10" ht="18.75" x14ac:dyDescent="0.25">
      <c r="A26" s="203">
        <f t="shared" ref="A26:A27" si="3">+A25+1</f>
        <v>16</v>
      </c>
      <c r="B26" s="38" t="s">
        <v>1021</v>
      </c>
      <c r="C26" s="2" t="s">
        <v>321</v>
      </c>
      <c r="E26" s="50">
        <v>0</v>
      </c>
      <c r="F26" s="165"/>
      <c r="G26" s="175"/>
      <c r="H26" s="203">
        <f t="shared" si="1"/>
        <v>16</v>
      </c>
      <c r="I26" s="210">
        <f t="shared" si="2"/>
        <v>8</v>
      </c>
    </row>
    <row r="27" spans="1:10" x14ac:dyDescent="0.25">
      <c r="A27" s="203">
        <f t="shared" si="3"/>
        <v>17</v>
      </c>
      <c r="E27" s="70"/>
      <c r="F27" s="165"/>
      <c r="G27" s="57"/>
      <c r="H27" s="203">
        <f t="shared" si="1"/>
        <v>17</v>
      </c>
      <c r="I27" s="210">
        <f t="shared" si="2"/>
        <v>9</v>
      </c>
    </row>
    <row r="28" spans="1:10" x14ac:dyDescent="0.25">
      <c r="A28" s="203">
        <f t="shared" ref="A28" si="4">+A27+1</f>
        <v>18</v>
      </c>
      <c r="B28" s="38" t="s">
        <v>10</v>
      </c>
      <c r="E28" s="59">
        <f>'Stmt AI'!E25</f>
        <v>0</v>
      </c>
      <c r="F28" s="165"/>
      <c r="G28" s="2" t="s">
        <v>634</v>
      </c>
      <c r="H28" s="203">
        <f t="shared" si="1"/>
        <v>18</v>
      </c>
      <c r="I28" s="210">
        <f t="shared" si="2"/>
        <v>10</v>
      </c>
    </row>
    <row r="29" spans="1:10" x14ac:dyDescent="0.25">
      <c r="A29" s="203">
        <f t="shared" ref="A29" si="5">+A28+1</f>
        <v>19</v>
      </c>
      <c r="E29" s="75"/>
      <c r="F29" s="165"/>
      <c r="G29" s="2"/>
      <c r="H29" s="203">
        <f t="shared" si="1"/>
        <v>19</v>
      </c>
      <c r="I29" s="210">
        <f t="shared" si="2"/>
        <v>11</v>
      </c>
    </row>
    <row r="30" spans="1:10" ht="16.5" thickBot="1" x14ac:dyDescent="0.3">
      <c r="A30" s="203">
        <f t="shared" si="0"/>
        <v>20</v>
      </c>
      <c r="B30" s="38" t="s">
        <v>452</v>
      </c>
      <c r="E30" s="28">
        <f>E26*E28</f>
        <v>0</v>
      </c>
      <c r="F30" s="165"/>
      <c r="G30" s="175" t="s">
        <v>1019</v>
      </c>
      <c r="H30" s="203">
        <f t="shared" si="1"/>
        <v>20</v>
      </c>
      <c r="I30" s="210">
        <f t="shared" si="2"/>
        <v>12</v>
      </c>
    </row>
    <row r="31" spans="1:10" ht="16.5" thickTop="1" x14ac:dyDescent="0.25">
      <c r="E31" s="9"/>
      <c r="F31" s="165"/>
      <c r="G31" s="226"/>
      <c r="H31" s="2"/>
      <c r="J31" s="210"/>
    </row>
    <row r="32" spans="1:10" x14ac:dyDescent="0.25">
      <c r="B32" s="38" t="s">
        <v>8</v>
      </c>
      <c r="E32" s="70"/>
      <c r="F32" s="70"/>
      <c r="J32" s="227"/>
    </row>
    <row r="33" spans="1:10" ht="18.75" x14ac:dyDescent="0.25">
      <c r="A33" s="174">
        <v>1</v>
      </c>
      <c r="B33" s="38" t="s">
        <v>1172</v>
      </c>
      <c r="J33" s="210"/>
    </row>
    <row r="34" spans="1:10" ht="18.75" x14ac:dyDescent="0.25">
      <c r="A34" s="531">
        <v>2</v>
      </c>
      <c r="B34" s="218" t="s">
        <v>723</v>
      </c>
      <c r="C34" s="218"/>
      <c r="D34" s="218"/>
      <c r="E34" s="218"/>
      <c r="F34" s="218"/>
      <c r="G34" s="218"/>
      <c r="J34" s="210"/>
    </row>
    <row r="35" spans="1:10" ht="18.75" x14ac:dyDescent="0.25">
      <c r="A35" s="531">
        <v>3</v>
      </c>
      <c r="B35" s="570" t="s">
        <v>1161</v>
      </c>
      <c r="C35" s="218"/>
      <c r="D35" s="218"/>
      <c r="E35" s="218"/>
      <c r="F35" s="218"/>
      <c r="G35" s="218"/>
      <c r="J35" s="210"/>
    </row>
    <row r="36" spans="1:10" ht="18.75" x14ac:dyDescent="0.25">
      <c r="A36" s="571" t="s">
        <v>1162</v>
      </c>
      <c r="B36" s="38" t="s">
        <v>1173</v>
      </c>
      <c r="J36" s="210"/>
    </row>
    <row r="38" spans="1:10" x14ac:dyDescent="0.25">
      <c r="J38" s="228"/>
    </row>
    <row r="39" spans="1:10" x14ac:dyDescent="0.25">
      <c r="J39" s="228"/>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pageSetUpPr fitToPage="1"/>
  </sheetPr>
  <dimension ref="A1:J49"/>
  <sheetViews>
    <sheetView zoomScale="80" zoomScaleNormal="80" workbookViewId="0">
      <selection activeCell="L44" sqref="L44"/>
    </sheetView>
  </sheetViews>
  <sheetFormatPr defaultColWidth="8.7109375" defaultRowHeight="15.75" x14ac:dyDescent="0.25"/>
  <cols>
    <col min="1" max="1" width="5.28515625" style="2" bestFit="1" customWidth="1"/>
    <col min="2" max="2" width="79.42578125" style="38" customWidth="1"/>
    <col min="3" max="3" width="24" style="210" customWidth="1"/>
    <col min="4" max="4" width="1.5703125" style="38" customWidth="1"/>
    <col min="5" max="5" width="16.7109375" style="38" customWidth="1"/>
    <col min="6" max="6" width="1.5703125" style="38" customWidth="1"/>
    <col min="7" max="7" width="16.7109375" style="38" customWidth="1"/>
    <col min="8" max="8" width="1.5703125" style="38" customWidth="1"/>
    <col min="9" max="9" width="39.42578125" style="38" bestFit="1" customWidth="1"/>
    <col min="10" max="10" width="5.28515625" style="38" customWidth="1"/>
    <col min="11" max="16384" width="8.7109375" style="38"/>
  </cols>
  <sheetData>
    <row r="1" spans="1:10" x14ac:dyDescent="0.25">
      <c r="H1" s="2"/>
      <c r="I1" s="2"/>
      <c r="J1" s="2"/>
    </row>
    <row r="2" spans="1:10" x14ac:dyDescent="0.25">
      <c r="B2" s="584" t="s">
        <v>16</v>
      </c>
      <c r="C2" s="592"/>
      <c r="D2" s="592"/>
      <c r="E2" s="592"/>
      <c r="F2" s="592"/>
      <c r="G2" s="592"/>
      <c r="H2" s="592"/>
      <c r="I2" s="592"/>
      <c r="J2" s="165"/>
    </row>
    <row r="3" spans="1:10" x14ac:dyDescent="0.25">
      <c r="B3" s="584" t="s">
        <v>784</v>
      </c>
      <c r="C3" s="592"/>
      <c r="D3" s="592"/>
      <c r="E3" s="592"/>
      <c r="F3" s="592"/>
      <c r="G3" s="592"/>
      <c r="H3" s="592"/>
      <c r="I3" s="592"/>
      <c r="J3" s="165"/>
    </row>
    <row r="4" spans="1:10" x14ac:dyDescent="0.25">
      <c r="B4" s="584" t="s">
        <v>80</v>
      </c>
      <c r="C4" s="592"/>
      <c r="D4" s="592"/>
      <c r="E4" s="592"/>
      <c r="F4" s="592"/>
      <c r="G4" s="592"/>
      <c r="H4" s="592"/>
      <c r="I4" s="592"/>
      <c r="J4" s="165"/>
    </row>
    <row r="5" spans="1:10" x14ac:dyDescent="0.25">
      <c r="B5" s="586" t="str">
        <f>'Stmt AD'!B5</f>
        <v>Base Period &amp; True-Up Period 12 - Months Ending  December 31, xxxx</v>
      </c>
      <c r="C5" s="586"/>
      <c r="D5" s="586"/>
      <c r="E5" s="586"/>
      <c r="F5" s="586"/>
      <c r="G5" s="586"/>
      <c r="H5" s="586"/>
      <c r="I5" s="586"/>
      <c r="J5" s="165"/>
    </row>
    <row r="6" spans="1:10" x14ac:dyDescent="0.25">
      <c r="B6" s="580" t="s">
        <v>1</v>
      </c>
      <c r="C6" s="580"/>
      <c r="D6" s="580"/>
      <c r="E6" s="580"/>
      <c r="F6" s="580"/>
      <c r="G6" s="580"/>
      <c r="H6" s="580"/>
      <c r="I6" s="580"/>
      <c r="J6" s="1"/>
    </row>
    <row r="7" spans="1:10" x14ac:dyDescent="0.25">
      <c r="B7" s="2"/>
      <c r="D7" s="2"/>
      <c r="E7" s="2"/>
      <c r="F7" s="2"/>
      <c r="G7" s="2"/>
      <c r="H7" s="165"/>
      <c r="I7" s="165"/>
      <c r="J7" s="165"/>
    </row>
    <row r="8" spans="1:10" x14ac:dyDescent="0.25">
      <c r="A8" s="2" t="s">
        <v>2</v>
      </c>
      <c r="B8" s="165"/>
      <c r="C8" s="2" t="s">
        <v>248</v>
      </c>
      <c r="D8" s="2"/>
      <c r="E8" s="2" t="s">
        <v>81</v>
      </c>
      <c r="F8" s="2"/>
      <c r="G8" s="2" t="s">
        <v>331</v>
      </c>
      <c r="H8" s="165"/>
      <c r="I8" s="165"/>
      <c r="J8" s="2" t="s">
        <v>2</v>
      </c>
    </row>
    <row r="9" spans="1:10" x14ac:dyDescent="0.25">
      <c r="A9" s="2" t="s">
        <v>18</v>
      </c>
      <c r="B9" s="165"/>
      <c r="C9" s="42" t="s">
        <v>246</v>
      </c>
      <c r="D9" s="165"/>
      <c r="E9" s="189" t="s">
        <v>82</v>
      </c>
      <c r="F9" s="165"/>
      <c r="G9" s="189" t="s">
        <v>6</v>
      </c>
      <c r="H9" s="165"/>
      <c r="I9" s="42" t="s">
        <v>7</v>
      </c>
      <c r="J9" s="2" t="s">
        <v>18</v>
      </c>
    </row>
    <row r="10" spans="1:10" x14ac:dyDescent="0.25">
      <c r="B10" s="2"/>
      <c r="D10" s="2"/>
      <c r="E10" s="2"/>
      <c r="F10" s="2"/>
      <c r="G10" s="2"/>
      <c r="H10" s="2"/>
      <c r="I10" s="2"/>
      <c r="J10" s="2"/>
    </row>
    <row r="11" spans="1:10" ht="18.75" x14ac:dyDescent="0.25">
      <c r="A11" s="2">
        <v>1</v>
      </c>
      <c r="B11" s="38" t="s">
        <v>380</v>
      </c>
      <c r="C11" s="2" t="s">
        <v>292</v>
      </c>
      <c r="E11" s="60"/>
      <c r="F11" s="71"/>
      <c r="G11" s="50">
        <v>0</v>
      </c>
      <c r="H11" s="71"/>
      <c r="I11" s="57" t="s">
        <v>623</v>
      </c>
      <c r="J11" s="2">
        <f>A11</f>
        <v>1</v>
      </c>
    </row>
    <row r="12" spans="1:10" x14ac:dyDescent="0.25">
      <c r="A12" s="2">
        <f>+A11+1</f>
        <v>2</v>
      </c>
      <c r="C12" s="2"/>
      <c r="E12" s="70"/>
      <c r="F12" s="51"/>
      <c r="G12" s="51"/>
      <c r="H12" s="51"/>
      <c r="I12" s="57"/>
      <c r="J12" s="2">
        <f>+J11+1</f>
        <v>2</v>
      </c>
    </row>
    <row r="13" spans="1:10" x14ac:dyDescent="0.25">
      <c r="A13" s="2">
        <f t="shared" ref="A13:A44" si="0">+A12+1</f>
        <v>3</v>
      </c>
      <c r="B13" s="38" t="s">
        <v>83</v>
      </c>
      <c r="C13" s="2"/>
      <c r="E13" s="72"/>
      <c r="F13" s="73"/>
      <c r="G13" s="74">
        <f>'Stmt AD'!I45</f>
        <v>0</v>
      </c>
      <c r="H13" s="71"/>
      <c r="I13" s="57" t="s">
        <v>624</v>
      </c>
      <c r="J13" s="2">
        <f t="shared" ref="J13:J44" si="1">+J12+1</f>
        <v>3</v>
      </c>
    </row>
    <row r="14" spans="1:10" x14ac:dyDescent="0.25">
      <c r="A14" s="2">
        <f t="shared" si="0"/>
        <v>4</v>
      </c>
      <c r="C14" s="2"/>
      <c r="E14" s="70"/>
      <c r="F14" s="51"/>
      <c r="G14" s="70"/>
      <c r="H14" s="51"/>
      <c r="I14" s="57"/>
      <c r="J14" s="2">
        <f t="shared" si="1"/>
        <v>4</v>
      </c>
    </row>
    <row r="15" spans="1:10" ht="16.5" thickBot="1" x14ac:dyDescent="0.3">
      <c r="A15" s="2">
        <f t="shared" si="0"/>
        <v>5</v>
      </c>
      <c r="B15" s="38" t="s">
        <v>421</v>
      </c>
      <c r="C15" s="2"/>
      <c r="E15" s="76"/>
      <c r="F15" s="51"/>
      <c r="G15" s="79">
        <f>G11*G13</f>
        <v>0</v>
      </c>
      <c r="H15" s="71"/>
      <c r="I15" s="57" t="s">
        <v>615</v>
      </c>
      <c r="J15" s="2">
        <f t="shared" si="1"/>
        <v>5</v>
      </c>
    </row>
    <row r="16" spans="1:10" ht="16.5" thickTop="1" x14ac:dyDescent="0.25">
      <c r="A16" s="2">
        <f t="shared" si="0"/>
        <v>6</v>
      </c>
      <c r="C16" s="2"/>
      <c r="E16" s="4"/>
      <c r="F16" s="2"/>
      <c r="G16" s="2"/>
      <c r="H16" s="2"/>
      <c r="I16" s="57"/>
      <c r="J16" s="2">
        <f t="shared" si="1"/>
        <v>6</v>
      </c>
    </row>
    <row r="17" spans="1:10" ht="18.75" x14ac:dyDescent="0.25">
      <c r="A17" s="2">
        <f t="shared" si="0"/>
        <v>7</v>
      </c>
      <c r="B17" s="38" t="s">
        <v>379</v>
      </c>
      <c r="C17" s="2" t="s">
        <v>293</v>
      </c>
      <c r="D17" s="43"/>
      <c r="E17" s="60"/>
      <c r="F17" s="51"/>
      <c r="G17" s="108">
        <v>0</v>
      </c>
      <c r="H17" s="71"/>
      <c r="I17" s="57" t="s">
        <v>625</v>
      </c>
      <c r="J17" s="2">
        <f t="shared" si="1"/>
        <v>7</v>
      </c>
    </row>
    <row r="18" spans="1:10" x14ac:dyDescent="0.25">
      <c r="A18" s="2">
        <f t="shared" si="0"/>
        <v>8</v>
      </c>
      <c r="C18" s="2"/>
      <c r="E18" s="48"/>
      <c r="F18" s="51"/>
      <c r="G18" s="51"/>
      <c r="H18" s="51"/>
      <c r="I18" s="57"/>
      <c r="J18" s="2">
        <f t="shared" si="1"/>
        <v>8</v>
      </c>
    </row>
    <row r="19" spans="1:10" ht="16.5" thickBot="1" x14ac:dyDescent="0.3">
      <c r="A19" s="2">
        <f t="shared" si="0"/>
        <v>9</v>
      </c>
      <c r="B19" s="38" t="s">
        <v>422</v>
      </c>
      <c r="E19" s="60"/>
      <c r="F19" s="51"/>
      <c r="G19" s="79">
        <f>G13*G17</f>
        <v>0</v>
      </c>
      <c r="H19" s="71"/>
      <c r="I19" s="57" t="s">
        <v>626</v>
      </c>
      <c r="J19" s="2">
        <f t="shared" si="1"/>
        <v>9</v>
      </c>
    </row>
    <row r="20" spans="1:10" ht="16.5" thickTop="1" x14ac:dyDescent="0.25">
      <c r="A20" s="2">
        <f t="shared" si="0"/>
        <v>10</v>
      </c>
      <c r="E20" s="48"/>
      <c r="F20" s="51"/>
      <c r="G20" s="51"/>
      <c r="H20" s="51"/>
      <c r="I20" s="57"/>
      <c r="J20" s="2">
        <f t="shared" si="1"/>
        <v>10</v>
      </c>
    </row>
    <row r="21" spans="1:10" x14ac:dyDescent="0.25">
      <c r="A21" s="2">
        <f t="shared" si="0"/>
        <v>11</v>
      </c>
      <c r="B21" s="172" t="s">
        <v>84</v>
      </c>
      <c r="E21" s="48"/>
      <c r="F21" s="51"/>
      <c r="G21" s="51"/>
      <c r="H21" s="51"/>
      <c r="I21" s="57"/>
      <c r="J21" s="2">
        <f t="shared" si="1"/>
        <v>11</v>
      </c>
    </row>
    <row r="22" spans="1:10" x14ac:dyDescent="0.25">
      <c r="A22" s="2">
        <f t="shared" si="0"/>
        <v>12</v>
      </c>
      <c r="B22" s="38" t="s">
        <v>431</v>
      </c>
      <c r="E22" s="109">
        <f>'Stmt AH'!E20</f>
        <v>0</v>
      </c>
      <c r="F22" s="51"/>
      <c r="G22" s="60"/>
      <c r="H22" s="51"/>
      <c r="I22" s="57" t="s">
        <v>1008</v>
      </c>
      <c r="J22" s="2">
        <f t="shared" si="1"/>
        <v>12</v>
      </c>
    </row>
    <row r="23" spans="1:10" x14ac:dyDescent="0.25">
      <c r="A23" s="2">
        <f t="shared" si="0"/>
        <v>13</v>
      </c>
      <c r="B23" s="38" t="s">
        <v>432</v>
      </c>
      <c r="E23" s="24">
        <f>'Stmt AH'!E45</f>
        <v>0</v>
      </c>
      <c r="F23" s="1"/>
      <c r="G23" s="48"/>
      <c r="H23" s="51"/>
      <c r="I23" s="57" t="s">
        <v>1175</v>
      </c>
      <c r="J23" s="2">
        <f t="shared" si="1"/>
        <v>13</v>
      </c>
    </row>
    <row r="24" spans="1:10" x14ac:dyDescent="0.25">
      <c r="A24" s="2">
        <f t="shared" si="0"/>
        <v>14</v>
      </c>
      <c r="B24" s="38" t="s">
        <v>433</v>
      </c>
      <c r="E24" s="110">
        <f>-'Stmt AH'!E27</f>
        <v>0</v>
      </c>
      <c r="F24" s="51"/>
      <c r="G24" s="48"/>
      <c r="H24" s="51"/>
      <c r="I24" s="57" t="s">
        <v>995</v>
      </c>
      <c r="J24" s="2">
        <f t="shared" si="1"/>
        <v>14</v>
      </c>
    </row>
    <row r="25" spans="1:10" x14ac:dyDescent="0.25">
      <c r="A25" s="2">
        <f t="shared" si="0"/>
        <v>15</v>
      </c>
      <c r="B25" s="38" t="s">
        <v>434</v>
      </c>
      <c r="E25" s="9">
        <f>SUM(E22:E24)</f>
        <v>0</v>
      </c>
      <c r="F25" s="1"/>
      <c r="G25" s="43"/>
      <c r="H25" s="57"/>
      <c r="I25" s="57" t="s">
        <v>627</v>
      </c>
      <c r="J25" s="2">
        <f t="shared" si="1"/>
        <v>15</v>
      </c>
    </row>
    <row r="26" spans="1:10" x14ac:dyDescent="0.25">
      <c r="A26" s="2">
        <f t="shared" si="0"/>
        <v>16</v>
      </c>
      <c r="F26" s="2"/>
      <c r="H26" s="2"/>
      <c r="I26" s="57"/>
      <c r="J26" s="2">
        <f t="shared" si="1"/>
        <v>16</v>
      </c>
    </row>
    <row r="27" spans="1:10" x14ac:dyDescent="0.25">
      <c r="A27" s="2">
        <f t="shared" si="0"/>
        <v>17</v>
      </c>
      <c r="B27" s="38" t="s">
        <v>435</v>
      </c>
      <c r="E27" s="111">
        <f>1/8</f>
        <v>0.125</v>
      </c>
      <c r="F27" s="2"/>
      <c r="G27" s="58"/>
      <c r="H27" s="2"/>
      <c r="I27" s="57" t="s">
        <v>85</v>
      </c>
      <c r="J27" s="2">
        <f t="shared" si="1"/>
        <v>17</v>
      </c>
    </row>
    <row r="28" spans="1:10" x14ac:dyDescent="0.25">
      <c r="A28" s="2">
        <f t="shared" si="0"/>
        <v>18</v>
      </c>
      <c r="E28" s="70" t="s">
        <v>8</v>
      </c>
      <c r="F28" s="51"/>
      <c r="G28" s="70"/>
      <c r="H28" s="51"/>
      <c r="I28" s="57"/>
      <c r="J28" s="2">
        <f t="shared" si="1"/>
        <v>18</v>
      </c>
    </row>
    <row r="29" spans="1:10" ht="16.5" thickBot="1" x14ac:dyDescent="0.3">
      <c r="A29" s="2">
        <f t="shared" si="0"/>
        <v>19</v>
      </c>
      <c r="B29" s="38" t="s">
        <v>436</v>
      </c>
      <c r="E29" s="79">
        <f>E25*E27</f>
        <v>0</v>
      </c>
      <c r="F29" s="1"/>
      <c r="G29" s="76"/>
      <c r="H29" s="51"/>
      <c r="I29" s="2" t="s">
        <v>628</v>
      </c>
      <c r="J29" s="2">
        <f t="shared" si="1"/>
        <v>19</v>
      </c>
    </row>
    <row r="30" spans="1:10" ht="16.5" thickTop="1" x14ac:dyDescent="0.25">
      <c r="A30" s="2">
        <f t="shared" si="0"/>
        <v>20</v>
      </c>
      <c r="E30" s="76"/>
      <c r="F30" s="71"/>
      <c r="G30" s="76"/>
      <c r="H30" s="51"/>
      <c r="I30" s="2"/>
      <c r="J30" s="2">
        <f t="shared" si="1"/>
        <v>20</v>
      </c>
    </row>
    <row r="31" spans="1:10" x14ac:dyDescent="0.25">
      <c r="A31" s="2">
        <f t="shared" si="0"/>
        <v>21</v>
      </c>
      <c r="B31" s="172" t="s">
        <v>86</v>
      </c>
      <c r="E31" s="48"/>
      <c r="F31" s="51"/>
      <c r="G31" s="51"/>
      <c r="H31" s="51"/>
      <c r="I31" s="57"/>
      <c r="J31" s="2">
        <f t="shared" si="1"/>
        <v>21</v>
      </c>
    </row>
    <row r="32" spans="1:10" x14ac:dyDescent="0.25">
      <c r="A32" s="2">
        <f t="shared" si="0"/>
        <v>22</v>
      </c>
      <c r="B32" s="38" t="s">
        <v>433</v>
      </c>
      <c r="E32" s="60">
        <f>E24</f>
        <v>0</v>
      </c>
      <c r="F32" s="51"/>
      <c r="G32" s="60"/>
      <c r="H32" s="51"/>
      <c r="I32" s="57" t="s">
        <v>629</v>
      </c>
      <c r="J32" s="2">
        <f t="shared" si="1"/>
        <v>22</v>
      </c>
    </row>
    <row r="33" spans="1:10" x14ac:dyDescent="0.25">
      <c r="A33" s="2">
        <f t="shared" si="0"/>
        <v>23</v>
      </c>
      <c r="E33" s="102"/>
      <c r="F33" s="51"/>
      <c r="G33" s="60"/>
      <c r="H33" s="51"/>
      <c r="I33" s="57"/>
      <c r="J33" s="2">
        <f t="shared" si="1"/>
        <v>23</v>
      </c>
    </row>
    <row r="34" spans="1:10" x14ac:dyDescent="0.25">
      <c r="A34" s="2">
        <f t="shared" si="0"/>
        <v>24</v>
      </c>
      <c r="B34" s="38" t="s">
        <v>435</v>
      </c>
      <c r="E34" s="112">
        <f>E27</f>
        <v>0.125</v>
      </c>
      <c r="F34" s="2"/>
      <c r="G34" s="58"/>
      <c r="H34" s="2"/>
      <c r="I34" s="57" t="s">
        <v>630</v>
      </c>
      <c r="J34" s="2">
        <f t="shared" si="1"/>
        <v>24</v>
      </c>
    </row>
    <row r="35" spans="1:10" x14ac:dyDescent="0.25">
      <c r="A35" s="2">
        <f t="shared" si="0"/>
        <v>25</v>
      </c>
      <c r="E35" s="58"/>
      <c r="F35" s="2"/>
      <c r="G35" s="58"/>
      <c r="H35" s="2"/>
      <c r="I35" s="57"/>
      <c r="J35" s="2">
        <f t="shared" si="1"/>
        <v>25</v>
      </c>
    </row>
    <row r="36" spans="1:10" x14ac:dyDescent="0.25">
      <c r="A36" s="2">
        <f t="shared" si="0"/>
        <v>26</v>
      </c>
      <c r="B36" s="38" t="s">
        <v>87</v>
      </c>
      <c r="E36" s="43">
        <f>E32*E34</f>
        <v>0</v>
      </c>
      <c r="F36" s="2"/>
      <c r="G36" s="58"/>
      <c r="H36" s="2"/>
      <c r="I36" s="2" t="s">
        <v>631</v>
      </c>
      <c r="J36" s="2">
        <f t="shared" si="1"/>
        <v>26</v>
      </c>
    </row>
    <row r="37" spans="1:10" x14ac:dyDescent="0.25">
      <c r="A37" s="2">
        <f t="shared" si="0"/>
        <v>27</v>
      </c>
      <c r="J37" s="2">
        <f t="shared" si="1"/>
        <v>27</v>
      </c>
    </row>
    <row r="38" spans="1:10" ht="18.75" x14ac:dyDescent="0.25">
      <c r="A38" s="2">
        <f t="shared" si="0"/>
        <v>28</v>
      </c>
      <c r="B38" s="39" t="s">
        <v>1122</v>
      </c>
      <c r="C38" s="2"/>
      <c r="E38" s="20">
        <f>'Stmt AV'!G156</f>
        <v>0</v>
      </c>
      <c r="F38" s="1"/>
      <c r="I38" s="2" t="s">
        <v>1010</v>
      </c>
      <c r="J38" s="2">
        <f t="shared" si="1"/>
        <v>28</v>
      </c>
    </row>
    <row r="39" spans="1:10" x14ac:dyDescent="0.25">
      <c r="A39" s="2">
        <f t="shared" si="0"/>
        <v>29</v>
      </c>
      <c r="C39" s="2"/>
      <c r="J39" s="2">
        <f t="shared" si="1"/>
        <v>29</v>
      </c>
    </row>
    <row r="40" spans="1:10" ht="19.5" thickBot="1" x14ac:dyDescent="0.3">
      <c r="A40" s="2">
        <f t="shared" si="0"/>
        <v>30</v>
      </c>
      <c r="B40" s="38" t="s">
        <v>1123</v>
      </c>
      <c r="C40" s="2"/>
      <c r="E40" s="79">
        <f>E36*E38</f>
        <v>0</v>
      </c>
      <c r="I40" s="2" t="s">
        <v>632</v>
      </c>
      <c r="J40" s="2">
        <f t="shared" si="1"/>
        <v>30</v>
      </c>
    </row>
    <row r="41" spans="1:10" ht="16.5" thickTop="1" x14ac:dyDescent="0.25">
      <c r="A41" s="2">
        <f t="shared" si="0"/>
        <v>31</v>
      </c>
      <c r="C41" s="203"/>
      <c r="D41" s="218"/>
      <c r="E41" s="488"/>
      <c r="F41" s="218"/>
      <c r="G41" s="218"/>
      <c r="H41" s="218"/>
      <c r="I41" s="203"/>
      <c r="J41" s="2">
        <f t="shared" si="1"/>
        <v>31</v>
      </c>
    </row>
    <row r="42" spans="1:10" ht="18.75" x14ac:dyDescent="0.25">
      <c r="A42" s="2">
        <f t="shared" si="0"/>
        <v>32</v>
      </c>
      <c r="B42" s="39" t="s">
        <v>1124</v>
      </c>
      <c r="C42" s="203"/>
      <c r="D42" s="218"/>
      <c r="E42" s="20">
        <f>'Stmt AV'!G196</f>
        <v>0</v>
      </c>
      <c r="I42" s="2" t="s">
        <v>1050</v>
      </c>
      <c r="J42" s="2">
        <f t="shared" si="1"/>
        <v>32</v>
      </c>
    </row>
    <row r="43" spans="1:10" x14ac:dyDescent="0.25">
      <c r="A43" s="2">
        <f t="shared" si="0"/>
        <v>33</v>
      </c>
      <c r="C43" s="203"/>
      <c r="D43" s="218"/>
      <c r="E43" s="76"/>
      <c r="I43" s="2"/>
      <c r="J43" s="2">
        <f t="shared" si="1"/>
        <v>33</v>
      </c>
    </row>
    <row r="44" spans="1:10" ht="19.5" thickBot="1" x14ac:dyDescent="0.3">
      <c r="A44" s="2">
        <f t="shared" si="0"/>
        <v>34</v>
      </c>
      <c r="B44" s="38" t="s">
        <v>1125</v>
      </c>
      <c r="C44" s="203"/>
      <c r="D44" s="218"/>
      <c r="E44" s="79">
        <f>E36*E42</f>
        <v>0</v>
      </c>
      <c r="I44" s="2" t="s">
        <v>765</v>
      </c>
      <c r="J44" s="2">
        <f t="shared" si="1"/>
        <v>34</v>
      </c>
    </row>
    <row r="45" spans="1:10" ht="16.5" thickTop="1" x14ac:dyDescent="0.25">
      <c r="C45" s="203"/>
      <c r="D45" s="218"/>
      <c r="E45" s="76"/>
      <c r="I45" s="2"/>
      <c r="J45" s="2"/>
    </row>
    <row r="46" spans="1:10" x14ac:dyDescent="0.25">
      <c r="C46" s="2"/>
    </row>
    <row r="47" spans="1:10" ht="18.75" x14ac:dyDescent="0.25">
      <c r="A47" s="174">
        <v>1</v>
      </c>
      <c r="B47" s="38" t="s">
        <v>88</v>
      </c>
      <c r="C47" s="2"/>
    </row>
    <row r="48" spans="1:10" ht="18.75" x14ac:dyDescent="0.25">
      <c r="A48" s="174">
        <v>2</v>
      </c>
      <c r="B48" s="38" t="s">
        <v>774</v>
      </c>
      <c r="C48" s="2"/>
    </row>
    <row r="49" spans="1:2" x14ac:dyDescent="0.25">
      <c r="A49" s="165"/>
      <c r="B49" s="1"/>
    </row>
  </sheetData>
  <mergeCells count="5">
    <mergeCell ref="B2:I2"/>
    <mergeCell ref="B3:I3"/>
    <mergeCell ref="B4:I4"/>
    <mergeCell ref="B5:I5"/>
    <mergeCell ref="B6:I6"/>
  </mergeCells>
  <printOptions horizontalCentered="1"/>
  <pageMargins left="0.5" right="0.5" top="0.5" bottom="0.5" header="0.25" footer="0.25"/>
  <pageSetup scale="49" orientation="portrait" r:id="rId1"/>
  <headerFooter scaleWithDoc="0">
    <oddFooter>&amp;C&amp;"Times New Roman,Regular"&amp;10&amp;A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heetViews>
  <sheetFormatPr defaultColWidth="8.7109375" defaultRowHeight="15.75" x14ac:dyDescent="0.25"/>
  <cols>
    <col min="1" max="1" width="5.28515625" style="2" customWidth="1"/>
    <col min="2" max="2" width="52.5703125" style="38" customWidth="1"/>
    <col min="3" max="3" width="21.28515625" style="38" customWidth="1"/>
    <col min="4" max="4" width="1.5703125" style="38" customWidth="1"/>
    <col min="5" max="5" width="16.7109375" style="38" customWidth="1"/>
    <col min="6" max="6" width="1.5703125" style="38" customWidth="1"/>
    <col min="7" max="7" width="34.5703125" style="38" customWidth="1"/>
    <col min="8" max="8" width="5.28515625" style="2" customWidth="1"/>
    <col min="9" max="16384" width="8.7109375" style="38"/>
  </cols>
  <sheetData>
    <row r="1" spans="1:8" x14ac:dyDescent="0.25">
      <c r="C1" s="2"/>
      <c r="D1" s="2"/>
    </row>
    <row r="2" spans="1:8" x14ac:dyDescent="0.25">
      <c r="B2" s="584" t="s">
        <v>16</v>
      </c>
      <c r="C2" s="592"/>
      <c r="D2" s="592"/>
      <c r="E2" s="592"/>
      <c r="F2" s="592"/>
      <c r="G2" s="592"/>
    </row>
    <row r="3" spans="1:8" x14ac:dyDescent="0.25">
      <c r="B3" s="584" t="s">
        <v>785</v>
      </c>
      <c r="C3" s="585"/>
      <c r="D3" s="585"/>
      <c r="E3" s="585"/>
      <c r="F3" s="585"/>
      <c r="G3" s="585"/>
    </row>
    <row r="4" spans="1:8" x14ac:dyDescent="0.25">
      <c r="B4" s="584" t="s">
        <v>89</v>
      </c>
      <c r="C4" s="585"/>
      <c r="D4" s="585"/>
      <c r="E4" s="585"/>
      <c r="F4" s="585"/>
      <c r="G4" s="585"/>
    </row>
    <row r="5" spans="1:8" x14ac:dyDescent="0.25">
      <c r="B5" s="586" t="str">
        <f>'Stmt AD'!B5</f>
        <v>Base Period &amp; True-Up Period 12 - Months Ending  December 31, xxxx</v>
      </c>
      <c r="C5" s="586"/>
      <c r="D5" s="587"/>
      <c r="E5" s="587"/>
      <c r="F5" s="587"/>
      <c r="G5" s="587"/>
    </row>
    <row r="6" spans="1:8" x14ac:dyDescent="0.25">
      <c r="B6" s="580" t="s">
        <v>1</v>
      </c>
      <c r="C6" s="585"/>
      <c r="D6" s="585"/>
      <c r="E6" s="585"/>
      <c r="F6" s="585"/>
      <c r="G6" s="585"/>
    </row>
    <row r="7" spans="1:8" x14ac:dyDescent="0.25">
      <c r="B7" s="2"/>
      <c r="C7" s="2"/>
      <c r="D7" s="2"/>
    </row>
    <row r="8" spans="1:8" x14ac:dyDescent="0.25">
      <c r="A8" s="2" t="s">
        <v>2</v>
      </c>
      <c r="B8" s="165"/>
      <c r="C8" s="2" t="s">
        <v>248</v>
      </c>
      <c r="D8" s="2"/>
      <c r="E8" s="2" t="s">
        <v>331</v>
      </c>
      <c r="F8" s="165"/>
      <c r="H8" s="2" t="s">
        <v>2</v>
      </c>
    </row>
    <row r="9" spans="1:8" x14ac:dyDescent="0.25">
      <c r="A9" s="2" t="s">
        <v>18</v>
      </c>
      <c r="B9" s="165"/>
      <c r="C9" s="42" t="s">
        <v>246</v>
      </c>
      <c r="D9" s="165"/>
      <c r="E9" s="189" t="s">
        <v>6</v>
      </c>
      <c r="F9" s="165"/>
      <c r="G9" s="42" t="s">
        <v>7</v>
      </c>
      <c r="H9" s="2" t="s">
        <v>18</v>
      </c>
    </row>
    <row r="10" spans="1:8" x14ac:dyDescent="0.25">
      <c r="C10" s="190"/>
      <c r="D10" s="190"/>
      <c r="E10" s="190"/>
      <c r="F10" s="190"/>
      <c r="G10" s="190"/>
    </row>
    <row r="11" spans="1:8" ht="19.5" thickBot="1" x14ac:dyDescent="0.3">
      <c r="A11" s="2">
        <v>1</v>
      </c>
      <c r="B11" s="38" t="s">
        <v>381</v>
      </c>
      <c r="C11" s="60"/>
      <c r="D11" s="51"/>
      <c r="E11" s="80">
        <v>0</v>
      </c>
      <c r="F11" s="51"/>
      <c r="G11" s="57" t="s">
        <v>622</v>
      </c>
      <c r="H11" s="2">
        <f>A11</f>
        <v>1</v>
      </c>
    </row>
    <row r="12" spans="1:8" ht="16.5" thickTop="1" x14ac:dyDescent="0.25">
      <c r="C12" s="2"/>
      <c r="D12" s="2"/>
    </row>
    <row r="13" spans="1:8" x14ac:dyDescent="0.25">
      <c r="C13" s="2"/>
      <c r="D13" s="2"/>
    </row>
    <row r="14" spans="1:8" ht="18.75" x14ac:dyDescent="0.25">
      <c r="A14" s="193">
        <v>1</v>
      </c>
      <c r="B14" s="38" t="s">
        <v>407</v>
      </c>
      <c r="C14" s="2"/>
      <c r="D14" s="2"/>
    </row>
    <row r="15" spans="1:8" ht="18.75" x14ac:dyDescent="0.25">
      <c r="A15" s="193"/>
      <c r="B15" s="38" t="s">
        <v>406</v>
      </c>
      <c r="C15" s="2"/>
      <c r="D15" s="2"/>
    </row>
    <row r="16" spans="1:8" x14ac:dyDescent="0.25">
      <c r="C16" s="2"/>
      <c r="D16" s="2"/>
    </row>
    <row r="17" spans="3:4" x14ac:dyDescent="0.25">
      <c r="C17" s="2"/>
      <c r="D17" s="2"/>
    </row>
    <row r="18" spans="3:4" x14ac:dyDescent="0.25">
      <c r="C18" s="2"/>
      <c r="D18" s="2"/>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heetViews>
  <sheetFormatPr defaultColWidth="8.7109375" defaultRowHeight="15.75" x14ac:dyDescent="0.25"/>
  <cols>
    <col min="1" max="1" width="5.28515625" style="38" customWidth="1"/>
    <col min="2" max="2" width="55.28515625" style="38" customWidth="1"/>
    <col min="3" max="3" width="24" style="38" customWidth="1"/>
    <col min="4" max="4" width="1.5703125" style="38" customWidth="1"/>
    <col min="5" max="5" width="16.7109375" style="38" customWidth="1"/>
    <col min="6" max="6" width="1.5703125" style="38" customWidth="1"/>
    <col min="7" max="7" width="34.5703125" style="38" customWidth="1"/>
    <col min="8" max="8" width="5.28515625" style="38" customWidth="1"/>
    <col min="9" max="16384" width="8.7109375" style="38"/>
  </cols>
  <sheetData>
    <row r="1" spans="1:8" x14ac:dyDescent="0.25">
      <c r="A1" s="2"/>
      <c r="E1" s="70"/>
      <c r="F1" s="70"/>
      <c r="G1" s="2"/>
      <c r="H1" s="2"/>
    </row>
    <row r="2" spans="1:8" x14ac:dyDescent="0.25">
      <c r="A2" s="2"/>
      <c r="B2" s="584" t="s">
        <v>16</v>
      </c>
      <c r="C2" s="584"/>
      <c r="D2" s="584"/>
      <c r="E2" s="584"/>
      <c r="F2" s="584"/>
      <c r="G2" s="584"/>
      <c r="H2" s="2"/>
    </row>
    <row r="3" spans="1:8" x14ac:dyDescent="0.25">
      <c r="A3" s="2"/>
      <c r="B3" s="584" t="s">
        <v>786</v>
      </c>
      <c r="C3" s="584"/>
      <c r="D3" s="584"/>
      <c r="E3" s="584"/>
      <c r="F3" s="584"/>
      <c r="G3" s="584"/>
      <c r="H3" s="2"/>
    </row>
    <row r="4" spans="1:8" x14ac:dyDescent="0.25">
      <c r="A4" s="2"/>
      <c r="B4" s="584" t="s">
        <v>90</v>
      </c>
      <c r="C4" s="584"/>
      <c r="D4" s="584"/>
      <c r="E4" s="584"/>
      <c r="F4" s="584"/>
      <c r="G4" s="584"/>
      <c r="H4" s="2"/>
    </row>
    <row r="5" spans="1:8" x14ac:dyDescent="0.25">
      <c r="A5" s="2"/>
      <c r="B5" s="586" t="str">
        <f>'Stmt AD'!B5</f>
        <v>Base Period &amp; True-Up Period 12 - Months Ending  December 31, xxxx</v>
      </c>
      <c r="C5" s="586"/>
      <c r="D5" s="586"/>
      <c r="E5" s="586"/>
      <c r="F5" s="586"/>
      <c r="G5" s="586"/>
      <c r="H5" s="2"/>
    </row>
    <row r="6" spans="1:8" x14ac:dyDescent="0.25">
      <c r="A6" s="2"/>
      <c r="B6" s="580" t="s">
        <v>1</v>
      </c>
      <c r="C6" s="581"/>
      <c r="D6" s="581"/>
      <c r="E6" s="581"/>
      <c r="F6" s="581"/>
      <c r="G6" s="581"/>
      <c r="H6" s="2"/>
    </row>
    <row r="7" spans="1:8" x14ac:dyDescent="0.25">
      <c r="A7" s="2"/>
      <c r="B7" s="2"/>
      <c r="C7" s="2"/>
      <c r="D7" s="2"/>
      <c r="E7" s="2"/>
      <c r="F7" s="2"/>
      <c r="G7" s="2"/>
      <c r="H7" s="2"/>
    </row>
    <row r="8" spans="1:8" x14ac:dyDescent="0.25">
      <c r="A8" s="2" t="s">
        <v>2</v>
      </c>
      <c r="B8" s="2"/>
      <c r="C8" s="2" t="s">
        <v>248</v>
      </c>
      <c r="D8" s="2"/>
      <c r="E8" s="2"/>
      <c r="F8" s="2"/>
      <c r="G8" s="2"/>
      <c r="H8" s="2" t="s">
        <v>2</v>
      </c>
    </row>
    <row r="9" spans="1:8" x14ac:dyDescent="0.25">
      <c r="A9" s="2" t="s">
        <v>18</v>
      </c>
      <c r="C9" s="42" t="s">
        <v>246</v>
      </c>
      <c r="E9" s="42" t="s">
        <v>37</v>
      </c>
      <c r="F9" s="70"/>
      <c r="G9" s="42" t="s">
        <v>7</v>
      </c>
      <c r="H9" s="2" t="s">
        <v>18</v>
      </c>
    </row>
    <row r="10" spans="1:8" x14ac:dyDescent="0.25">
      <c r="A10" s="2"/>
      <c r="E10" s="70"/>
      <c r="F10" s="70"/>
      <c r="G10" s="2"/>
      <c r="H10" s="2"/>
    </row>
    <row r="11" spans="1:8" x14ac:dyDescent="0.25">
      <c r="A11" s="2">
        <f>+A10+1</f>
        <v>1</v>
      </c>
      <c r="B11" s="38" t="s">
        <v>91</v>
      </c>
      <c r="C11" s="2" t="s">
        <v>529</v>
      </c>
      <c r="E11" s="323">
        <v>0</v>
      </c>
      <c r="F11" s="70"/>
      <c r="G11" s="217"/>
      <c r="H11" s="2">
        <f>A11</f>
        <v>1</v>
      </c>
    </row>
    <row r="12" spans="1:8" x14ac:dyDescent="0.25">
      <c r="A12" s="2">
        <f>+A11+1</f>
        <v>2</v>
      </c>
      <c r="E12" s="70"/>
      <c r="F12" s="70"/>
      <c r="G12" s="2"/>
      <c r="H12" s="2">
        <f>+H11+1</f>
        <v>2</v>
      </c>
    </row>
    <row r="13" spans="1:8" ht="16.5" thickBot="1" x14ac:dyDescent="0.3">
      <c r="A13" s="2">
        <f>+A12+1</f>
        <v>3</v>
      </c>
      <c r="B13" s="38" t="s">
        <v>423</v>
      </c>
      <c r="E13" s="47">
        <f>E11</f>
        <v>0</v>
      </c>
      <c r="F13" s="43"/>
      <c r="G13" s="2" t="s">
        <v>807</v>
      </c>
      <c r="H13" s="2">
        <f>+H12+1</f>
        <v>3</v>
      </c>
    </row>
    <row r="14" spans="1:8" ht="16.5" thickTop="1" x14ac:dyDescent="0.25"/>
    <row r="18" spans="2:2" x14ac:dyDescent="0.25">
      <c r="B18" s="45"/>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heetViews>
  <sheetFormatPr defaultColWidth="8.7109375" defaultRowHeight="15.75" x14ac:dyDescent="0.25"/>
  <cols>
    <col min="1" max="1" width="5.28515625" style="2" bestFit="1" customWidth="1"/>
    <col min="2" max="2" width="68.7109375" style="38" customWidth="1"/>
    <col min="3" max="3" width="24" style="38" customWidth="1"/>
    <col min="4" max="4" width="1.5703125" style="38" customWidth="1"/>
    <col min="5" max="5" width="16.7109375" style="38" customWidth="1"/>
    <col min="6" max="6" width="1.5703125" style="38" customWidth="1"/>
    <col min="7" max="7" width="34.5703125" style="38" customWidth="1"/>
    <col min="8" max="8" width="5.28515625" style="38" customWidth="1"/>
    <col min="9" max="9" width="8.7109375" style="38"/>
    <col min="10" max="10" width="20.42578125" style="38" bestFit="1" customWidth="1"/>
    <col min="11" max="16384" width="8.7109375" style="38"/>
  </cols>
  <sheetData>
    <row r="1" spans="1:8" x14ac:dyDescent="0.25">
      <c r="E1" s="70"/>
      <c r="F1" s="70"/>
      <c r="G1" s="2"/>
      <c r="H1" s="2"/>
    </row>
    <row r="2" spans="1:8" x14ac:dyDescent="0.25">
      <c r="B2" s="584" t="s">
        <v>16</v>
      </c>
      <c r="C2" s="584"/>
      <c r="D2" s="584"/>
      <c r="E2" s="584"/>
      <c r="F2" s="584"/>
      <c r="G2" s="584"/>
      <c r="H2" s="2"/>
    </row>
    <row r="3" spans="1:8" x14ac:dyDescent="0.25">
      <c r="B3" s="584" t="s">
        <v>787</v>
      </c>
      <c r="C3" s="584"/>
      <c r="D3" s="584"/>
      <c r="E3" s="584"/>
      <c r="F3" s="584"/>
      <c r="G3" s="584"/>
      <c r="H3" s="2"/>
    </row>
    <row r="4" spans="1:8" x14ac:dyDescent="0.25">
      <c r="B4" s="584" t="s">
        <v>92</v>
      </c>
      <c r="C4" s="584"/>
      <c r="D4" s="584"/>
      <c r="E4" s="584"/>
      <c r="F4" s="584"/>
      <c r="G4" s="584"/>
      <c r="H4" s="2"/>
    </row>
    <row r="5" spans="1:8" x14ac:dyDescent="0.25">
      <c r="B5" s="586" t="str">
        <f>'Stmt AD'!B5</f>
        <v>Base Period &amp; True-Up Period 12 - Months Ending  December 31, xxxx</v>
      </c>
      <c r="C5" s="586"/>
      <c r="D5" s="586"/>
      <c r="E5" s="586"/>
      <c r="F5" s="586"/>
      <c r="G5" s="586"/>
      <c r="H5" s="2"/>
    </row>
    <row r="6" spans="1:8" x14ac:dyDescent="0.25">
      <c r="B6" s="580" t="s">
        <v>1</v>
      </c>
      <c r="C6" s="581"/>
      <c r="D6" s="581"/>
      <c r="E6" s="581"/>
      <c r="F6" s="581"/>
      <c r="G6" s="581"/>
      <c r="H6" s="2"/>
    </row>
    <row r="7" spans="1:8" x14ac:dyDescent="0.25">
      <c r="B7" s="2"/>
      <c r="C7" s="2"/>
      <c r="D7" s="2"/>
      <c r="E7" s="2"/>
      <c r="F7" s="2"/>
      <c r="G7" s="2"/>
      <c r="H7" s="2"/>
    </row>
    <row r="8" spans="1:8" x14ac:dyDescent="0.25">
      <c r="A8" s="2" t="s">
        <v>2</v>
      </c>
      <c r="C8" s="2" t="s">
        <v>248</v>
      </c>
      <c r="E8" s="2"/>
      <c r="F8" s="2"/>
      <c r="G8" s="2"/>
      <c r="H8" s="2" t="s">
        <v>2</v>
      </c>
    </row>
    <row r="9" spans="1:8" x14ac:dyDescent="0.25">
      <c r="A9" s="2" t="s">
        <v>18</v>
      </c>
      <c r="B9" s="38" t="s">
        <v>8</v>
      </c>
      <c r="C9" s="42" t="s">
        <v>246</v>
      </c>
      <c r="E9" s="42" t="s">
        <v>37</v>
      </c>
      <c r="F9" s="314"/>
      <c r="G9" s="42" t="s">
        <v>7</v>
      </c>
      <c r="H9" s="2" t="s">
        <v>18</v>
      </c>
    </row>
    <row r="10" spans="1:8" x14ac:dyDescent="0.25">
      <c r="E10" s="70"/>
      <c r="F10" s="70"/>
      <c r="G10" s="2"/>
      <c r="H10" s="2"/>
    </row>
    <row r="11" spans="1:8" ht="18.75" x14ac:dyDescent="0.25">
      <c r="A11" s="2">
        <f>+A10+1</f>
        <v>1</v>
      </c>
      <c r="B11" s="38" t="s">
        <v>816</v>
      </c>
      <c r="C11" s="2" t="s">
        <v>269</v>
      </c>
      <c r="E11" s="82">
        <v>0</v>
      </c>
      <c r="F11" s="314"/>
      <c r="G11" s="314"/>
      <c r="H11" s="2">
        <f>A11</f>
        <v>1</v>
      </c>
    </row>
    <row r="12" spans="1:8" x14ac:dyDescent="0.25">
      <c r="A12" s="2">
        <f>+A11+1</f>
        <v>2</v>
      </c>
      <c r="E12" s="70"/>
      <c r="F12" s="70"/>
      <c r="G12" s="314"/>
      <c r="H12" s="2">
        <f>+H11+1</f>
        <v>2</v>
      </c>
    </row>
    <row r="13" spans="1:8" x14ac:dyDescent="0.25">
      <c r="A13" s="2">
        <f>+A12+1</f>
        <v>3</v>
      </c>
      <c r="B13" s="38" t="s">
        <v>881</v>
      </c>
      <c r="E13" s="70"/>
      <c r="F13" s="314"/>
      <c r="G13" s="314"/>
      <c r="H13" s="2">
        <f>+H12+1</f>
        <v>3</v>
      </c>
    </row>
    <row r="14" spans="1:8" x14ac:dyDescent="0.25">
      <c r="A14" s="2">
        <f t="shared" ref="A14:A19" si="0">+A13+1</f>
        <v>4</v>
      </c>
      <c r="B14" s="39" t="s">
        <v>437</v>
      </c>
      <c r="C14" s="2"/>
      <c r="E14" s="52">
        <f>'AR-1'!G18</f>
        <v>0</v>
      </c>
      <c r="F14" s="314"/>
      <c r="G14" s="2" t="s">
        <v>726</v>
      </c>
      <c r="H14" s="2">
        <f t="shared" ref="H14:H19" si="1">+H13+1</f>
        <v>4</v>
      </c>
    </row>
    <row r="15" spans="1:8" x14ac:dyDescent="0.25">
      <c r="A15" s="2">
        <f t="shared" si="0"/>
        <v>5</v>
      </c>
      <c r="B15" s="39" t="s">
        <v>438</v>
      </c>
      <c r="C15" s="2"/>
      <c r="E15" s="52">
        <f>'AR-1'!G25</f>
        <v>0</v>
      </c>
      <c r="F15" s="314"/>
      <c r="G15" s="2" t="s">
        <v>727</v>
      </c>
      <c r="H15" s="2">
        <f t="shared" si="1"/>
        <v>5</v>
      </c>
    </row>
    <row r="16" spans="1:8" x14ac:dyDescent="0.25">
      <c r="A16" s="2">
        <f t="shared" si="0"/>
        <v>6</v>
      </c>
      <c r="B16" s="39" t="s">
        <v>439</v>
      </c>
      <c r="C16" s="2"/>
      <c r="E16" s="168">
        <f>'AR-1'!G33</f>
        <v>0</v>
      </c>
      <c r="F16" s="314"/>
      <c r="G16" s="2" t="s">
        <v>728</v>
      </c>
      <c r="H16" s="2">
        <f t="shared" si="1"/>
        <v>6</v>
      </c>
    </row>
    <row r="17" spans="1:8" x14ac:dyDescent="0.25">
      <c r="A17" s="2">
        <f t="shared" si="0"/>
        <v>7</v>
      </c>
      <c r="B17" s="39" t="s">
        <v>880</v>
      </c>
      <c r="C17" s="2"/>
      <c r="E17" s="309">
        <f>SUM(E14:E16)</f>
        <v>0</v>
      </c>
      <c r="F17" s="314"/>
      <c r="G17" s="2" t="s">
        <v>621</v>
      </c>
      <c r="H17" s="2">
        <f t="shared" si="1"/>
        <v>7</v>
      </c>
    </row>
    <row r="18" spans="1:8" x14ac:dyDescent="0.25">
      <c r="A18" s="2">
        <f t="shared" si="0"/>
        <v>8</v>
      </c>
      <c r="E18" s="4"/>
      <c r="F18" s="4"/>
      <c r="G18" s="55"/>
      <c r="H18" s="2">
        <f t="shared" si="1"/>
        <v>8</v>
      </c>
    </row>
    <row r="19" spans="1:8" ht="16.5" thickBot="1" x14ac:dyDescent="0.3">
      <c r="A19" s="2">
        <f t="shared" si="0"/>
        <v>9</v>
      </c>
      <c r="B19" s="38" t="s">
        <v>810</v>
      </c>
      <c r="E19" s="47">
        <f>E11+E17</f>
        <v>0</v>
      </c>
      <c r="F19" s="43"/>
      <c r="G19" s="2" t="s">
        <v>809</v>
      </c>
      <c r="H19" s="2">
        <f t="shared" si="1"/>
        <v>9</v>
      </c>
    </row>
    <row r="20" spans="1:8" ht="16.5" thickTop="1" x14ac:dyDescent="0.25">
      <c r="E20" s="43"/>
      <c r="F20" s="43"/>
      <c r="G20" s="2"/>
      <c r="H20" s="2"/>
    </row>
    <row r="21" spans="1:8" x14ac:dyDescent="0.25">
      <c r="H21" s="2"/>
    </row>
    <row r="22" spans="1:8" ht="18.75" x14ac:dyDescent="0.25">
      <c r="A22" s="174">
        <v>1</v>
      </c>
      <c r="B22" s="38" t="s">
        <v>817</v>
      </c>
      <c r="H22" s="2"/>
    </row>
    <row r="23" spans="1:8" ht="18.75" x14ac:dyDescent="0.25">
      <c r="A23" s="193"/>
      <c r="B23" s="39"/>
      <c r="H23" s="2"/>
    </row>
    <row r="24" spans="1:8" x14ac:dyDescent="0.25">
      <c r="B24" s="39"/>
      <c r="H24" s="2"/>
    </row>
    <row r="25" spans="1:8" x14ac:dyDescent="0.25">
      <c r="B25" s="371"/>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1:L41"/>
  <sheetViews>
    <sheetView zoomScale="80" zoomScaleNormal="80" workbookViewId="0"/>
  </sheetViews>
  <sheetFormatPr defaultColWidth="8.5703125" defaultRowHeight="15.75" x14ac:dyDescent="0.25"/>
  <cols>
    <col min="1" max="1" width="5.42578125" style="2" customWidth="1"/>
    <col min="2" max="2" width="50.7109375" style="38" customWidth="1"/>
    <col min="3" max="3" width="21.7109375" style="38" customWidth="1"/>
    <col min="4" max="4" width="1.5703125" style="38" customWidth="1"/>
    <col min="5" max="5" width="21" style="38" customWidth="1"/>
    <col min="6" max="6" width="1.5703125" style="38" customWidth="1"/>
    <col min="7" max="7" width="23.42578125" style="38" bestFit="1" customWidth="1"/>
    <col min="8" max="8" width="62.5703125" style="38" customWidth="1"/>
    <col min="9" max="9" width="5.42578125" style="2" customWidth="1"/>
    <col min="10" max="16384" width="8.5703125" style="38"/>
  </cols>
  <sheetData>
    <row r="1" spans="1:12" x14ac:dyDescent="0.25">
      <c r="A1" s="314"/>
    </row>
    <row r="2" spans="1:12" x14ac:dyDescent="0.25">
      <c r="B2" s="584" t="s">
        <v>16</v>
      </c>
      <c r="C2" s="584"/>
      <c r="D2" s="584"/>
      <c r="E2" s="584"/>
      <c r="F2" s="584"/>
      <c r="G2" s="584"/>
      <c r="H2" s="584"/>
    </row>
    <row r="3" spans="1:12" x14ac:dyDescent="0.25">
      <c r="B3" s="584" t="s">
        <v>724</v>
      </c>
      <c r="C3" s="584"/>
      <c r="D3" s="584"/>
      <c r="E3" s="584"/>
      <c r="F3" s="584"/>
      <c r="G3" s="584"/>
      <c r="H3" s="584"/>
    </row>
    <row r="4" spans="1:12" x14ac:dyDescent="0.25">
      <c r="B4" s="584" t="s">
        <v>882</v>
      </c>
      <c r="C4" s="584"/>
      <c r="D4" s="584"/>
      <c r="E4" s="584"/>
      <c r="F4" s="584"/>
      <c r="G4" s="584"/>
      <c r="H4" s="584"/>
    </row>
    <row r="5" spans="1:12" x14ac:dyDescent="0.25">
      <c r="B5" s="584" t="s">
        <v>1141</v>
      </c>
      <c r="C5" s="584"/>
      <c r="D5" s="584"/>
      <c r="E5" s="584"/>
      <c r="F5" s="584"/>
      <c r="G5" s="584"/>
      <c r="H5" s="584"/>
    </row>
    <row r="6" spans="1:12" ht="15.6" customHeight="1" x14ac:dyDescent="0.25">
      <c r="B6" s="580" t="s">
        <v>1</v>
      </c>
      <c r="C6" s="580"/>
      <c r="D6" s="580"/>
      <c r="E6" s="580"/>
      <c r="F6" s="580"/>
      <c r="G6" s="580"/>
      <c r="H6" s="580"/>
    </row>
    <row r="8" spans="1:12" x14ac:dyDescent="0.25">
      <c r="B8" s="1"/>
      <c r="C8" s="188" t="s">
        <v>3</v>
      </c>
      <c r="D8" s="188"/>
      <c r="E8" s="188" t="s">
        <v>4</v>
      </c>
      <c r="F8" s="188"/>
      <c r="G8" s="188" t="s">
        <v>725</v>
      </c>
      <c r="H8" s="188"/>
      <c r="L8" s="469"/>
    </row>
    <row r="9" spans="1:12" ht="37.5" x14ac:dyDescent="0.25">
      <c r="A9" s="2" t="s">
        <v>2</v>
      </c>
      <c r="B9" s="1"/>
      <c r="C9" s="475" t="s">
        <v>979</v>
      </c>
      <c r="D9" s="188"/>
      <c r="E9" s="476" t="s">
        <v>980</v>
      </c>
      <c r="F9" s="188"/>
      <c r="G9" s="188"/>
      <c r="H9" s="188"/>
      <c r="I9" s="2" t="s">
        <v>2</v>
      </c>
      <c r="L9" s="474"/>
    </row>
    <row r="10" spans="1:12" x14ac:dyDescent="0.25">
      <c r="A10" s="2" t="s">
        <v>18</v>
      </c>
      <c r="B10" s="213" t="s">
        <v>22</v>
      </c>
      <c r="C10" s="477" t="s">
        <v>884</v>
      </c>
      <c r="D10" s="374"/>
      <c r="E10" s="477" t="s">
        <v>883</v>
      </c>
      <c r="F10" s="287"/>
      <c r="G10" s="213" t="s">
        <v>20</v>
      </c>
      <c r="H10" s="213" t="s">
        <v>7</v>
      </c>
      <c r="I10" s="2" t="s">
        <v>18</v>
      </c>
    </row>
    <row r="11" spans="1:12" x14ac:dyDescent="0.25">
      <c r="B11" s="1"/>
      <c r="C11" s="204"/>
      <c r="D11" s="204"/>
      <c r="E11" s="204"/>
      <c r="F11" s="204"/>
      <c r="G11" s="175"/>
      <c r="H11" s="175"/>
    </row>
    <row r="12" spans="1:12" x14ac:dyDescent="0.25">
      <c r="A12" s="2">
        <v>1</v>
      </c>
      <c r="B12" s="39" t="s">
        <v>252</v>
      </c>
      <c r="C12" s="90"/>
      <c r="D12" s="90"/>
      <c r="E12" s="90"/>
      <c r="F12" s="90"/>
      <c r="G12" s="175"/>
      <c r="H12" s="175"/>
      <c r="I12" s="2">
        <f>A12</f>
        <v>1</v>
      </c>
    </row>
    <row r="13" spans="1:12" x14ac:dyDescent="0.25">
      <c r="A13" s="2">
        <f t="shared" ref="A13:A18" si="0">A12+1</f>
        <v>2</v>
      </c>
      <c r="B13" s="39" t="s">
        <v>965</v>
      </c>
      <c r="C13" s="43">
        <f>-SUM('Order 864-3'!I15:I16)</f>
        <v>0</v>
      </c>
      <c r="D13" s="43"/>
      <c r="E13" s="43">
        <f>-SUM('Order 864-3'!H15:H17,'Order 864-3'!H19)</f>
        <v>0</v>
      </c>
      <c r="F13" s="88"/>
      <c r="G13" s="43">
        <f>SUM(C13:E13)</f>
        <v>0</v>
      </c>
      <c r="H13" s="315" t="s">
        <v>247</v>
      </c>
      <c r="I13" s="2">
        <f t="shared" ref="I13:I18" si="1">I12+1</f>
        <v>2</v>
      </c>
    </row>
    <row r="14" spans="1:12" x14ac:dyDescent="0.25">
      <c r="A14" s="2">
        <f t="shared" si="0"/>
        <v>3</v>
      </c>
      <c r="B14" s="39" t="s">
        <v>964</v>
      </c>
      <c r="C14" s="4">
        <f>-'Order 864-3'!I27</f>
        <v>0</v>
      </c>
      <c r="D14" s="4"/>
      <c r="E14" s="4">
        <f>-SUM('Order 864-3'!H27,'Order 864-3'!F27)</f>
        <v>0</v>
      </c>
      <c r="F14" s="4"/>
      <c r="G14" s="4">
        <f>SUM(C14:E14)</f>
        <v>0</v>
      </c>
      <c r="H14" s="315" t="s">
        <v>247</v>
      </c>
      <c r="I14" s="2">
        <f t="shared" si="1"/>
        <v>3</v>
      </c>
    </row>
    <row r="15" spans="1:12" x14ac:dyDescent="0.25">
      <c r="A15" s="2">
        <f t="shared" si="0"/>
        <v>4</v>
      </c>
      <c r="B15" s="454"/>
      <c r="C15" s="4">
        <v>0</v>
      </c>
      <c r="D15" s="4"/>
      <c r="E15" s="4">
        <v>0</v>
      </c>
      <c r="F15" s="4"/>
      <c r="G15" s="4">
        <f>SUM(C15:E15)</f>
        <v>0</v>
      </c>
      <c r="H15" s="455"/>
      <c r="I15" s="2">
        <f t="shared" si="1"/>
        <v>4</v>
      </c>
    </row>
    <row r="16" spans="1:12" x14ac:dyDescent="0.25">
      <c r="A16" s="2">
        <f t="shared" si="0"/>
        <v>5</v>
      </c>
      <c r="B16" s="39"/>
      <c r="C16" s="4">
        <v>0</v>
      </c>
      <c r="D16" s="4"/>
      <c r="E16" s="4">
        <v>0</v>
      </c>
      <c r="F16" s="4"/>
      <c r="G16" s="4">
        <f>SUM(C16:E16)</f>
        <v>0</v>
      </c>
      <c r="H16" s="4"/>
      <c r="I16" s="2">
        <f t="shared" si="1"/>
        <v>5</v>
      </c>
    </row>
    <row r="17" spans="1:9" x14ac:dyDescent="0.25">
      <c r="A17" s="2">
        <f t="shared" si="0"/>
        <v>6</v>
      </c>
      <c r="C17" s="4">
        <v>0</v>
      </c>
      <c r="D17" s="4"/>
      <c r="E17" s="4">
        <v>0</v>
      </c>
      <c r="F17" s="4"/>
      <c r="G17" s="4">
        <f>SUM(C17:E17)</f>
        <v>0</v>
      </c>
      <c r="H17" s="4"/>
      <c r="I17" s="2">
        <f t="shared" si="1"/>
        <v>6</v>
      </c>
    </row>
    <row r="18" spans="1:9" ht="19.5" thickBot="1" x14ac:dyDescent="0.3">
      <c r="A18" s="2">
        <f t="shared" si="0"/>
        <v>7</v>
      </c>
      <c r="B18" s="205" t="s">
        <v>1025</v>
      </c>
      <c r="C18" s="89">
        <f>SUM(C13:C17)</f>
        <v>0</v>
      </c>
      <c r="D18" s="53"/>
      <c r="E18" s="89">
        <f>SUM(E13:E17)</f>
        <v>0</v>
      </c>
      <c r="F18" s="4"/>
      <c r="G18" s="89">
        <f>SUM(G13:G17)</f>
        <v>0</v>
      </c>
      <c r="H18" s="55" t="s">
        <v>574</v>
      </c>
      <c r="I18" s="2">
        <f t="shared" si="1"/>
        <v>7</v>
      </c>
    </row>
    <row r="19" spans="1:9" ht="16.5" thickTop="1" x14ac:dyDescent="0.25">
      <c r="A19" s="2">
        <f t="shared" ref="A19:A35" si="2">A18+1</f>
        <v>8</v>
      </c>
      <c r="C19" s="83"/>
      <c r="D19" s="83"/>
      <c r="E19" s="83"/>
      <c r="F19" s="83"/>
      <c r="G19" s="83"/>
      <c r="H19" s="83"/>
      <c r="I19" s="2">
        <f t="shared" ref="I19:I35" si="3">I18+1</f>
        <v>8</v>
      </c>
    </row>
    <row r="20" spans="1:9" x14ac:dyDescent="0.25">
      <c r="A20" s="2">
        <f t="shared" si="2"/>
        <v>9</v>
      </c>
      <c r="B20" s="39" t="s">
        <v>253</v>
      </c>
      <c r="C20" s="90"/>
      <c r="D20" s="90"/>
      <c r="E20" s="90"/>
      <c r="F20" s="90"/>
      <c r="G20" s="175"/>
      <c r="H20" s="175"/>
      <c r="I20" s="2">
        <f t="shared" si="3"/>
        <v>9</v>
      </c>
    </row>
    <row r="21" spans="1:9" x14ac:dyDescent="0.25">
      <c r="A21" s="2">
        <f t="shared" si="2"/>
        <v>10</v>
      </c>
      <c r="B21" s="369" t="s">
        <v>964</v>
      </c>
      <c r="C21" s="43">
        <f>-SUM('Order 864-3'!I29:I31,'Order 864-3'!I38,'Order 864-3'!I41)</f>
        <v>0</v>
      </c>
      <c r="D21" s="43"/>
      <c r="E21" s="43">
        <f>-SUM('Order 864-3'!H29:H31,'Order 864-3'!H38,'Order 864-3'!H41)</f>
        <v>0</v>
      </c>
      <c r="F21" s="43"/>
      <c r="G21" s="43">
        <f>SUM(C21:E21)</f>
        <v>0</v>
      </c>
      <c r="H21" s="560" t="s">
        <v>1142</v>
      </c>
      <c r="I21" s="2">
        <f t="shared" si="3"/>
        <v>10</v>
      </c>
    </row>
    <row r="22" spans="1:9" x14ac:dyDescent="0.25">
      <c r="A22" s="2">
        <f t="shared" si="2"/>
        <v>11</v>
      </c>
      <c r="C22" s="4">
        <v>0</v>
      </c>
      <c r="D22" s="4"/>
      <c r="E22" s="4">
        <v>0</v>
      </c>
      <c r="F22" s="4"/>
      <c r="G22" s="4">
        <f>SUM(C22:E22)</f>
        <v>0</v>
      </c>
      <c r="H22" s="4"/>
      <c r="I22" s="2">
        <f t="shared" si="3"/>
        <v>11</v>
      </c>
    </row>
    <row r="23" spans="1:9" x14ac:dyDescent="0.25">
      <c r="A23" s="2">
        <f t="shared" si="2"/>
        <v>12</v>
      </c>
      <c r="C23" s="4">
        <v>0</v>
      </c>
      <c r="D23" s="4"/>
      <c r="E23" s="4">
        <v>0</v>
      </c>
      <c r="F23" s="4"/>
      <c r="G23" s="4">
        <f>SUM(C23:E23)</f>
        <v>0</v>
      </c>
      <c r="H23" s="4"/>
      <c r="I23" s="2">
        <f t="shared" si="3"/>
        <v>12</v>
      </c>
    </row>
    <row r="24" spans="1:9" x14ac:dyDescent="0.25">
      <c r="A24" s="2">
        <f t="shared" si="2"/>
        <v>13</v>
      </c>
      <c r="C24" s="4">
        <v>0</v>
      </c>
      <c r="D24" s="4"/>
      <c r="E24" s="4">
        <v>0</v>
      </c>
      <c r="F24" s="4"/>
      <c r="G24" s="4">
        <f>SUM(C24:E24)</f>
        <v>0</v>
      </c>
      <c r="H24" s="4"/>
      <c r="I24" s="2">
        <f t="shared" si="3"/>
        <v>13</v>
      </c>
    </row>
    <row r="25" spans="1:9" ht="16.5" thickBot="1" x14ac:dyDescent="0.3">
      <c r="A25" s="2">
        <f t="shared" si="2"/>
        <v>14</v>
      </c>
      <c r="B25" s="205" t="s">
        <v>418</v>
      </c>
      <c r="C25" s="89">
        <f>SUM(C21:C24)</f>
        <v>0</v>
      </c>
      <c r="D25" s="53"/>
      <c r="E25" s="89">
        <f>SUM(E21:E24)</f>
        <v>0</v>
      </c>
      <c r="F25" s="4"/>
      <c r="G25" s="89">
        <f>SUM(G21:G24)</f>
        <v>0</v>
      </c>
      <c r="H25" s="55" t="s">
        <v>715</v>
      </c>
      <c r="I25" s="2">
        <f t="shared" si="3"/>
        <v>14</v>
      </c>
    </row>
    <row r="26" spans="1:9" ht="16.5" thickTop="1" x14ac:dyDescent="0.25">
      <c r="A26" s="2">
        <f t="shared" si="2"/>
        <v>15</v>
      </c>
      <c r="I26" s="2">
        <f t="shared" si="3"/>
        <v>15</v>
      </c>
    </row>
    <row r="27" spans="1:9" x14ac:dyDescent="0.25">
      <c r="A27" s="2">
        <f t="shared" si="2"/>
        <v>16</v>
      </c>
      <c r="B27" s="39" t="s">
        <v>254</v>
      </c>
      <c r="C27" s="90"/>
      <c r="D27" s="90"/>
      <c r="E27" s="90"/>
      <c r="F27" s="90"/>
      <c r="G27" s="175"/>
      <c r="H27" s="2"/>
      <c r="I27" s="2">
        <f t="shared" si="3"/>
        <v>16</v>
      </c>
    </row>
    <row r="28" spans="1:9" x14ac:dyDescent="0.25">
      <c r="A28" s="2">
        <f t="shared" si="2"/>
        <v>17</v>
      </c>
      <c r="B28" s="39" t="s">
        <v>965</v>
      </c>
      <c r="C28" s="43">
        <f>-SUM('Order 864-3'!I21:I22)</f>
        <v>0</v>
      </c>
      <c r="D28" s="43"/>
      <c r="E28" s="43">
        <f>-SUM('Order 864-3'!H21:H22)</f>
        <v>0</v>
      </c>
      <c r="F28" s="88"/>
      <c r="G28" s="43">
        <f>SUM(C28:E28)</f>
        <v>0</v>
      </c>
      <c r="H28" s="315" t="s">
        <v>247</v>
      </c>
      <c r="I28" s="2">
        <f t="shared" si="3"/>
        <v>17</v>
      </c>
    </row>
    <row r="29" spans="1:9" x14ac:dyDescent="0.25">
      <c r="A29" s="2">
        <f t="shared" si="2"/>
        <v>18</v>
      </c>
      <c r="B29" s="39"/>
      <c r="C29" s="4">
        <v>0</v>
      </c>
      <c r="D29" s="4"/>
      <c r="E29" s="4">
        <v>0</v>
      </c>
      <c r="F29" s="4"/>
      <c r="G29" s="4">
        <f>SUM(C29:E29)</f>
        <v>0</v>
      </c>
      <c r="H29" s="2"/>
      <c r="I29" s="2">
        <f t="shared" si="3"/>
        <v>18</v>
      </c>
    </row>
    <row r="30" spans="1:9" x14ac:dyDescent="0.25">
      <c r="A30" s="2">
        <f t="shared" si="2"/>
        <v>19</v>
      </c>
      <c r="B30" s="39"/>
      <c r="C30" s="4">
        <v>0</v>
      </c>
      <c r="D30" s="4"/>
      <c r="E30" s="4">
        <v>0</v>
      </c>
      <c r="F30" s="4"/>
      <c r="G30" s="4">
        <f>SUM(C30:E30)</f>
        <v>0</v>
      </c>
      <c r="H30" s="4"/>
      <c r="I30" s="2">
        <f t="shared" si="3"/>
        <v>19</v>
      </c>
    </row>
    <row r="31" spans="1:9" x14ac:dyDescent="0.25">
      <c r="A31" s="2">
        <f t="shared" si="2"/>
        <v>20</v>
      </c>
      <c r="B31" s="39"/>
      <c r="C31" s="4">
        <v>0</v>
      </c>
      <c r="D31" s="4"/>
      <c r="E31" s="4">
        <v>0</v>
      </c>
      <c r="F31" s="4"/>
      <c r="G31" s="4">
        <f>SUM(C31:E31)</f>
        <v>0</v>
      </c>
      <c r="H31" s="4"/>
      <c r="I31" s="2">
        <f t="shared" si="3"/>
        <v>20</v>
      </c>
    </row>
    <row r="32" spans="1:9" x14ac:dyDescent="0.25">
      <c r="A32" s="2">
        <f t="shared" si="2"/>
        <v>21</v>
      </c>
      <c r="B32" s="39"/>
      <c r="C32" s="4">
        <v>0</v>
      </c>
      <c r="D32" s="4"/>
      <c r="E32" s="4">
        <v>0</v>
      </c>
      <c r="F32" s="4"/>
      <c r="G32" s="4">
        <f>SUM(C32:E32)</f>
        <v>0</v>
      </c>
      <c r="H32" s="4"/>
      <c r="I32" s="2">
        <f t="shared" si="3"/>
        <v>21</v>
      </c>
    </row>
    <row r="33" spans="1:9" ht="16.5" thickBot="1" x14ac:dyDescent="0.3">
      <c r="A33" s="2">
        <f t="shared" si="2"/>
        <v>22</v>
      </c>
      <c r="B33" s="205" t="s">
        <v>419</v>
      </c>
      <c r="C33" s="89">
        <f>SUM(C28:C32)</f>
        <v>0</v>
      </c>
      <c r="D33" s="53"/>
      <c r="E33" s="89">
        <f>SUM(E28:E32)</f>
        <v>0</v>
      </c>
      <c r="F33" s="4"/>
      <c r="G33" s="89">
        <f>SUM(G28:G32)</f>
        <v>0</v>
      </c>
      <c r="H33" s="55" t="s">
        <v>716</v>
      </c>
      <c r="I33" s="2">
        <f t="shared" si="3"/>
        <v>22</v>
      </c>
    </row>
    <row r="34" spans="1:9" ht="16.5" thickTop="1" x14ac:dyDescent="0.25">
      <c r="A34" s="2">
        <f t="shared" si="2"/>
        <v>23</v>
      </c>
      <c r="I34" s="2">
        <f t="shared" si="3"/>
        <v>23</v>
      </c>
    </row>
    <row r="35" spans="1:9" ht="16.5" thickBot="1" x14ac:dyDescent="0.3">
      <c r="A35" s="2">
        <f t="shared" si="2"/>
        <v>24</v>
      </c>
      <c r="B35" s="1" t="s">
        <v>874</v>
      </c>
      <c r="C35" s="89">
        <f>+C18+C25+C33</f>
        <v>0</v>
      </c>
      <c r="D35" s="53"/>
      <c r="E35" s="89">
        <f>+E18+E25+E33</f>
        <v>0</v>
      </c>
      <c r="G35" s="89">
        <f>+G18+G25+G33</f>
        <v>0</v>
      </c>
      <c r="H35" s="55" t="s">
        <v>876</v>
      </c>
      <c r="I35" s="2">
        <f t="shared" si="3"/>
        <v>24</v>
      </c>
    </row>
    <row r="36" spans="1:9" ht="16.5" thickTop="1" x14ac:dyDescent="0.25"/>
    <row r="37" spans="1:9" ht="18.75" x14ac:dyDescent="0.25">
      <c r="A37" s="174">
        <v>1</v>
      </c>
      <c r="B37" s="38" t="s">
        <v>888</v>
      </c>
    </row>
    <row r="38" spans="1:9" ht="18.75" x14ac:dyDescent="0.25">
      <c r="A38" s="174">
        <v>2</v>
      </c>
      <c r="B38" s="38" t="s">
        <v>981</v>
      </c>
    </row>
    <row r="39" spans="1:9" ht="18.75" x14ac:dyDescent="0.25">
      <c r="A39" s="174">
        <v>3</v>
      </c>
      <c r="B39" s="38" t="s">
        <v>982</v>
      </c>
    </row>
    <row r="40" spans="1:9" ht="18.75" x14ac:dyDescent="0.25">
      <c r="A40" s="516">
        <v>4</v>
      </c>
      <c r="B40" s="534" t="s">
        <v>1023</v>
      </c>
    </row>
    <row r="41" spans="1:9" x14ac:dyDescent="0.25">
      <c r="A41" s="210"/>
      <c r="B41" s="534" t="s">
        <v>1024</v>
      </c>
    </row>
  </sheetData>
  <mergeCells count="5">
    <mergeCell ref="B2:H2"/>
    <mergeCell ref="B3:H3"/>
    <mergeCell ref="B4:H4"/>
    <mergeCell ref="B5:H5"/>
    <mergeCell ref="B6:H6"/>
  </mergeCells>
  <printOptions horizontalCentered="1"/>
  <pageMargins left="0.5" right="0.5" top="0.5" bottom="0.5" header="0.25" footer="0.25"/>
  <pageSetup scale="65" orientation="landscape" r:id="rId1"/>
  <headerFooter scaleWithDoc="0">
    <oddFooter>&amp;C&amp;"Times New Roman,Regular"&amp;10&amp;A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heetViews>
  <sheetFormatPr defaultColWidth="8.7109375" defaultRowHeight="15.75" x14ac:dyDescent="0.25"/>
  <cols>
    <col min="1" max="1" width="5.28515625" style="2" bestFit="1" customWidth="1"/>
    <col min="2" max="2" width="68.7109375" style="38" customWidth="1"/>
    <col min="3" max="3" width="24" style="38" customWidth="1"/>
    <col min="4" max="4" width="1.5703125" style="38" customWidth="1"/>
    <col min="5" max="5" width="16.7109375" style="38" customWidth="1"/>
    <col min="6" max="6" width="1.5703125" style="38" customWidth="1"/>
    <col min="7" max="7" width="34.5703125" style="38" customWidth="1"/>
    <col min="8" max="8" width="5.28515625" style="38" customWidth="1"/>
    <col min="9" max="9" width="8.7109375" style="38"/>
    <col min="10" max="10" width="20.42578125" style="38" bestFit="1" customWidth="1"/>
    <col min="11" max="16384" width="8.7109375" style="38"/>
  </cols>
  <sheetData>
    <row r="1" spans="1:8" x14ac:dyDescent="0.25">
      <c r="E1" s="70"/>
      <c r="F1" s="70"/>
      <c r="G1" s="2"/>
      <c r="H1" s="2"/>
    </row>
    <row r="2" spans="1:8" x14ac:dyDescent="0.25">
      <c r="B2" s="584" t="s">
        <v>16</v>
      </c>
      <c r="C2" s="584"/>
      <c r="D2" s="584"/>
      <c r="E2" s="584"/>
      <c r="F2" s="584"/>
      <c r="G2" s="584"/>
      <c r="H2" s="2"/>
    </row>
    <row r="3" spans="1:8" x14ac:dyDescent="0.25">
      <c r="B3" s="584" t="s">
        <v>870</v>
      </c>
      <c r="C3" s="584"/>
      <c r="D3" s="584"/>
      <c r="E3" s="584"/>
      <c r="F3" s="584"/>
      <c r="G3" s="584"/>
      <c r="H3" s="2"/>
    </row>
    <row r="4" spans="1:8" x14ac:dyDescent="0.25">
      <c r="B4" s="584" t="s">
        <v>890</v>
      </c>
      <c r="C4" s="584"/>
      <c r="D4" s="584"/>
      <c r="E4" s="584"/>
      <c r="F4" s="584"/>
      <c r="G4" s="584"/>
      <c r="H4" s="2"/>
    </row>
    <row r="5" spans="1:8" x14ac:dyDescent="0.25">
      <c r="B5" s="586" t="str">
        <f>'Stmt AD'!B5</f>
        <v>Base Period &amp; True-Up Period 12 - Months Ending  December 31, xxxx</v>
      </c>
      <c r="C5" s="586"/>
      <c r="D5" s="586"/>
      <c r="E5" s="586"/>
      <c r="F5" s="586"/>
      <c r="G5" s="586"/>
      <c r="H5" s="2"/>
    </row>
    <row r="6" spans="1:8" x14ac:dyDescent="0.25">
      <c r="B6" s="580" t="s">
        <v>1</v>
      </c>
      <c r="C6" s="581"/>
      <c r="D6" s="581"/>
      <c r="E6" s="581"/>
      <c r="F6" s="581"/>
      <c r="G6" s="581"/>
      <c r="H6" s="2"/>
    </row>
    <row r="7" spans="1:8" x14ac:dyDescent="0.25">
      <c r="B7" s="2"/>
      <c r="C7" s="2"/>
      <c r="D7" s="2"/>
      <c r="E7" s="2"/>
      <c r="F7" s="2"/>
      <c r="G7" s="2"/>
      <c r="H7" s="2"/>
    </row>
    <row r="8" spans="1:8" x14ac:dyDescent="0.25">
      <c r="A8" s="2" t="s">
        <v>2</v>
      </c>
      <c r="C8" s="2" t="s">
        <v>248</v>
      </c>
      <c r="E8" s="2"/>
      <c r="F8" s="2"/>
      <c r="G8" s="2"/>
      <c r="H8" s="2" t="s">
        <v>2</v>
      </c>
    </row>
    <row r="9" spans="1:8" x14ac:dyDescent="0.25">
      <c r="A9" s="2" t="s">
        <v>18</v>
      </c>
      <c r="B9" s="38" t="s">
        <v>8</v>
      </c>
      <c r="C9" s="42" t="s">
        <v>246</v>
      </c>
      <c r="E9" s="42" t="s">
        <v>37</v>
      </c>
      <c r="F9" s="314"/>
      <c r="G9" s="42" t="s">
        <v>7</v>
      </c>
      <c r="H9" s="2" t="s">
        <v>18</v>
      </c>
    </row>
    <row r="10" spans="1:8" x14ac:dyDescent="0.25">
      <c r="E10" s="70"/>
      <c r="F10" s="70"/>
      <c r="G10" s="2"/>
      <c r="H10" s="2"/>
    </row>
    <row r="11" spans="1:8" ht="18.75" x14ac:dyDescent="0.25">
      <c r="A11" s="2">
        <f>+A10+1</f>
        <v>1</v>
      </c>
      <c r="B11" s="38" t="s">
        <v>816</v>
      </c>
      <c r="C11" s="2"/>
      <c r="E11" s="82">
        <v>0</v>
      </c>
      <c r="F11" s="314"/>
      <c r="G11" s="314"/>
      <c r="H11" s="2">
        <f>A11</f>
        <v>1</v>
      </c>
    </row>
    <row r="12" spans="1:8" x14ac:dyDescent="0.25">
      <c r="A12" s="2">
        <f>+A11+1</f>
        <v>2</v>
      </c>
      <c r="E12" s="70"/>
      <c r="F12" s="70"/>
      <c r="G12" s="314"/>
      <c r="H12" s="2">
        <f>+H11+1</f>
        <v>2</v>
      </c>
    </row>
    <row r="13" spans="1:8" x14ac:dyDescent="0.25">
      <c r="A13" s="2">
        <f>+A12+1</f>
        <v>3</v>
      </c>
      <c r="B13" s="38" t="s">
        <v>881</v>
      </c>
      <c r="E13" s="70"/>
      <c r="F13" s="314"/>
      <c r="G13" s="314"/>
      <c r="H13" s="2">
        <f>+H12+1</f>
        <v>3</v>
      </c>
    </row>
    <row r="14" spans="1:8" x14ac:dyDescent="0.25">
      <c r="A14" s="2">
        <f t="shared" ref="A14:A19" si="0">+A13+1</f>
        <v>4</v>
      </c>
      <c r="B14" s="39" t="s">
        <v>437</v>
      </c>
      <c r="C14" s="2"/>
      <c r="E14" s="52">
        <f>'AT-1'!G18</f>
        <v>0</v>
      </c>
      <c r="F14" s="314"/>
      <c r="G14" s="2" t="s">
        <v>871</v>
      </c>
      <c r="H14" s="2">
        <f t="shared" ref="H14:H19" si="1">+H13+1</f>
        <v>4</v>
      </c>
    </row>
    <row r="15" spans="1:8" x14ac:dyDescent="0.25">
      <c r="A15" s="2">
        <f t="shared" si="0"/>
        <v>5</v>
      </c>
      <c r="B15" s="39" t="s">
        <v>438</v>
      </c>
      <c r="C15" s="2"/>
      <c r="E15" s="52">
        <f>'AT-1'!G25</f>
        <v>0</v>
      </c>
      <c r="F15" s="314"/>
      <c r="G15" s="2" t="s">
        <v>872</v>
      </c>
      <c r="H15" s="2">
        <f t="shared" si="1"/>
        <v>5</v>
      </c>
    </row>
    <row r="16" spans="1:8" x14ac:dyDescent="0.25">
      <c r="A16" s="2">
        <f t="shared" si="0"/>
        <v>6</v>
      </c>
      <c r="B16" s="39" t="s">
        <v>439</v>
      </c>
      <c r="C16" s="2"/>
      <c r="E16" s="168">
        <f>'AT-1'!G33</f>
        <v>0</v>
      </c>
      <c r="F16" s="314"/>
      <c r="G16" s="2" t="s">
        <v>873</v>
      </c>
      <c r="H16" s="2">
        <f t="shared" si="1"/>
        <v>6</v>
      </c>
    </row>
    <row r="17" spans="1:8" x14ac:dyDescent="0.25">
      <c r="A17" s="2">
        <f t="shared" si="0"/>
        <v>7</v>
      </c>
      <c r="B17" s="39" t="s">
        <v>880</v>
      </c>
      <c r="C17" s="2"/>
      <c r="E17" s="309">
        <f>SUM(E14:E16)</f>
        <v>0</v>
      </c>
      <c r="F17" s="314"/>
      <c r="G17" s="2" t="s">
        <v>621</v>
      </c>
      <c r="H17" s="2">
        <f t="shared" si="1"/>
        <v>7</v>
      </c>
    </row>
    <row r="18" spans="1:8" x14ac:dyDescent="0.25">
      <c r="A18" s="2">
        <f t="shared" si="0"/>
        <v>8</v>
      </c>
      <c r="E18" s="4"/>
      <c r="F18" s="4"/>
      <c r="G18" s="55"/>
      <c r="H18" s="2">
        <f t="shared" si="1"/>
        <v>8</v>
      </c>
    </row>
    <row r="19" spans="1:8" ht="16.5" thickBot="1" x14ac:dyDescent="0.3">
      <c r="A19" s="2">
        <f t="shared" si="0"/>
        <v>9</v>
      </c>
      <c r="B19" s="38" t="s">
        <v>891</v>
      </c>
      <c r="E19" s="47">
        <f>E11+E17</f>
        <v>0</v>
      </c>
      <c r="F19" s="43"/>
      <c r="G19" s="2" t="s">
        <v>809</v>
      </c>
      <c r="H19" s="2">
        <f t="shared" si="1"/>
        <v>9</v>
      </c>
    </row>
    <row r="20" spans="1:8" ht="16.5" thickTop="1" x14ac:dyDescent="0.25">
      <c r="E20" s="43"/>
      <c r="F20" s="43"/>
      <c r="G20" s="2"/>
      <c r="H20" s="2"/>
    </row>
    <row r="21" spans="1:8" x14ac:dyDescent="0.25">
      <c r="H21" s="2"/>
    </row>
    <row r="22" spans="1:8" ht="18.75" x14ac:dyDescent="0.25">
      <c r="A22" s="174">
        <v>1</v>
      </c>
      <c r="B22" s="38" t="s">
        <v>817</v>
      </c>
      <c r="H22" s="2"/>
    </row>
    <row r="23" spans="1:8" ht="18.75" x14ac:dyDescent="0.25">
      <c r="A23" s="193"/>
      <c r="B23" s="39"/>
      <c r="H23" s="2"/>
    </row>
    <row r="24" spans="1:8" x14ac:dyDescent="0.25">
      <c r="B24" s="39"/>
      <c r="H24" s="2"/>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heetViews>
  <sheetFormatPr defaultColWidth="8.5703125" defaultRowHeight="15.75" x14ac:dyDescent="0.25"/>
  <cols>
    <col min="1" max="1" width="5.42578125" style="2" customWidth="1"/>
    <col min="2" max="2" width="50.7109375" style="38" customWidth="1"/>
    <col min="3" max="3" width="20.28515625" style="38" customWidth="1"/>
    <col min="4" max="4" width="1.5703125" style="38" customWidth="1"/>
    <col min="5" max="5" width="20.28515625" style="38" customWidth="1"/>
    <col min="6" max="6" width="1.5703125" style="38" customWidth="1"/>
    <col min="7" max="7" width="23.42578125" style="38" bestFit="1" customWidth="1"/>
    <col min="8" max="8" width="62.5703125" style="38" customWidth="1"/>
    <col min="9" max="9" width="5.42578125" style="2" customWidth="1"/>
    <col min="10" max="16384" width="8.5703125" style="38"/>
  </cols>
  <sheetData>
    <row r="2" spans="1:9" x14ac:dyDescent="0.25">
      <c r="B2" s="584" t="s">
        <v>16</v>
      </c>
      <c r="C2" s="584"/>
      <c r="D2" s="584"/>
      <c r="E2" s="584"/>
      <c r="F2" s="584"/>
      <c r="G2" s="584"/>
      <c r="H2" s="584"/>
    </row>
    <row r="3" spans="1:9" x14ac:dyDescent="0.25">
      <c r="B3" s="584" t="s">
        <v>869</v>
      </c>
      <c r="C3" s="584"/>
      <c r="D3" s="584"/>
      <c r="E3" s="584"/>
      <c r="F3" s="584"/>
      <c r="G3" s="584"/>
      <c r="H3" s="584"/>
    </row>
    <row r="4" spans="1:9" x14ac:dyDescent="0.25">
      <c r="B4" s="584" t="s">
        <v>882</v>
      </c>
      <c r="C4" s="584"/>
      <c r="D4" s="584"/>
      <c r="E4" s="584"/>
      <c r="F4" s="584"/>
      <c r="G4" s="584"/>
      <c r="H4" s="584"/>
    </row>
    <row r="5" spans="1:9" x14ac:dyDescent="0.25">
      <c r="B5" s="584" t="s">
        <v>1143</v>
      </c>
      <c r="C5" s="584"/>
      <c r="D5" s="584"/>
      <c r="E5" s="584"/>
      <c r="F5" s="584"/>
      <c r="G5" s="584"/>
      <c r="H5" s="584"/>
    </row>
    <row r="6" spans="1:9" ht="15.6" customHeight="1" x14ac:dyDescent="0.25">
      <c r="B6" s="580" t="s">
        <v>1</v>
      </c>
      <c r="C6" s="580"/>
      <c r="D6" s="580"/>
      <c r="E6" s="580"/>
      <c r="F6" s="580"/>
      <c r="G6" s="580"/>
      <c r="H6" s="580"/>
    </row>
    <row r="8" spans="1:9" x14ac:dyDescent="0.25">
      <c r="B8" s="1"/>
      <c r="C8" s="188" t="s">
        <v>3</v>
      </c>
      <c r="D8" s="188"/>
      <c r="E8" s="188" t="s">
        <v>4</v>
      </c>
      <c r="F8" s="188"/>
      <c r="G8" s="188" t="s">
        <v>725</v>
      </c>
      <c r="H8" s="188"/>
    </row>
    <row r="9" spans="1:9" ht="18.75" x14ac:dyDescent="0.25">
      <c r="A9" s="2" t="s">
        <v>2</v>
      </c>
      <c r="B9" s="1"/>
      <c r="C9" s="188" t="s">
        <v>977</v>
      </c>
      <c r="D9" s="188"/>
      <c r="E9" s="188" t="s">
        <v>978</v>
      </c>
      <c r="F9" s="188"/>
      <c r="G9" s="188"/>
      <c r="H9" s="188"/>
      <c r="I9" s="2" t="s">
        <v>2</v>
      </c>
    </row>
    <row r="10" spans="1:9" x14ac:dyDescent="0.25">
      <c r="A10" s="2" t="s">
        <v>18</v>
      </c>
      <c r="B10" s="213" t="s">
        <v>22</v>
      </c>
      <c r="C10" s="287" t="s">
        <v>883</v>
      </c>
      <c r="D10" s="374"/>
      <c r="E10" s="287" t="s">
        <v>884</v>
      </c>
      <c r="F10" s="287"/>
      <c r="G10" s="213" t="s">
        <v>20</v>
      </c>
      <c r="H10" s="213" t="s">
        <v>7</v>
      </c>
      <c r="I10" s="2" t="s">
        <v>18</v>
      </c>
    </row>
    <row r="11" spans="1:9" x14ac:dyDescent="0.25">
      <c r="B11" s="1"/>
      <c r="C11" s="204"/>
      <c r="D11" s="204"/>
      <c r="E11" s="204"/>
      <c r="F11" s="204"/>
      <c r="G11" s="175"/>
      <c r="H11" s="175"/>
    </row>
    <row r="12" spans="1:9" x14ac:dyDescent="0.25">
      <c r="A12" s="2">
        <v>1</v>
      </c>
      <c r="B12" s="39" t="s">
        <v>252</v>
      </c>
      <c r="C12" s="90"/>
      <c r="D12" s="90"/>
      <c r="E12" s="90"/>
      <c r="F12" s="90"/>
      <c r="G12" s="175"/>
      <c r="H12" s="55"/>
      <c r="I12" s="2">
        <f>A12</f>
        <v>1</v>
      </c>
    </row>
    <row r="13" spans="1:9" x14ac:dyDescent="0.25">
      <c r="A13" s="2">
        <f>A12+1</f>
        <v>2</v>
      </c>
      <c r="B13" s="39" t="s">
        <v>965</v>
      </c>
      <c r="C13" s="43">
        <v>0</v>
      </c>
      <c r="D13" s="43"/>
      <c r="E13" s="43">
        <v>0</v>
      </c>
      <c r="F13" s="88"/>
      <c r="G13" s="43">
        <f>SUM(C13:E13)</f>
        <v>0</v>
      </c>
      <c r="H13" s="55" t="s">
        <v>973</v>
      </c>
      <c r="I13" s="2">
        <f>I12+1</f>
        <v>2</v>
      </c>
    </row>
    <row r="14" spans="1:9" x14ac:dyDescent="0.25">
      <c r="A14" s="2">
        <f>A13+1</f>
        <v>3</v>
      </c>
      <c r="B14" s="39" t="s">
        <v>964</v>
      </c>
      <c r="C14" s="4">
        <v>0</v>
      </c>
      <c r="D14" s="4"/>
      <c r="E14" s="4">
        <v>0</v>
      </c>
      <c r="F14" s="4"/>
      <c r="G14" s="4">
        <f>SUM(C14:E14)</f>
        <v>0</v>
      </c>
      <c r="H14" s="55" t="s">
        <v>973</v>
      </c>
      <c r="I14" s="2">
        <f>I13+1</f>
        <v>3</v>
      </c>
    </row>
    <row r="15" spans="1:9" x14ac:dyDescent="0.25">
      <c r="A15" s="2">
        <f>A14+1</f>
        <v>4</v>
      </c>
      <c r="B15" s="454"/>
      <c r="C15" s="4">
        <v>0</v>
      </c>
      <c r="D15" s="4"/>
      <c r="E15" s="4">
        <v>0</v>
      </c>
      <c r="F15" s="4"/>
      <c r="G15" s="4">
        <f>SUM(C15:E15)</f>
        <v>0</v>
      </c>
      <c r="H15" s="453"/>
      <c r="I15" s="2">
        <f>I14+1</f>
        <v>4</v>
      </c>
    </row>
    <row r="16" spans="1:9" x14ac:dyDescent="0.25">
      <c r="A16" s="2">
        <f>A15+1</f>
        <v>5</v>
      </c>
      <c r="B16" s="39"/>
      <c r="C16" s="4">
        <v>0</v>
      </c>
      <c r="D16" s="4"/>
      <c r="E16" s="4">
        <v>0</v>
      </c>
      <c r="F16" s="4"/>
      <c r="G16" s="4">
        <f>SUM(C16:E16)</f>
        <v>0</v>
      </c>
      <c r="H16" s="55"/>
      <c r="I16" s="2">
        <f>I15+1</f>
        <v>5</v>
      </c>
    </row>
    <row r="17" spans="1:9" x14ac:dyDescent="0.25">
      <c r="A17" s="2">
        <f t="shared" ref="A17:A35" si="0">A16+1</f>
        <v>6</v>
      </c>
      <c r="C17" s="4">
        <v>0</v>
      </c>
      <c r="D17" s="4"/>
      <c r="E17" s="4">
        <v>0</v>
      </c>
      <c r="F17" s="4"/>
      <c r="G17" s="4">
        <f>SUM(C17:E17)</f>
        <v>0</v>
      </c>
      <c r="H17" s="55"/>
      <c r="I17" s="2">
        <f t="shared" ref="I17:I35" si="1">I16+1</f>
        <v>6</v>
      </c>
    </row>
    <row r="18" spans="1:9" ht="16.5" thickBot="1" x14ac:dyDescent="0.3">
      <c r="A18" s="2">
        <f t="shared" si="0"/>
        <v>7</v>
      </c>
      <c r="B18" s="205" t="s">
        <v>417</v>
      </c>
      <c r="C18" s="89">
        <f>SUM(C13:C17)</f>
        <v>0</v>
      </c>
      <c r="D18" s="53"/>
      <c r="E18" s="89">
        <f>SUM(E13:E17)</f>
        <v>0</v>
      </c>
      <c r="F18" s="4"/>
      <c r="G18" s="89">
        <f>SUM(G13:G17)</f>
        <v>0</v>
      </c>
      <c r="H18" s="55" t="s">
        <v>574</v>
      </c>
      <c r="I18" s="2">
        <f t="shared" si="1"/>
        <v>7</v>
      </c>
    </row>
    <row r="19" spans="1:9" ht="16.5" thickTop="1" x14ac:dyDescent="0.25">
      <c r="A19" s="2">
        <f t="shared" si="0"/>
        <v>8</v>
      </c>
      <c r="C19" s="83"/>
      <c r="D19" s="83"/>
      <c r="E19" s="83"/>
      <c r="F19" s="83"/>
      <c r="G19" s="83"/>
      <c r="H19" s="55"/>
      <c r="I19" s="2">
        <f t="shared" si="1"/>
        <v>8</v>
      </c>
    </row>
    <row r="20" spans="1:9" x14ac:dyDescent="0.25">
      <c r="A20" s="2">
        <f t="shared" si="0"/>
        <v>9</v>
      </c>
      <c r="B20" s="39" t="s">
        <v>253</v>
      </c>
      <c r="C20" s="90"/>
      <c r="D20" s="90"/>
      <c r="E20" s="90"/>
      <c r="F20" s="90"/>
      <c r="G20" s="175"/>
      <c r="H20" s="55"/>
      <c r="I20" s="2">
        <f t="shared" si="1"/>
        <v>9</v>
      </c>
    </row>
    <row r="21" spans="1:9" x14ac:dyDescent="0.25">
      <c r="A21" s="2">
        <f t="shared" si="0"/>
        <v>10</v>
      </c>
      <c r="B21" s="369" t="s">
        <v>964</v>
      </c>
      <c r="C21" s="43">
        <v>0</v>
      </c>
      <c r="D21" s="43"/>
      <c r="E21" s="43">
        <v>0</v>
      </c>
      <c r="F21" s="43"/>
      <c r="G21" s="43">
        <f>SUM(C21:E21)</f>
        <v>0</v>
      </c>
      <c r="H21" s="55" t="s">
        <v>973</v>
      </c>
      <c r="I21" s="2">
        <f t="shared" si="1"/>
        <v>10</v>
      </c>
    </row>
    <row r="22" spans="1:9" x14ac:dyDescent="0.25">
      <c r="A22" s="2">
        <f t="shared" si="0"/>
        <v>11</v>
      </c>
      <c r="C22" s="4">
        <v>0</v>
      </c>
      <c r="D22" s="4"/>
      <c r="E22" s="4">
        <v>0</v>
      </c>
      <c r="F22" s="4"/>
      <c r="G22" s="4">
        <f>SUM(C22:E22)</f>
        <v>0</v>
      </c>
      <c r="H22" s="55"/>
      <c r="I22" s="2">
        <f t="shared" si="1"/>
        <v>11</v>
      </c>
    </row>
    <row r="23" spans="1:9" x14ac:dyDescent="0.25">
      <c r="A23" s="2">
        <f t="shared" si="0"/>
        <v>12</v>
      </c>
      <c r="C23" s="4">
        <v>0</v>
      </c>
      <c r="D23" s="4"/>
      <c r="E23" s="4">
        <v>0</v>
      </c>
      <c r="F23" s="4"/>
      <c r="G23" s="4">
        <f>SUM(C23:E23)</f>
        <v>0</v>
      </c>
      <c r="H23" s="55"/>
      <c r="I23" s="2">
        <f t="shared" si="1"/>
        <v>12</v>
      </c>
    </row>
    <row r="24" spans="1:9" x14ac:dyDescent="0.25">
      <c r="A24" s="2">
        <f t="shared" si="0"/>
        <v>13</v>
      </c>
      <c r="C24" s="4">
        <v>0</v>
      </c>
      <c r="D24" s="4"/>
      <c r="E24" s="4">
        <v>0</v>
      </c>
      <c r="F24" s="4"/>
      <c r="G24" s="4">
        <f>SUM(C24:E24)</f>
        <v>0</v>
      </c>
      <c r="H24" s="55"/>
      <c r="I24" s="2">
        <f t="shared" si="1"/>
        <v>13</v>
      </c>
    </row>
    <row r="25" spans="1:9" ht="16.5" thickBot="1" x14ac:dyDescent="0.3">
      <c r="A25" s="2">
        <f t="shared" si="0"/>
        <v>14</v>
      </c>
      <c r="B25" s="205" t="s">
        <v>418</v>
      </c>
      <c r="C25" s="89">
        <f>SUM(C21:C24)</f>
        <v>0</v>
      </c>
      <c r="D25" s="53"/>
      <c r="E25" s="89">
        <f>SUM(E21:E24)</f>
        <v>0</v>
      </c>
      <c r="F25" s="4"/>
      <c r="G25" s="89">
        <f>SUM(G21:G24)</f>
        <v>0</v>
      </c>
      <c r="H25" s="55" t="s">
        <v>715</v>
      </c>
      <c r="I25" s="2">
        <f t="shared" si="1"/>
        <v>14</v>
      </c>
    </row>
    <row r="26" spans="1:9" ht="16.5" thickTop="1" x14ac:dyDescent="0.25">
      <c r="A26" s="2">
        <f t="shared" si="0"/>
        <v>15</v>
      </c>
      <c r="H26" s="55"/>
      <c r="I26" s="2">
        <f t="shared" si="1"/>
        <v>15</v>
      </c>
    </row>
    <row r="27" spans="1:9" x14ac:dyDescent="0.25">
      <c r="A27" s="2">
        <f t="shared" si="0"/>
        <v>16</v>
      </c>
      <c r="B27" s="39" t="s">
        <v>254</v>
      </c>
      <c r="C27" s="90"/>
      <c r="D27" s="90"/>
      <c r="E27" s="90"/>
      <c r="F27" s="90"/>
      <c r="G27" s="175"/>
      <c r="H27" s="55"/>
      <c r="I27" s="2">
        <f t="shared" si="1"/>
        <v>16</v>
      </c>
    </row>
    <row r="28" spans="1:9" x14ac:dyDescent="0.25">
      <c r="A28" s="2">
        <f t="shared" si="0"/>
        <v>17</v>
      </c>
      <c r="B28" s="39" t="s">
        <v>965</v>
      </c>
      <c r="C28" s="43">
        <v>0</v>
      </c>
      <c r="D28" s="43"/>
      <c r="E28" s="43">
        <v>0</v>
      </c>
      <c r="F28" s="88"/>
      <c r="G28" s="43">
        <f>SUM(C28:E28)</f>
        <v>0</v>
      </c>
      <c r="H28" s="55" t="s">
        <v>973</v>
      </c>
      <c r="I28" s="2">
        <f t="shared" si="1"/>
        <v>17</v>
      </c>
    </row>
    <row r="29" spans="1:9" x14ac:dyDescent="0.25">
      <c r="A29" s="2">
        <f t="shared" si="0"/>
        <v>18</v>
      </c>
      <c r="B29" s="39"/>
      <c r="C29" s="4">
        <v>0</v>
      </c>
      <c r="D29" s="4"/>
      <c r="E29" s="4">
        <v>0</v>
      </c>
      <c r="F29" s="4"/>
      <c r="G29" s="4">
        <f>SUM(C29:E29)</f>
        <v>0</v>
      </c>
      <c r="H29" s="2"/>
      <c r="I29" s="2">
        <f t="shared" si="1"/>
        <v>18</v>
      </c>
    </row>
    <row r="30" spans="1:9" x14ac:dyDescent="0.25">
      <c r="A30" s="2">
        <f t="shared" si="0"/>
        <v>19</v>
      </c>
      <c r="B30" s="39"/>
      <c r="C30" s="4">
        <v>0</v>
      </c>
      <c r="D30" s="4"/>
      <c r="E30" s="4">
        <v>0</v>
      </c>
      <c r="F30" s="4"/>
      <c r="G30" s="4">
        <f>SUM(C30:E30)</f>
        <v>0</v>
      </c>
      <c r="H30" s="4"/>
      <c r="I30" s="2">
        <f t="shared" si="1"/>
        <v>19</v>
      </c>
    </row>
    <row r="31" spans="1:9" x14ac:dyDescent="0.25">
      <c r="A31" s="2">
        <f t="shared" si="0"/>
        <v>20</v>
      </c>
      <c r="B31" s="39"/>
      <c r="C31" s="4">
        <v>0</v>
      </c>
      <c r="D31" s="4"/>
      <c r="E31" s="4">
        <v>0</v>
      </c>
      <c r="F31" s="4"/>
      <c r="G31" s="4">
        <f>SUM(C31:E31)</f>
        <v>0</v>
      </c>
      <c r="H31" s="4"/>
      <c r="I31" s="2">
        <f t="shared" si="1"/>
        <v>20</v>
      </c>
    </row>
    <row r="32" spans="1:9" x14ac:dyDescent="0.25">
      <c r="A32" s="2">
        <f t="shared" si="0"/>
        <v>21</v>
      </c>
      <c r="B32" s="39"/>
      <c r="C32" s="4">
        <v>0</v>
      </c>
      <c r="D32" s="4"/>
      <c r="E32" s="4">
        <v>0</v>
      </c>
      <c r="F32" s="4"/>
      <c r="G32" s="4">
        <f>SUM(C32:E32)</f>
        <v>0</v>
      </c>
      <c r="H32" s="4"/>
      <c r="I32" s="2">
        <f t="shared" si="1"/>
        <v>21</v>
      </c>
    </row>
    <row r="33" spans="1:9" ht="16.5" thickBot="1" x14ac:dyDescent="0.3">
      <c r="A33" s="2">
        <f t="shared" si="0"/>
        <v>22</v>
      </c>
      <c r="B33" s="205" t="s">
        <v>419</v>
      </c>
      <c r="C33" s="89">
        <f>SUM(C28:C32)</f>
        <v>0</v>
      </c>
      <c r="D33" s="53"/>
      <c r="E33" s="89">
        <f>SUM(E28:E32)</f>
        <v>0</v>
      </c>
      <c r="F33" s="4"/>
      <c r="G33" s="89">
        <f>SUM(G28:G32)</f>
        <v>0</v>
      </c>
      <c r="H33" s="55" t="s">
        <v>716</v>
      </c>
      <c r="I33" s="2">
        <f t="shared" si="1"/>
        <v>22</v>
      </c>
    </row>
    <row r="34" spans="1:9" ht="16.5" thickTop="1" x14ac:dyDescent="0.25">
      <c r="A34" s="2">
        <f t="shared" si="0"/>
        <v>23</v>
      </c>
      <c r="H34" s="55"/>
      <c r="I34" s="2">
        <f t="shared" si="1"/>
        <v>23</v>
      </c>
    </row>
    <row r="35" spans="1:9" ht="16.5" thickBot="1" x14ac:dyDescent="0.3">
      <c r="A35" s="2">
        <f t="shared" si="0"/>
        <v>24</v>
      </c>
      <c r="B35" s="1" t="s">
        <v>875</v>
      </c>
      <c r="C35" s="89">
        <f>+C18+C25+C33</f>
        <v>0</v>
      </c>
      <c r="D35" s="53"/>
      <c r="E35" s="89">
        <f>+E18+E25+E33</f>
        <v>0</v>
      </c>
      <c r="G35" s="89">
        <f>+G18+G25+G33</f>
        <v>0</v>
      </c>
      <c r="H35" s="55" t="s">
        <v>876</v>
      </c>
      <c r="I35" s="2">
        <f t="shared" si="1"/>
        <v>24</v>
      </c>
    </row>
    <row r="36" spans="1:9" ht="16.5" thickTop="1" x14ac:dyDescent="0.25">
      <c r="B36" s="1"/>
      <c r="C36" s="53"/>
      <c r="D36" s="53"/>
      <c r="E36" s="53"/>
      <c r="G36" s="53"/>
      <c r="H36" s="55"/>
    </row>
    <row r="38" spans="1:9" ht="18.75" x14ac:dyDescent="0.25">
      <c r="A38" s="174">
        <v>1</v>
      </c>
      <c r="B38" s="38" t="s">
        <v>888</v>
      </c>
    </row>
    <row r="39" spans="1:9" ht="18.75" x14ac:dyDescent="0.25">
      <c r="A39" s="174"/>
    </row>
    <row r="40" spans="1:9" ht="18.75" x14ac:dyDescent="0.25">
      <c r="A40" s="174"/>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L50"/>
  <sheetViews>
    <sheetView tabSelected="1" zoomScale="80" zoomScaleNormal="80" workbookViewId="0">
      <selection activeCell="N24" sqref="N24"/>
    </sheetView>
  </sheetViews>
  <sheetFormatPr defaultColWidth="15.42578125" defaultRowHeight="15.75" x14ac:dyDescent="0.25"/>
  <cols>
    <col min="1" max="1" width="5.28515625" style="2" customWidth="1"/>
    <col min="2" max="2" width="77" style="38" customWidth="1"/>
    <col min="3" max="3" width="10.42578125" style="38" customWidth="1"/>
    <col min="4" max="4" width="3" style="38" customWidth="1"/>
    <col min="5" max="5" width="16.7109375" style="38" customWidth="1"/>
    <col min="6" max="6" width="1.5703125" style="38" customWidth="1"/>
    <col min="7" max="7" width="15.7109375" style="38" customWidth="1"/>
    <col min="8" max="8" width="15.5703125" style="38" customWidth="1"/>
    <col min="9" max="9" width="41" style="38" customWidth="1"/>
    <col min="10" max="10" width="5.28515625" style="2" bestFit="1" customWidth="1"/>
    <col min="11" max="11" width="5.28515625" style="2" customWidth="1"/>
    <col min="12" max="16384" width="15.42578125" style="38"/>
  </cols>
  <sheetData>
    <row r="2" spans="1:10" x14ac:dyDescent="0.25">
      <c r="B2" s="584" t="s">
        <v>16</v>
      </c>
      <c r="C2" s="584"/>
      <c r="D2" s="584"/>
      <c r="E2" s="581"/>
      <c r="F2" s="581"/>
      <c r="G2" s="581"/>
      <c r="H2" s="581"/>
      <c r="I2" s="581"/>
    </row>
    <row r="3" spans="1:10" x14ac:dyDescent="0.25">
      <c r="B3" s="584" t="s">
        <v>235</v>
      </c>
      <c r="C3" s="584"/>
      <c r="D3" s="584"/>
      <c r="E3" s="581"/>
      <c r="F3" s="581"/>
      <c r="G3" s="581"/>
      <c r="H3" s="581"/>
      <c r="I3" s="581"/>
    </row>
    <row r="4" spans="1:10" ht="17.25" x14ac:dyDescent="0.25">
      <c r="B4" s="584" t="s">
        <v>236</v>
      </c>
      <c r="C4" s="584"/>
      <c r="D4" s="584"/>
      <c r="E4" s="581"/>
      <c r="F4" s="581"/>
      <c r="G4" s="581"/>
      <c r="H4" s="581"/>
      <c r="I4" s="581"/>
    </row>
    <row r="5" spans="1:10" x14ac:dyDescent="0.25">
      <c r="B5" s="586" t="str">
        <f>'BK-1 Retail TRR'!B308:G308</f>
        <v>For the Rate Effective Period January 1, xxxx - December 31, xxxx</v>
      </c>
      <c r="C5" s="586"/>
      <c r="D5" s="586"/>
      <c r="E5" s="587"/>
      <c r="F5" s="587"/>
      <c r="G5" s="587"/>
      <c r="H5" s="587"/>
      <c r="I5" s="587"/>
    </row>
    <row r="6" spans="1:10" x14ac:dyDescent="0.25">
      <c r="B6" s="580" t="s">
        <v>1</v>
      </c>
      <c r="C6" s="580"/>
      <c r="D6" s="580"/>
      <c r="E6" s="581"/>
      <c r="F6" s="581"/>
      <c r="G6" s="581"/>
      <c r="H6" s="581"/>
      <c r="I6" s="581"/>
    </row>
    <row r="7" spans="1:10" x14ac:dyDescent="0.25">
      <c r="B7" s="40"/>
      <c r="C7" s="40"/>
      <c r="D7" s="40"/>
      <c r="E7" s="9"/>
      <c r="H7" s="39"/>
      <c r="I7" s="2"/>
    </row>
    <row r="8" spans="1:10" x14ac:dyDescent="0.25">
      <c r="A8" s="2" t="s">
        <v>2</v>
      </c>
      <c r="B8" s="40"/>
      <c r="C8" s="40"/>
      <c r="D8" s="40"/>
      <c r="E8" s="9"/>
      <c r="H8" s="39"/>
      <c r="I8" s="2"/>
      <c r="J8" s="2" t="s">
        <v>2</v>
      </c>
    </row>
    <row r="9" spans="1:10" x14ac:dyDescent="0.25">
      <c r="A9" s="2" t="s">
        <v>18</v>
      </c>
      <c r="B9" s="40"/>
      <c r="C9" s="176"/>
      <c r="D9" s="176"/>
      <c r="E9" s="177" t="s">
        <v>20</v>
      </c>
      <c r="G9" s="590" t="s">
        <v>7</v>
      </c>
      <c r="H9" s="590"/>
      <c r="I9" s="178"/>
      <c r="J9" s="2" t="s">
        <v>18</v>
      </c>
    </row>
    <row r="10" spans="1:10" x14ac:dyDescent="0.25">
      <c r="B10" s="40" t="s">
        <v>237</v>
      </c>
      <c r="C10" s="40"/>
      <c r="D10" s="40"/>
      <c r="E10" s="55"/>
      <c r="G10" s="2"/>
      <c r="H10" s="39"/>
    </row>
    <row r="11" spans="1:10" x14ac:dyDescent="0.25">
      <c r="A11" s="2">
        <v>1</v>
      </c>
      <c r="B11" s="38" t="s">
        <v>287</v>
      </c>
      <c r="E11" s="5">
        <f>'BK-1 Retail TRR'!E330</f>
        <v>0</v>
      </c>
      <c r="F11" s="165"/>
      <c r="G11" s="589" t="s">
        <v>768</v>
      </c>
      <c r="H11" s="589"/>
      <c r="I11" s="39"/>
      <c r="J11" s="2">
        <f>A11</f>
        <v>1</v>
      </c>
    </row>
    <row r="12" spans="1:10" x14ac:dyDescent="0.25">
      <c r="A12" s="2">
        <f>A11+1</f>
        <v>2</v>
      </c>
      <c r="B12" s="39"/>
      <c r="C12" s="39"/>
      <c r="D12" s="39"/>
      <c r="G12" s="39"/>
      <c r="H12" s="39"/>
      <c r="I12" s="39"/>
      <c r="J12" s="2">
        <f>J11+1</f>
        <v>2</v>
      </c>
    </row>
    <row r="13" spans="1:10" x14ac:dyDescent="0.25">
      <c r="A13" s="2">
        <f t="shared" ref="A13:A19" si="0">A12+1</f>
        <v>3</v>
      </c>
      <c r="B13" s="39" t="s">
        <v>322</v>
      </c>
      <c r="C13" s="39"/>
      <c r="D13" s="39"/>
      <c r="E13" s="7">
        <f>-'BK-1 Retail TRR'!E15</f>
        <v>0</v>
      </c>
      <c r="G13" s="589" t="s">
        <v>686</v>
      </c>
      <c r="H13" s="589"/>
      <c r="I13" s="589"/>
      <c r="J13" s="2">
        <f t="shared" ref="J13:J44" si="1">J12+1</f>
        <v>3</v>
      </c>
    </row>
    <row r="14" spans="1:10" x14ac:dyDescent="0.25">
      <c r="A14" s="2">
        <f t="shared" si="0"/>
        <v>4</v>
      </c>
      <c r="B14" s="39"/>
      <c r="C14" s="39"/>
      <c r="D14" s="39"/>
      <c r="E14" s="6"/>
      <c r="G14" s="39"/>
      <c r="H14" s="39"/>
      <c r="I14" s="39"/>
      <c r="J14" s="2">
        <f t="shared" si="1"/>
        <v>4</v>
      </c>
    </row>
    <row r="15" spans="1:10" x14ac:dyDescent="0.25">
      <c r="A15" s="2">
        <f t="shared" si="0"/>
        <v>5</v>
      </c>
      <c r="B15" s="38" t="s">
        <v>1109</v>
      </c>
      <c r="C15" s="39"/>
      <c r="D15" s="39"/>
      <c r="E15" s="7">
        <f>-'Stmt AL'!E40</f>
        <v>0</v>
      </c>
      <c r="G15" s="38" t="s">
        <v>687</v>
      </c>
      <c r="I15" s="39"/>
      <c r="J15" s="2">
        <f t="shared" si="1"/>
        <v>5</v>
      </c>
    </row>
    <row r="16" spans="1:10" x14ac:dyDescent="0.25">
      <c r="A16" s="2">
        <f t="shared" si="0"/>
        <v>6</v>
      </c>
      <c r="B16" s="218"/>
      <c r="C16" s="482"/>
      <c r="D16" s="482"/>
      <c r="E16" s="485"/>
      <c r="F16" s="218"/>
      <c r="G16" s="482"/>
      <c r="H16" s="482"/>
      <c r="I16" s="482"/>
      <c r="J16" s="2">
        <f t="shared" si="1"/>
        <v>6</v>
      </c>
    </row>
    <row r="17" spans="1:12" x14ac:dyDescent="0.25">
      <c r="A17" s="2">
        <f t="shared" si="0"/>
        <v>7</v>
      </c>
      <c r="B17" s="38" t="s">
        <v>766</v>
      </c>
      <c r="C17" s="482"/>
      <c r="D17" s="482"/>
      <c r="E17" s="7">
        <f>IFERROR(-'Stmt AL'!E44,0)</f>
        <v>0</v>
      </c>
      <c r="G17" s="38" t="s">
        <v>767</v>
      </c>
      <c r="I17" s="39"/>
      <c r="J17" s="2">
        <f t="shared" si="1"/>
        <v>7</v>
      </c>
    </row>
    <row r="18" spans="1:12" x14ac:dyDescent="0.25">
      <c r="A18" s="2">
        <f t="shared" si="0"/>
        <v>8</v>
      </c>
      <c r="B18" s="169"/>
      <c r="C18" s="39"/>
      <c r="D18" s="39"/>
      <c r="E18" s="6"/>
      <c r="G18" s="39"/>
      <c r="H18" s="39"/>
      <c r="I18" s="39"/>
      <c r="J18" s="2">
        <f t="shared" si="1"/>
        <v>8</v>
      </c>
    </row>
    <row r="19" spans="1:12" x14ac:dyDescent="0.25">
      <c r="A19" s="2">
        <f t="shared" si="0"/>
        <v>9</v>
      </c>
      <c r="B19" s="39" t="s">
        <v>323</v>
      </c>
      <c r="C19" s="39"/>
      <c r="D19" s="39"/>
      <c r="E19" s="7">
        <f>-'Stmt AQ'!E11</f>
        <v>0</v>
      </c>
      <c r="G19" s="38" t="s">
        <v>688</v>
      </c>
      <c r="I19" s="39"/>
      <c r="J19" s="2">
        <f t="shared" si="1"/>
        <v>9</v>
      </c>
    </row>
    <row r="20" spans="1:12" x14ac:dyDescent="0.25">
      <c r="B20" s="39"/>
      <c r="C20" s="39"/>
      <c r="D20" s="39"/>
      <c r="E20" s="6"/>
      <c r="I20" s="39"/>
      <c r="K20" s="210">
        <v>10</v>
      </c>
    </row>
    <row r="21" spans="1:12" x14ac:dyDescent="0.25">
      <c r="B21" s="179" t="s">
        <v>1203</v>
      </c>
      <c r="C21" s="39"/>
      <c r="D21" s="39"/>
      <c r="E21" s="550">
        <v>0</v>
      </c>
      <c r="G21" s="179" t="s">
        <v>247</v>
      </c>
      <c r="I21" s="39"/>
      <c r="K21" s="210">
        <f>K20+1</f>
        <v>11</v>
      </c>
    </row>
    <row r="22" spans="1:12" x14ac:dyDescent="0.25">
      <c r="A22" s="203">
        <f>A19+1</f>
        <v>10</v>
      </c>
      <c r="E22" s="9"/>
      <c r="G22" s="39"/>
      <c r="H22" s="39"/>
      <c r="I22" s="39"/>
      <c r="J22" s="203">
        <f>J19+1</f>
        <v>10</v>
      </c>
      <c r="K22" s="210">
        <f t="shared" ref="K22:K44" si="2">K21+1</f>
        <v>12</v>
      </c>
      <c r="L22" s="179"/>
    </row>
    <row r="23" spans="1:12" ht="16.5" thickBot="1" x14ac:dyDescent="0.3">
      <c r="A23" s="203">
        <f t="shared" ref="A23:A44" si="3">A22+1</f>
        <v>11</v>
      </c>
      <c r="B23" s="38" t="s">
        <v>458</v>
      </c>
      <c r="E23" s="28">
        <f>SUM(E11:E21)</f>
        <v>0</v>
      </c>
      <c r="F23" s="165"/>
      <c r="G23" s="589" t="s">
        <v>1110</v>
      </c>
      <c r="H23" s="589"/>
      <c r="I23" s="39"/>
      <c r="J23" s="203">
        <f t="shared" si="1"/>
        <v>11</v>
      </c>
      <c r="K23" s="210">
        <f t="shared" si="2"/>
        <v>13</v>
      </c>
    </row>
    <row r="24" spans="1:12" ht="16.5" thickTop="1" x14ac:dyDescent="0.25">
      <c r="A24" s="203">
        <f t="shared" si="3"/>
        <v>12</v>
      </c>
      <c r="B24" s="40"/>
      <c r="C24" s="40"/>
      <c r="D24" s="40"/>
      <c r="E24" s="9"/>
      <c r="G24" s="313"/>
      <c r="H24" s="313"/>
      <c r="I24" s="2"/>
      <c r="J24" s="203">
        <f t="shared" si="1"/>
        <v>12</v>
      </c>
      <c r="K24" s="210">
        <f t="shared" si="2"/>
        <v>14</v>
      </c>
    </row>
    <row r="25" spans="1:12" ht="18.75" x14ac:dyDescent="0.25">
      <c r="A25" s="203">
        <f t="shared" si="3"/>
        <v>13</v>
      </c>
      <c r="B25" s="40" t="s">
        <v>373</v>
      </c>
      <c r="C25" s="40"/>
      <c r="D25" s="40"/>
      <c r="E25" s="41" t="s">
        <v>3</v>
      </c>
      <c r="F25" s="2"/>
      <c r="G25" s="2" t="s">
        <v>4</v>
      </c>
      <c r="H25" s="2" t="s">
        <v>98</v>
      </c>
      <c r="I25" s="2"/>
      <c r="J25" s="203">
        <f t="shared" si="1"/>
        <v>13</v>
      </c>
      <c r="K25" s="210">
        <f t="shared" si="2"/>
        <v>15</v>
      </c>
    </row>
    <row r="26" spans="1:12" x14ac:dyDescent="0.25">
      <c r="A26" s="203">
        <f t="shared" si="3"/>
        <v>14</v>
      </c>
      <c r="B26" s="1" t="s">
        <v>238</v>
      </c>
      <c r="C26" s="1"/>
      <c r="D26" s="1"/>
      <c r="E26" s="42" t="s">
        <v>20</v>
      </c>
      <c r="F26" s="2"/>
      <c r="G26" s="42" t="s">
        <v>239</v>
      </c>
      <c r="H26" s="42" t="s">
        <v>240</v>
      </c>
      <c r="I26" s="42" t="s">
        <v>7</v>
      </c>
      <c r="J26" s="203">
        <f t="shared" si="1"/>
        <v>14</v>
      </c>
      <c r="K26" s="210">
        <f t="shared" si="2"/>
        <v>16</v>
      </c>
    </row>
    <row r="27" spans="1:12" x14ac:dyDescent="0.25">
      <c r="A27" s="203">
        <f t="shared" si="3"/>
        <v>15</v>
      </c>
      <c r="B27" s="1" t="s">
        <v>241</v>
      </c>
      <c r="C27" s="1"/>
      <c r="D27" s="1"/>
      <c r="I27" s="2"/>
      <c r="J27" s="203">
        <f t="shared" si="1"/>
        <v>15</v>
      </c>
      <c r="K27" s="210">
        <f t="shared" si="2"/>
        <v>17</v>
      </c>
      <c r="L27" s="179"/>
    </row>
    <row r="28" spans="1:12" ht="31.5" x14ac:dyDescent="0.25">
      <c r="A28" s="203">
        <f t="shared" si="3"/>
        <v>16</v>
      </c>
      <c r="B28" s="38" t="s">
        <v>464</v>
      </c>
      <c r="E28" s="33">
        <f>G28+H28</f>
        <v>0</v>
      </c>
      <c r="F28" s="33"/>
      <c r="G28" s="281">
        <v>0</v>
      </c>
      <c r="H28" s="281">
        <v>0</v>
      </c>
      <c r="I28" s="175" t="s">
        <v>1028</v>
      </c>
      <c r="J28" s="203">
        <f t="shared" si="1"/>
        <v>16</v>
      </c>
      <c r="K28" s="210">
        <f t="shared" si="2"/>
        <v>18</v>
      </c>
      <c r="L28" s="179"/>
    </row>
    <row r="29" spans="1:12" x14ac:dyDescent="0.25">
      <c r="A29" s="203">
        <f t="shared" si="3"/>
        <v>17</v>
      </c>
      <c r="B29" s="38" t="s">
        <v>426</v>
      </c>
      <c r="E29" s="14">
        <f>E23-E33</f>
        <v>0</v>
      </c>
      <c r="F29" s="165"/>
      <c r="G29" s="14">
        <f>G28*E29</f>
        <v>0</v>
      </c>
      <c r="H29" s="14">
        <f>H28*E29</f>
        <v>0</v>
      </c>
      <c r="I29" s="2" t="s">
        <v>1111</v>
      </c>
      <c r="J29" s="203">
        <f t="shared" si="1"/>
        <v>17</v>
      </c>
      <c r="K29" s="210">
        <f t="shared" si="2"/>
        <v>19</v>
      </c>
    </row>
    <row r="30" spans="1:12" x14ac:dyDescent="0.25">
      <c r="A30" s="203">
        <f t="shared" si="3"/>
        <v>18</v>
      </c>
      <c r="E30" s="43"/>
      <c r="G30" s="43"/>
      <c r="H30" s="9"/>
      <c r="I30" s="2" t="s">
        <v>1112</v>
      </c>
      <c r="J30" s="203">
        <f t="shared" si="1"/>
        <v>18</v>
      </c>
      <c r="K30" s="210">
        <f t="shared" si="2"/>
        <v>20</v>
      </c>
    </row>
    <row r="31" spans="1:12" ht="15.6" customHeight="1" x14ac:dyDescent="0.25">
      <c r="A31" s="203">
        <f t="shared" si="3"/>
        <v>19</v>
      </c>
      <c r="B31" s="1" t="s">
        <v>425</v>
      </c>
      <c r="C31" s="1"/>
      <c r="D31" s="1"/>
      <c r="H31" s="34"/>
      <c r="I31" s="180"/>
      <c r="J31" s="203">
        <f t="shared" si="1"/>
        <v>19</v>
      </c>
      <c r="K31" s="210">
        <f t="shared" si="2"/>
        <v>21</v>
      </c>
      <c r="L31" s="179"/>
    </row>
    <row r="32" spans="1:12" ht="31.5" x14ac:dyDescent="0.25">
      <c r="A32" s="203">
        <f t="shared" si="3"/>
        <v>20</v>
      </c>
      <c r="B32" s="38" t="s">
        <v>427</v>
      </c>
      <c r="E32" s="33">
        <f>+G32+H32</f>
        <v>0</v>
      </c>
      <c r="F32" s="2"/>
      <c r="G32" s="118">
        <f>'Summary of HV-LV Splits'!G29</f>
        <v>0</v>
      </c>
      <c r="H32" s="118">
        <f>'Summary of HV-LV Splits'!H29</f>
        <v>0</v>
      </c>
      <c r="I32" s="175" t="s">
        <v>689</v>
      </c>
      <c r="J32" s="203">
        <f t="shared" si="1"/>
        <v>20</v>
      </c>
      <c r="K32" s="210">
        <f t="shared" si="2"/>
        <v>22</v>
      </c>
      <c r="L32" s="282"/>
    </row>
    <row r="33" spans="1:12" ht="31.5" x14ac:dyDescent="0.25">
      <c r="A33" s="203">
        <f t="shared" si="3"/>
        <v>21</v>
      </c>
      <c r="B33" s="38" t="s">
        <v>428</v>
      </c>
      <c r="E33" s="44">
        <f>'BK-1 Retail TRR'!E324+'BK-1 Retail TRR'!E326+'BK-1 Retail TRR'!E328</f>
        <v>0</v>
      </c>
      <c r="F33" s="2"/>
      <c r="G33" s="14">
        <f>G32*E33</f>
        <v>0</v>
      </c>
      <c r="H33" s="14">
        <f>H32*E33</f>
        <v>0</v>
      </c>
      <c r="I33" s="175" t="s">
        <v>769</v>
      </c>
      <c r="J33" s="203">
        <f t="shared" si="1"/>
        <v>21</v>
      </c>
      <c r="K33" s="210">
        <f t="shared" si="2"/>
        <v>23</v>
      </c>
    </row>
    <row r="34" spans="1:12" x14ac:dyDescent="0.25">
      <c r="A34" s="203">
        <f t="shared" si="3"/>
        <v>22</v>
      </c>
      <c r="E34" s="43"/>
      <c r="I34" s="2" t="s">
        <v>1113</v>
      </c>
      <c r="J34" s="203">
        <f t="shared" si="1"/>
        <v>22</v>
      </c>
      <c r="K34" s="210">
        <f t="shared" si="2"/>
        <v>24</v>
      </c>
      <c r="L34" s="179"/>
    </row>
    <row r="35" spans="1:12" x14ac:dyDescent="0.25">
      <c r="A35" s="203">
        <f t="shared" si="3"/>
        <v>23</v>
      </c>
      <c r="B35" s="40" t="s">
        <v>242</v>
      </c>
      <c r="C35" s="313"/>
      <c r="D35" s="313"/>
      <c r="I35" s="2"/>
      <c r="J35" s="203">
        <f t="shared" si="1"/>
        <v>23</v>
      </c>
      <c r="K35" s="210">
        <f t="shared" si="2"/>
        <v>25</v>
      </c>
    </row>
    <row r="36" spans="1:12" x14ac:dyDescent="0.25">
      <c r="A36" s="203">
        <f t="shared" si="3"/>
        <v>24</v>
      </c>
      <c r="B36" s="40" t="s">
        <v>243</v>
      </c>
      <c r="C36" s="313"/>
      <c r="D36" s="313"/>
      <c r="I36" s="2"/>
      <c r="J36" s="203">
        <f t="shared" si="1"/>
        <v>24</v>
      </c>
      <c r="K36" s="210">
        <f t="shared" si="2"/>
        <v>26</v>
      </c>
      <c r="L36" s="1"/>
    </row>
    <row r="37" spans="1:12" ht="18.75" x14ac:dyDescent="0.25">
      <c r="A37" s="203">
        <f t="shared" si="3"/>
        <v>25</v>
      </c>
      <c r="B37" s="38" t="s">
        <v>288</v>
      </c>
      <c r="E37" s="9">
        <f>+E29+E33</f>
        <v>0</v>
      </c>
      <c r="F37" s="2"/>
      <c r="G37" s="9">
        <f>+G29+G33</f>
        <v>0</v>
      </c>
      <c r="H37" s="9">
        <f>+H29+H33</f>
        <v>0</v>
      </c>
      <c r="I37" s="2" t="s">
        <v>1114</v>
      </c>
      <c r="J37" s="203">
        <f t="shared" si="1"/>
        <v>25</v>
      </c>
      <c r="K37" s="210">
        <f t="shared" si="2"/>
        <v>27</v>
      </c>
      <c r="L37" s="1"/>
    </row>
    <row r="38" spans="1:12" ht="18.75" x14ac:dyDescent="0.25">
      <c r="A38" s="203">
        <f t="shared" si="3"/>
        <v>26</v>
      </c>
      <c r="B38" s="38" t="s">
        <v>465</v>
      </c>
      <c r="C38" s="37">
        <v>0</v>
      </c>
      <c r="D38" s="516" t="s">
        <v>1136</v>
      </c>
      <c r="E38" s="46">
        <f>G38+H38</f>
        <v>0</v>
      </c>
      <c r="F38" s="2"/>
      <c r="G38" s="31">
        <f>G37*C38</f>
        <v>0</v>
      </c>
      <c r="H38" s="31">
        <f>H37*C38</f>
        <v>0</v>
      </c>
      <c r="I38" s="2" t="s">
        <v>1115</v>
      </c>
      <c r="J38" s="203">
        <f t="shared" si="1"/>
        <v>26</v>
      </c>
      <c r="K38" s="210">
        <f t="shared" si="2"/>
        <v>28</v>
      </c>
    </row>
    <row r="39" spans="1:12" x14ac:dyDescent="0.25">
      <c r="A39" s="203">
        <f t="shared" si="3"/>
        <v>27</v>
      </c>
      <c r="B39" s="38" t="s">
        <v>391</v>
      </c>
      <c r="E39" s="9">
        <f>E37+E38</f>
        <v>0</v>
      </c>
      <c r="F39" s="2"/>
      <c r="G39" s="9">
        <f>G37+G38</f>
        <v>0</v>
      </c>
      <c r="H39" s="9">
        <f>H37+H38</f>
        <v>0</v>
      </c>
      <c r="I39" s="2" t="s">
        <v>1116</v>
      </c>
      <c r="J39" s="203">
        <f t="shared" si="1"/>
        <v>27</v>
      </c>
      <c r="K39" s="210">
        <f t="shared" si="2"/>
        <v>29</v>
      </c>
    </row>
    <row r="40" spans="1:12" x14ac:dyDescent="0.25">
      <c r="A40" s="203">
        <f t="shared" si="3"/>
        <v>28</v>
      </c>
      <c r="E40" s="9"/>
      <c r="F40" s="2"/>
      <c r="G40" s="9"/>
      <c r="H40" s="9"/>
      <c r="I40" s="2"/>
      <c r="J40" s="203">
        <f t="shared" si="1"/>
        <v>28</v>
      </c>
      <c r="K40" s="210">
        <f t="shared" si="2"/>
        <v>30</v>
      </c>
    </row>
    <row r="41" spans="1:12" x14ac:dyDescent="0.25">
      <c r="A41" s="203">
        <f t="shared" si="3"/>
        <v>29</v>
      </c>
      <c r="B41" s="40" t="s">
        <v>711</v>
      </c>
      <c r="E41" s="84">
        <v>0</v>
      </c>
      <c r="F41" s="181"/>
      <c r="G41" s="46">
        <f>E41*G28</f>
        <v>0</v>
      </c>
      <c r="H41" s="46">
        <f>E41*H28</f>
        <v>0</v>
      </c>
      <c r="I41" s="175" t="s">
        <v>517</v>
      </c>
      <c r="J41" s="203">
        <f t="shared" si="1"/>
        <v>29</v>
      </c>
      <c r="K41" s="210">
        <f t="shared" si="2"/>
        <v>31</v>
      </c>
    </row>
    <row r="42" spans="1:12" x14ac:dyDescent="0.25">
      <c r="A42" s="203">
        <f t="shared" si="3"/>
        <v>30</v>
      </c>
      <c r="E42" s="4"/>
      <c r="F42" s="181"/>
      <c r="G42" s="4"/>
      <c r="H42" s="4"/>
      <c r="I42" s="2" t="s">
        <v>1117</v>
      </c>
      <c r="J42" s="203">
        <f t="shared" si="1"/>
        <v>30</v>
      </c>
      <c r="K42" s="210">
        <f t="shared" si="2"/>
        <v>32</v>
      </c>
    </row>
    <row r="43" spans="1:12" x14ac:dyDescent="0.25">
      <c r="A43" s="203">
        <f t="shared" si="3"/>
        <v>31</v>
      </c>
      <c r="E43" s="4"/>
      <c r="F43" s="181"/>
      <c r="G43" s="4"/>
      <c r="H43" s="4"/>
      <c r="I43" s="2"/>
      <c r="J43" s="203">
        <f t="shared" si="1"/>
        <v>31</v>
      </c>
      <c r="K43" s="210">
        <f t="shared" si="2"/>
        <v>33</v>
      </c>
    </row>
    <row r="44" spans="1:12" ht="19.5" thickBot="1" x14ac:dyDescent="0.3">
      <c r="A44" s="203">
        <f t="shared" si="3"/>
        <v>32</v>
      </c>
      <c r="B44" s="40" t="s">
        <v>1135</v>
      </c>
      <c r="E44" s="28">
        <f>E39+E41</f>
        <v>0</v>
      </c>
      <c r="F44" s="472"/>
      <c r="G44" s="28">
        <f>G39+G41</f>
        <v>0</v>
      </c>
      <c r="H44" s="28">
        <f>H39+H41</f>
        <v>0</v>
      </c>
      <c r="I44" s="175" t="s">
        <v>1118</v>
      </c>
      <c r="J44" s="203">
        <f t="shared" si="1"/>
        <v>32</v>
      </c>
      <c r="K44" s="210">
        <f t="shared" si="2"/>
        <v>34</v>
      </c>
      <c r="L44" s="179"/>
    </row>
    <row r="45" spans="1:12" ht="16.5" thickTop="1" x14ac:dyDescent="0.25">
      <c r="B45" s="40"/>
      <c r="C45" s="40"/>
      <c r="D45" s="40"/>
      <c r="E45" s="53"/>
      <c r="F45" s="71"/>
      <c r="G45" s="53"/>
      <c r="H45" s="53"/>
      <c r="I45" s="182"/>
    </row>
    <row r="46" spans="1:12" x14ac:dyDescent="0.25">
      <c r="E46" s="43"/>
      <c r="F46" s="43"/>
      <c r="G46" s="43"/>
      <c r="H46" s="43"/>
      <c r="I46" s="182"/>
    </row>
    <row r="47" spans="1:12" ht="18.75" x14ac:dyDescent="0.25">
      <c r="A47" s="174">
        <v>1</v>
      </c>
      <c r="B47" s="38" t="s">
        <v>472</v>
      </c>
      <c r="I47" s="2"/>
    </row>
    <row r="48" spans="1:12" ht="18.75" x14ac:dyDescent="0.25">
      <c r="A48" s="174">
        <v>2</v>
      </c>
      <c r="B48" s="38" t="s">
        <v>244</v>
      </c>
    </row>
    <row r="49" spans="1:2" ht="18.75" x14ac:dyDescent="0.25">
      <c r="A49" s="516">
        <v>3</v>
      </c>
      <c r="B49" s="179" t="s">
        <v>1137</v>
      </c>
    </row>
    <row r="50" spans="1:2" ht="18.75" x14ac:dyDescent="0.25">
      <c r="A50" s="174" t="s">
        <v>1138</v>
      </c>
      <c r="B50" s="38" t="s">
        <v>530</v>
      </c>
    </row>
  </sheetData>
  <mergeCells count="9">
    <mergeCell ref="G23:H23"/>
    <mergeCell ref="B2:I2"/>
    <mergeCell ref="B3:I3"/>
    <mergeCell ref="B4:I4"/>
    <mergeCell ref="B5:I5"/>
    <mergeCell ref="B6:I6"/>
    <mergeCell ref="G11:H11"/>
    <mergeCell ref="G9:H9"/>
    <mergeCell ref="G13:I13"/>
  </mergeCells>
  <printOptions horizontalCentered="1"/>
  <pageMargins left="0.25" right="0.25" top="0.5" bottom="0.5" header="0.25" footer="0.25"/>
  <pageSetup scale="51" orientation="portrait" r:id="rId1"/>
  <headerFooter scaleWithDoc="0">
    <oddFooter>&amp;C&amp;"Times New Roman,Regular"&amp;10BK-2
Page 1 of 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H30"/>
  <sheetViews>
    <sheetView zoomScale="80" zoomScaleNormal="80" workbookViewId="0"/>
  </sheetViews>
  <sheetFormatPr defaultColWidth="8.7109375" defaultRowHeight="15.75" x14ac:dyDescent="0.25"/>
  <cols>
    <col min="1" max="1" width="5.28515625" style="2" customWidth="1"/>
    <col min="2" max="2" width="63.42578125" style="38" customWidth="1"/>
    <col min="3" max="3" width="24" style="38" customWidth="1"/>
    <col min="4" max="4" width="1.5703125" style="38" customWidth="1"/>
    <col min="5" max="5" width="16.7109375" style="38" customWidth="1"/>
    <col min="6" max="6" width="1.5703125" style="38" customWidth="1"/>
    <col min="7" max="7" width="36.28515625" style="38" customWidth="1"/>
    <col min="8" max="8" width="5.28515625" style="38" customWidth="1"/>
    <col min="9" max="9" width="8.7109375" style="38"/>
    <col min="10" max="10" width="20.42578125" style="38" bestFit="1" customWidth="1"/>
    <col min="11" max="16384" width="8.7109375" style="38"/>
  </cols>
  <sheetData>
    <row r="1" spans="1:8" x14ac:dyDescent="0.25">
      <c r="E1" s="70"/>
      <c r="F1" s="70"/>
      <c r="G1" s="2"/>
      <c r="H1" s="2"/>
    </row>
    <row r="2" spans="1:8" x14ac:dyDescent="0.25">
      <c r="B2" s="584" t="s">
        <v>16</v>
      </c>
      <c r="C2" s="584"/>
      <c r="D2" s="584"/>
      <c r="E2" s="584"/>
      <c r="F2" s="584"/>
      <c r="G2" s="584"/>
      <c r="H2" s="2"/>
    </row>
    <row r="3" spans="1:8" x14ac:dyDescent="0.25">
      <c r="B3" s="584" t="s">
        <v>97</v>
      </c>
      <c r="C3" s="584"/>
      <c r="D3" s="584"/>
      <c r="E3" s="584"/>
      <c r="F3" s="584"/>
      <c r="G3" s="584"/>
      <c r="H3" s="2"/>
    </row>
    <row r="4" spans="1:8" x14ac:dyDescent="0.25">
      <c r="B4" s="584" t="s">
        <v>93</v>
      </c>
      <c r="C4" s="584"/>
      <c r="D4" s="584"/>
      <c r="E4" s="584"/>
      <c r="F4" s="584"/>
      <c r="G4" s="584"/>
      <c r="H4" s="2"/>
    </row>
    <row r="5" spans="1:8" x14ac:dyDescent="0.25">
      <c r="B5" s="586" t="str">
        <f>'Stmt AD'!B5</f>
        <v>Base Period &amp; True-Up Period 12 - Months Ending  December 31, xxxx</v>
      </c>
      <c r="C5" s="586"/>
      <c r="D5" s="586"/>
      <c r="E5" s="586"/>
      <c r="F5" s="586"/>
      <c r="G5" s="586"/>
      <c r="H5" s="2"/>
    </row>
    <row r="6" spans="1:8" x14ac:dyDescent="0.25">
      <c r="B6" s="580" t="s">
        <v>1</v>
      </c>
      <c r="C6" s="581"/>
      <c r="D6" s="581"/>
      <c r="E6" s="581"/>
      <c r="F6" s="581"/>
      <c r="G6" s="581"/>
      <c r="H6" s="2"/>
    </row>
    <row r="7" spans="1:8" x14ac:dyDescent="0.25">
      <c r="B7" s="2"/>
      <c r="C7" s="2"/>
      <c r="D7" s="2"/>
      <c r="E7" s="2"/>
      <c r="F7" s="2"/>
      <c r="G7" s="2"/>
      <c r="H7" s="2"/>
    </row>
    <row r="8" spans="1:8" x14ac:dyDescent="0.25">
      <c r="A8" s="2" t="s">
        <v>2</v>
      </c>
      <c r="B8" s="165"/>
      <c r="C8" s="2" t="s">
        <v>248</v>
      </c>
      <c r="D8" s="165"/>
      <c r="E8" s="165"/>
      <c r="F8" s="165"/>
      <c r="G8" s="2"/>
      <c r="H8" s="2" t="s">
        <v>2</v>
      </c>
    </row>
    <row r="9" spans="1:8" x14ac:dyDescent="0.25">
      <c r="A9" s="2" t="s">
        <v>18</v>
      </c>
      <c r="B9" s="165"/>
      <c r="C9" s="42" t="s">
        <v>246</v>
      </c>
      <c r="D9" s="165"/>
      <c r="E9" s="189" t="s">
        <v>37</v>
      </c>
      <c r="F9" s="165"/>
      <c r="G9" s="42" t="s">
        <v>7</v>
      </c>
      <c r="H9" s="2" t="s">
        <v>18</v>
      </c>
    </row>
    <row r="10" spans="1:8" x14ac:dyDescent="0.25">
      <c r="B10" s="2"/>
      <c r="C10" s="2"/>
      <c r="D10" s="2"/>
      <c r="E10" s="2"/>
      <c r="F10" s="2"/>
      <c r="G10" s="231"/>
      <c r="H10" s="2"/>
    </row>
    <row r="11" spans="1:8" ht="18.75" x14ac:dyDescent="0.25">
      <c r="A11" s="2">
        <v>1</v>
      </c>
      <c r="B11" s="38" t="s">
        <v>393</v>
      </c>
      <c r="C11" s="2" t="s">
        <v>442</v>
      </c>
      <c r="E11" s="50">
        <v>0</v>
      </c>
      <c r="F11" s="165"/>
      <c r="G11" s="2"/>
      <c r="H11" s="2">
        <f>A11</f>
        <v>1</v>
      </c>
    </row>
    <row r="12" spans="1:8" x14ac:dyDescent="0.25">
      <c r="A12" s="2">
        <f>+A11+1</f>
        <v>2</v>
      </c>
      <c r="E12" s="48"/>
      <c r="F12" s="165"/>
      <c r="G12" s="2"/>
      <c r="H12" s="2">
        <f>+H11+1</f>
        <v>2</v>
      </c>
    </row>
    <row r="13" spans="1:8" x14ac:dyDescent="0.25">
      <c r="A13" s="2">
        <f t="shared" ref="A13:A25" si="0">+A12+1</f>
        <v>3</v>
      </c>
      <c r="B13" s="38" t="s">
        <v>94</v>
      </c>
      <c r="C13" s="2" t="s">
        <v>270</v>
      </c>
      <c r="E13" s="52">
        <v>0</v>
      </c>
      <c r="F13" s="165"/>
      <c r="G13" s="2"/>
      <c r="H13" s="2">
        <f t="shared" ref="H13:H25" si="1">+H12+1</f>
        <v>3</v>
      </c>
    </row>
    <row r="14" spans="1:8" x14ac:dyDescent="0.25">
      <c r="A14" s="2">
        <f t="shared" si="0"/>
        <v>4</v>
      </c>
      <c r="E14" s="48"/>
      <c r="F14" s="165"/>
      <c r="G14" s="2"/>
      <c r="H14" s="2">
        <f t="shared" si="1"/>
        <v>4</v>
      </c>
    </row>
    <row r="15" spans="1:8" x14ac:dyDescent="0.25">
      <c r="A15" s="2">
        <f t="shared" si="0"/>
        <v>5</v>
      </c>
      <c r="B15" s="38" t="s">
        <v>329</v>
      </c>
      <c r="C15" s="2" t="s">
        <v>440</v>
      </c>
      <c r="E15" s="52">
        <v>0</v>
      </c>
      <c r="F15" s="165"/>
      <c r="G15" s="2" t="s">
        <v>617</v>
      </c>
      <c r="H15" s="2">
        <f t="shared" si="1"/>
        <v>5</v>
      </c>
    </row>
    <row r="16" spans="1:8" x14ac:dyDescent="0.25">
      <c r="A16" s="2">
        <f t="shared" si="0"/>
        <v>6</v>
      </c>
      <c r="E16" s="48"/>
      <c r="F16" s="165"/>
      <c r="G16" s="2"/>
      <c r="H16" s="2">
        <f t="shared" si="1"/>
        <v>6</v>
      </c>
    </row>
    <row r="17" spans="1:8" x14ac:dyDescent="0.25">
      <c r="A17" s="2">
        <f t="shared" si="0"/>
        <v>7</v>
      </c>
      <c r="B17" s="38" t="s">
        <v>95</v>
      </c>
      <c r="C17" s="2" t="s">
        <v>271</v>
      </c>
      <c r="E17" s="52">
        <v>0</v>
      </c>
      <c r="F17" s="165"/>
      <c r="G17" s="2"/>
      <c r="H17" s="2">
        <f t="shared" si="1"/>
        <v>7</v>
      </c>
    </row>
    <row r="18" spans="1:8" x14ac:dyDescent="0.25">
      <c r="A18" s="2">
        <f t="shared" si="0"/>
        <v>8</v>
      </c>
      <c r="E18" s="48"/>
      <c r="F18" s="165"/>
      <c r="G18" s="2"/>
      <c r="H18" s="2">
        <f t="shared" si="1"/>
        <v>8</v>
      </c>
    </row>
    <row r="19" spans="1:8" x14ac:dyDescent="0.25">
      <c r="A19" s="2">
        <f t="shared" si="0"/>
        <v>9</v>
      </c>
      <c r="B19" s="38" t="s">
        <v>330</v>
      </c>
      <c r="C19" s="2" t="s">
        <v>441</v>
      </c>
      <c r="E19" s="52">
        <v>0</v>
      </c>
      <c r="F19" s="165"/>
      <c r="G19" s="2" t="s">
        <v>618</v>
      </c>
      <c r="H19" s="2">
        <f t="shared" si="1"/>
        <v>9</v>
      </c>
    </row>
    <row r="20" spans="1:8" x14ac:dyDescent="0.25">
      <c r="A20" s="2">
        <f t="shared" si="0"/>
        <v>10</v>
      </c>
      <c r="E20" s="48"/>
      <c r="F20" s="165"/>
      <c r="G20" s="2"/>
      <c r="H20" s="2">
        <f t="shared" si="1"/>
        <v>10</v>
      </c>
    </row>
    <row r="21" spans="1:8" x14ac:dyDescent="0.25">
      <c r="A21" s="2">
        <f t="shared" si="0"/>
        <v>11</v>
      </c>
      <c r="B21" s="38" t="s">
        <v>394</v>
      </c>
      <c r="E21" s="93">
        <v>0</v>
      </c>
      <c r="F21" s="165"/>
      <c r="G21" s="2" t="s">
        <v>619</v>
      </c>
      <c r="H21" s="2">
        <f t="shared" si="1"/>
        <v>11</v>
      </c>
    </row>
    <row r="22" spans="1:8" x14ac:dyDescent="0.25">
      <c r="A22" s="2">
        <f t="shared" si="0"/>
        <v>12</v>
      </c>
      <c r="E22" s="48"/>
      <c r="F22" s="165"/>
      <c r="G22" s="2"/>
      <c r="H22" s="2">
        <f t="shared" si="1"/>
        <v>12</v>
      </c>
    </row>
    <row r="23" spans="1:8" ht="16.5" thickBot="1" x14ac:dyDescent="0.3">
      <c r="A23" s="2">
        <f t="shared" si="0"/>
        <v>13</v>
      </c>
      <c r="B23" s="38" t="s">
        <v>424</v>
      </c>
      <c r="E23" s="113">
        <f>SUM(E11:E21)</f>
        <v>0</v>
      </c>
      <c r="F23" s="165"/>
      <c r="G23" s="2" t="s">
        <v>620</v>
      </c>
      <c r="H23" s="2">
        <f t="shared" si="1"/>
        <v>13</v>
      </c>
    </row>
    <row r="24" spans="1:8" ht="16.5" thickTop="1" x14ac:dyDescent="0.25">
      <c r="A24" s="2">
        <f t="shared" si="0"/>
        <v>14</v>
      </c>
      <c r="E24" s="70" t="s">
        <v>8</v>
      </c>
      <c r="F24" s="165"/>
      <c r="G24" s="2"/>
      <c r="H24" s="2">
        <f t="shared" si="1"/>
        <v>14</v>
      </c>
    </row>
    <row r="25" spans="1:8" ht="16.5" thickBot="1" x14ac:dyDescent="0.3">
      <c r="A25" s="2">
        <f t="shared" si="0"/>
        <v>15</v>
      </c>
      <c r="B25" s="38" t="s">
        <v>96</v>
      </c>
      <c r="E25" s="80">
        <v>0</v>
      </c>
      <c r="F25" s="165"/>
      <c r="G25" s="2" t="s">
        <v>395</v>
      </c>
      <c r="H25" s="2">
        <f t="shared" si="1"/>
        <v>15</v>
      </c>
    </row>
    <row r="26" spans="1:8" ht="16.5" thickTop="1" x14ac:dyDescent="0.25">
      <c r="F26" s="165"/>
    </row>
    <row r="27" spans="1:8" x14ac:dyDescent="0.25">
      <c r="F27" s="165"/>
    </row>
    <row r="28" spans="1:8" ht="18.75" x14ac:dyDescent="0.25">
      <c r="A28" s="193">
        <v>1</v>
      </c>
      <c r="B28" s="38" t="s">
        <v>402</v>
      </c>
    </row>
    <row r="29" spans="1:8" ht="18.75" x14ac:dyDescent="0.25">
      <c r="A29" s="193"/>
      <c r="B29" s="38" t="s">
        <v>408</v>
      </c>
    </row>
    <row r="30" spans="1:8" x14ac:dyDescent="0.25">
      <c r="B30" s="38" t="s">
        <v>409</v>
      </c>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2:M289"/>
  <sheetViews>
    <sheetView zoomScale="80" zoomScaleNormal="80" workbookViewId="0"/>
  </sheetViews>
  <sheetFormatPr defaultColWidth="8.7109375" defaultRowHeight="15.75" x14ac:dyDescent="0.25"/>
  <cols>
    <col min="1" max="1" width="5.28515625" style="2" customWidth="1"/>
    <col min="2" max="2" width="55.42578125" style="38" customWidth="1"/>
    <col min="3" max="5" width="15.5703125" style="38" customWidth="1"/>
    <col min="6" max="6" width="1.5703125" style="38" customWidth="1"/>
    <col min="7" max="7" width="16.7109375" style="38" customWidth="1"/>
    <col min="8" max="8" width="1.5703125" style="38" customWidth="1"/>
    <col min="9" max="9" width="38.7109375" style="180" customWidth="1"/>
    <col min="10" max="11" width="5.28515625" style="38" customWidth="1"/>
    <col min="12" max="12" width="16.28515625" style="38" bestFit="1" customWidth="1"/>
    <col min="13" max="13" width="10.42578125" style="38" bestFit="1" customWidth="1"/>
    <col min="14" max="16384" width="8.7109375" style="38"/>
  </cols>
  <sheetData>
    <row r="2" spans="1:11" x14ac:dyDescent="0.25">
      <c r="B2" s="584" t="s">
        <v>16</v>
      </c>
      <c r="C2" s="584"/>
      <c r="D2" s="584"/>
      <c r="E2" s="584"/>
      <c r="F2" s="584"/>
      <c r="G2" s="584"/>
      <c r="H2" s="584"/>
      <c r="I2" s="584"/>
      <c r="J2" s="2"/>
      <c r="K2" s="2"/>
    </row>
    <row r="3" spans="1:11" x14ac:dyDescent="0.25">
      <c r="B3" s="584" t="s">
        <v>101</v>
      </c>
      <c r="C3" s="584"/>
      <c r="D3" s="584"/>
      <c r="E3" s="584"/>
      <c r="F3" s="584"/>
      <c r="G3" s="584"/>
      <c r="H3" s="584"/>
      <c r="I3" s="584"/>
      <c r="J3" s="2"/>
      <c r="K3" s="2"/>
    </row>
    <row r="4" spans="1:11" x14ac:dyDescent="0.25">
      <c r="B4" s="584" t="s">
        <v>102</v>
      </c>
      <c r="C4" s="584"/>
      <c r="D4" s="584"/>
      <c r="E4" s="584"/>
      <c r="F4" s="584"/>
      <c r="G4" s="584"/>
      <c r="H4" s="584"/>
      <c r="I4" s="584"/>
      <c r="J4" s="2"/>
      <c r="K4" s="2"/>
    </row>
    <row r="5" spans="1:11" x14ac:dyDescent="0.25">
      <c r="B5" s="586" t="str">
        <f>'Stmt AD'!B5</f>
        <v>Base Period &amp; True-Up Period 12 - Months Ending  December 31, xxxx</v>
      </c>
      <c r="C5" s="586"/>
      <c r="D5" s="586"/>
      <c r="E5" s="586"/>
      <c r="F5" s="586"/>
      <c r="G5" s="586"/>
      <c r="H5" s="586"/>
      <c r="I5" s="586"/>
      <c r="J5" s="2"/>
      <c r="K5" s="2"/>
    </row>
    <row r="6" spans="1:11" x14ac:dyDescent="0.25">
      <c r="B6" s="580" t="s">
        <v>1</v>
      </c>
      <c r="C6" s="581"/>
      <c r="D6" s="581"/>
      <c r="E6" s="581"/>
      <c r="F6" s="581"/>
      <c r="G6" s="581"/>
      <c r="H6" s="581"/>
      <c r="I6" s="581"/>
      <c r="J6" s="2"/>
      <c r="K6" s="2"/>
    </row>
    <row r="7" spans="1:11" x14ac:dyDescent="0.25">
      <c r="B7" s="2"/>
      <c r="C7" s="2"/>
      <c r="D7" s="2"/>
      <c r="E7" s="2"/>
      <c r="F7" s="2"/>
      <c r="G7" s="2"/>
      <c r="H7" s="2"/>
      <c r="I7" s="175"/>
      <c r="J7" s="2"/>
      <c r="K7" s="2"/>
    </row>
    <row r="8" spans="1:11" x14ac:dyDescent="0.25">
      <c r="A8" s="2" t="s">
        <v>2</v>
      </c>
      <c r="B8" s="165"/>
      <c r="C8" s="165"/>
      <c r="D8" s="165"/>
      <c r="E8" s="2" t="s">
        <v>248</v>
      </c>
      <c r="F8" s="165"/>
      <c r="G8" s="165"/>
      <c r="H8" s="165"/>
      <c r="I8" s="175"/>
      <c r="J8" s="2" t="s">
        <v>2</v>
      </c>
      <c r="K8" s="2"/>
    </row>
    <row r="9" spans="1:11" x14ac:dyDescent="0.25">
      <c r="A9" s="2" t="s">
        <v>18</v>
      </c>
      <c r="B9" s="2"/>
      <c r="C9" s="2"/>
      <c r="D9" s="2"/>
      <c r="E9" s="42" t="s">
        <v>246</v>
      </c>
      <c r="F9" s="2"/>
      <c r="G9" s="189" t="s">
        <v>37</v>
      </c>
      <c r="H9" s="165"/>
      <c r="I9" s="232" t="s">
        <v>7</v>
      </c>
      <c r="J9" s="2" t="s">
        <v>18</v>
      </c>
      <c r="K9" s="2"/>
    </row>
    <row r="10" spans="1:11" x14ac:dyDescent="0.25">
      <c r="B10" s="2"/>
      <c r="C10" s="2"/>
      <c r="D10" s="2"/>
      <c r="E10" s="2"/>
      <c r="F10" s="2"/>
      <c r="G10" s="2"/>
      <c r="H10" s="2"/>
      <c r="I10" s="175"/>
      <c r="J10" s="2"/>
      <c r="K10" s="2"/>
    </row>
    <row r="11" spans="1:11" x14ac:dyDescent="0.25">
      <c r="A11" s="2">
        <v>1</v>
      </c>
      <c r="B11" s="172" t="s">
        <v>103</v>
      </c>
      <c r="I11" s="175"/>
      <c r="J11" s="2">
        <f>A11</f>
        <v>1</v>
      </c>
      <c r="K11" s="2"/>
    </row>
    <row r="12" spans="1:11" x14ac:dyDescent="0.25">
      <c r="A12" s="2">
        <f>A11+1</f>
        <v>2</v>
      </c>
      <c r="B12" s="38" t="s">
        <v>357</v>
      </c>
      <c r="E12" s="2" t="s">
        <v>257</v>
      </c>
      <c r="G12" s="50">
        <v>0</v>
      </c>
      <c r="H12" s="165"/>
      <c r="I12" s="233"/>
      <c r="J12" s="2">
        <f>J11+1</f>
        <v>2</v>
      </c>
      <c r="K12" s="2"/>
    </row>
    <row r="13" spans="1:11" x14ac:dyDescent="0.25">
      <c r="A13" s="2">
        <f t="shared" ref="A13:A54" si="0">A12+1</f>
        <v>3</v>
      </c>
      <c r="B13" s="38" t="s">
        <v>358</v>
      </c>
      <c r="E13" s="2" t="s">
        <v>272</v>
      </c>
      <c r="G13" s="52">
        <v>0</v>
      </c>
      <c r="H13" s="165"/>
      <c r="I13" s="233"/>
      <c r="J13" s="2">
        <f t="shared" ref="J13:K54" si="1">J12+1</f>
        <v>3</v>
      </c>
      <c r="K13" s="2"/>
    </row>
    <row r="14" spans="1:11" x14ac:dyDescent="0.25">
      <c r="A14" s="2">
        <f t="shared" si="0"/>
        <v>4</v>
      </c>
      <c r="B14" s="38" t="s">
        <v>359</v>
      </c>
      <c r="E14" s="2" t="s">
        <v>273</v>
      </c>
      <c r="G14" s="52">
        <v>0</v>
      </c>
      <c r="H14" s="165"/>
      <c r="I14" s="233"/>
      <c r="J14" s="2">
        <f t="shared" si="1"/>
        <v>4</v>
      </c>
      <c r="K14" s="2"/>
    </row>
    <row r="15" spans="1:11" x14ac:dyDescent="0.25">
      <c r="A15" s="2">
        <f t="shared" si="0"/>
        <v>5</v>
      </c>
      <c r="B15" s="38" t="s">
        <v>326</v>
      </c>
      <c r="E15" s="2" t="s">
        <v>274</v>
      </c>
      <c r="G15" s="52">
        <v>0</v>
      </c>
      <c r="H15" s="165"/>
      <c r="I15" s="233"/>
      <c r="J15" s="2">
        <f t="shared" si="1"/>
        <v>5</v>
      </c>
      <c r="K15" s="2"/>
    </row>
    <row r="16" spans="1:11" x14ac:dyDescent="0.25">
      <c r="A16" s="2">
        <f t="shared" si="0"/>
        <v>6</v>
      </c>
      <c r="B16" s="38" t="s">
        <v>327</v>
      </c>
      <c r="E16" s="2" t="s">
        <v>275</v>
      </c>
      <c r="G16" s="93">
        <v>0</v>
      </c>
      <c r="H16" s="165"/>
      <c r="I16" s="233"/>
      <c r="J16" s="2">
        <f t="shared" si="1"/>
        <v>6</v>
      </c>
      <c r="K16" s="2"/>
    </row>
    <row r="17" spans="1:11" x14ac:dyDescent="0.25">
      <c r="A17" s="2">
        <f t="shared" si="0"/>
        <v>7</v>
      </c>
      <c r="B17" s="38" t="s">
        <v>453</v>
      </c>
      <c r="G17" s="572">
        <f>SUM(G12:G16)</f>
        <v>0</v>
      </c>
      <c r="H17" s="43"/>
      <c r="I17" s="175" t="s">
        <v>574</v>
      </c>
      <c r="J17" s="2">
        <f t="shared" si="1"/>
        <v>7</v>
      </c>
      <c r="K17" s="2"/>
    </row>
    <row r="18" spans="1:11" x14ac:dyDescent="0.25">
      <c r="A18" s="2">
        <f t="shared" si="0"/>
        <v>8</v>
      </c>
      <c r="I18" s="175"/>
      <c r="J18" s="2">
        <f t="shared" si="1"/>
        <v>8</v>
      </c>
      <c r="K18" s="2"/>
    </row>
    <row r="19" spans="1:11" x14ac:dyDescent="0.25">
      <c r="A19" s="2">
        <f t="shared" si="0"/>
        <v>9</v>
      </c>
      <c r="B19" s="172" t="s">
        <v>104</v>
      </c>
      <c r="G19" s="4"/>
      <c r="H19" s="4"/>
      <c r="I19" s="175"/>
      <c r="J19" s="2">
        <f t="shared" si="1"/>
        <v>9</v>
      </c>
      <c r="K19" s="2"/>
    </row>
    <row r="20" spans="1:11" x14ac:dyDescent="0.25">
      <c r="A20" s="2">
        <f t="shared" si="0"/>
        <v>10</v>
      </c>
      <c r="B20" s="38" t="s">
        <v>360</v>
      </c>
      <c r="E20" s="2" t="s">
        <v>276</v>
      </c>
      <c r="G20" s="50">
        <v>0</v>
      </c>
      <c r="H20" s="165"/>
      <c r="I20" s="233"/>
      <c r="J20" s="2">
        <f t="shared" si="1"/>
        <v>10</v>
      </c>
      <c r="K20" s="2"/>
    </row>
    <row r="21" spans="1:11" x14ac:dyDescent="0.25">
      <c r="A21" s="2">
        <f t="shared" si="0"/>
        <v>11</v>
      </c>
      <c r="B21" s="38" t="s">
        <v>361</v>
      </c>
      <c r="E21" s="2" t="s">
        <v>277</v>
      </c>
      <c r="G21" s="52">
        <v>0</v>
      </c>
      <c r="H21" s="165"/>
      <c r="I21" s="233"/>
      <c r="J21" s="2">
        <f t="shared" si="1"/>
        <v>11</v>
      </c>
      <c r="K21" s="2"/>
    </row>
    <row r="22" spans="1:11" x14ac:dyDescent="0.25">
      <c r="A22" s="2">
        <f t="shared" si="0"/>
        <v>12</v>
      </c>
      <c r="B22" s="38" t="s">
        <v>362</v>
      </c>
      <c r="E22" s="2" t="s">
        <v>278</v>
      </c>
      <c r="G22" s="52">
        <v>0</v>
      </c>
      <c r="H22" s="165"/>
      <c r="I22" s="233"/>
      <c r="J22" s="2">
        <f t="shared" si="1"/>
        <v>12</v>
      </c>
      <c r="K22" s="2"/>
    </row>
    <row r="23" spans="1:11" x14ac:dyDescent="0.25">
      <c r="A23" s="2">
        <f t="shared" si="0"/>
        <v>13</v>
      </c>
      <c r="B23" s="38" t="s">
        <v>363</v>
      </c>
      <c r="E23" s="2" t="s">
        <v>279</v>
      </c>
      <c r="G23" s="52">
        <v>0</v>
      </c>
      <c r="H23" s="165"/>
      <c r="I23" s="233"/>
      <c r="J23" s="2">
        <f t="shared" si="1"/>
        <v>13</v>
      </c>
      <c r="K23" s="2"/>
    </row>
    <row r="24" spans="1:11" x14ac:dyDescent="0.25">
      <c r="A24" s="2">
        <f t="shared" si="0"/>
        <v>14</v>
      </c>
      <c r="B24" s="38" t="s">
        <v>364</v>
      </c>
      <c r="E24" s="2" t="s">
        <v>280</v>
      </c>
      <c r="G24" s="93">
        <v>0</v>
      </c>
      <c r="H24" s="165"/>
      <c r="I24" s="233"/>
      <c r="J24" s="2">
        <f t="shared" si="1"/>
        <v>14</v>
      </c>
      <c r="K24" s="2"/>
    </row>
    <row r="25" spans="1:11" x14ac:dyDescent="0.25">
      <c r="A25" s="2">
        <f t="shared" si="0"/>
        <v>15</v>
      </c>
      <c r="B25" s="38" t="s">
        <v>454</v>
      </c>
      <c r="G25" s="114">
        <f>SUM(G20:G24)</f>
        <v>0</v>
      </c>
      <c r="H25" s="60"/>
      <c r="I25" s="175" t="s">
        <v>575</v>
      </c>
      <c r="J25" s="2">
        <f t="shared" si="1"/>
        <v>15</v>
      </c>
      <c r="K25" s="2"/>
    </row>
    <row r="26" spans="1:11" x14ac:dyDescent="0.25">
      <c r="A26" s="2">
        <f t="shared" si="0"/>
        <v>16</v>
      </c>
      <c r="I26" s="175"/>
      <c r="J26" s="2">
        <f t="shared" si="1"/>
        <v>16</v>
      </c>
      <c r="K26" s="2"/>
    </row>
    <row r="27" spans="1:11" ht="16.5" thickBot="1" x14ac:dyDescent="0.3">
      <c r="A27" s="2">
        <f t="shared" si="0"/>
        <v>17</v>
      </c>
      <c r="B27" s="172" t="s">
        <v>105</v>
      </c>
      <c r="G27" s="63">
        <f>IFERROR(G25/G17,0)</f>
        <v>0</v>
      </c>
      <c r="H27" s="33"/>
      <c r="I27" s="175" t="s">
        <v>576</v>
      </c>
      <c r="J27" s="2">
        <f t="shared" si="1"/>
        <v>17</v>
      </c>
      <c r="K27" s="2"/>
    </row>
    <row r="28" spans="1:11" ht="16.5" thickTop="1" x14ac:dyDescent="0.25">
      <c r="A28" s="2">
        <f t="shared" si="0"/>
        <v>18</v>
      </c>
      <c r="I28" s="175"/>
      <c r="J28" s="2">
        <f t="shared" si="1"/>
        <v>18</v>
      </c>
      <c r="K28" s="2"/>
    </row>
    <row r="29" spans="1:11" x14ac:dyDescent="0.25">
      <c r="A29" s="2">
        <f t="shared" si="0"/>
        <v>19</v>
      </c>
      <c r="B29" s="172" t="s">
        <v>106</v>
      </c>
      <c r="I29" s="175"/>
      <c r="J29" s="2">
        <f t="shared" si="1"/>
        <v>19</v>
      </c>
      <c r="K29" s="2"/>
    </row>
    <row r="30" spans="1:11" x14ac:dyDescent="0.25">
      <c r="A30" s="2">
        <f t="shared" si="0"/>
        <v>20</v>
      </c>
      <c r="B30" s="38" t="s">
        <v>365</v>
      </c>
      <c r="E30" s="2" t="s">
        <v>281</v>
      </c>
      <c r="G30" s="50">
        <v>0</v>
      </c>
      <c r="H30" s="165"/>
      <c r="I30" s="233"/>
      <c r="J30" s="2">
        <f t="shared" si="1"/>
        <v>20</v>
      </c>
      <c r="K30" s="2"/>
    </row>
    <row r="31" spans="1:11" x14ac:dyDescent="0.25">
      <c r="A31" s="2">
        <f t="shared" si="0"/>
        <v>21</v>
      </c>
      <c r="B31" s="38" t="s">
        <v>366</v>
      </c>
      <c r="E31" s="2" t="s">
        <v>282</v>
      </c>
      <c r="G31" s="115">
        <v>0</v>
      </c>
      <c r="H31" s="165"/>
      <c r="I31" s="233"/>
      <c r="J31" s="2">
        <f t="shared" si="1"/>
        <v>21</v>
      </c>
      <c r="K31" s="2"/>
    </row>
    <row r="32" spans="1:11" ht="16.5" thickBot="1" x14ac:dyDescent="0.3">
      <c r="A32" s="2">
        <f t="shared" si="0"/>
        <v>22</v>
      </c>
      <c r="B32" s="38" t="s">
        <v>455</v>
      </c>
      <c r="G32" s="63">
        <f>IFERROR((G31/G30),0)</f>
        <v>0</v>
      </c>
      <c r="H32" s="33"/>
      <c r="I32" s="175" t="s">
        <v>577</v>
      </c>
      <c r="J32" s="2">
        <f t="shared" si="1"/>
        <v>22</v>
      </c>
      <c r="K32" s="2"/>
    </row>
    <row r="33" spans="1:12" ht="16.5" thickTop="1" x14ac:dyDescent="0.25">
      <c r="A33" s="2">
        <f t="shared" si="0"/>
        <v>23</v>
      </c>
      <c r="I33" s="175"/>
      <c r="J33" s="2">
        <f t="shared" si="1"/>
        <v>23</v>
      </c>
      <c r="K33" s="2"/>
    </row>
    <row r="34" spans="1:12" x14ac:dyDescent="0.25">
      <c r="A34" s="2">
        <f t="shared" si="0"/>
        <v>24</v>
      </c>
      <c r="B34" s="172" t="s">
        <v>107</v>
      </c>
      <c r="I34" s="175"/>
      <c r="J34" s="2">
        <f t="shared" si="1"/>
        <v>24</v>
      </c>
      <c r="K34" s="2"/>
    </row>
    <row r="35" spans="1:12" x14ac:dyDescent="0.25">
      <c r="A35" s="2">
        <f t="shared" si="0"/>
        <v>25</v>
      </c>
      <c r="B35" s="38" t="s">
        <v>328</v>
      </c>
      <c r="E35" s="2" t="s">
        <v>283</v>
      </c>
      <c r="G35" s="50">
        <v>0</v>
      </c>
      <c r="H35" s="165"/>
      <c r="I35" s="233"/>
      <c r="J35" s="2">
        <f t="shared" si="1"/>
        <v>25</v>
      </c>
      <c r="K35" s="2"/>
      <c r="L35" s="43"/>
    </row>
    <row r="36" spans="1:12" x14ac:dyDescent="0.25">
      <c r="A36" s="203"/>
      <c r="B36" s="179" t="s">
        <v>1190</v>
      </c>
      <c r="E36" s="2"/>
      <c r="G36" s="578">
        <v>0</v>
      </c>
      <c r="H36" s="165"/>
      <c r="I36" s="228" t="s">
        <v>247</v>
      </c>
      <c r="J36" s="2"/>
      <c r="K36" s="210">
        <v>26</v>
      </c>
      <c r="L36" s="43"/>
    </row>
    <row r="37" spans="1:12" x14ac:dyDescent="0.25">
      <c r="A37" s="203"/>
      <c r="B37" s="179" t="s">
        <v>1191</v>
      </c>
      <c r="E37" s="2"/>
      <c r="G37" s="578">
        <v>0</v>
      </c>
      <c r="H37" s="165"/>
      <c r="I37" s="228" t="s">
        <v>247</v>
      </c>
      <c r="J37" s="2"/>
      <c r="K37" s="210">
        <f>K36+1</f>
        <v>27</v>
      </c>
      <c r="L37" s="43"/>
    </row>
    <row r="38" spans="1:12" x14ac:dyDescent="0.25">
      <c r="A38" s="203">
        <f>A35+1</f>
        <v>26</v>
      </c>
      <c r="B38" s="38" t="s">
        <v>369</v>
      </c>
      <c r="E38" s="2" t="s">
        <v>281</v>
      </c>
      <c r="G38" s="48">
        <f>-G30</f>
        <v>0</v>
      </c>
      <c r="H38" s="48"/>
      <c r="I38" s="175" t="s">
        <v>616</v>
      </c>
      <c r="J38" s="203">
        <f>J35+1</f>
        <v>26</v>
      </c>
      <c r="K38" s="210">
        <f>K37+1</f>
        <v>28</v>
      </c>
    </row>
    <row r="39" spans="1:12" x14ac:dyDescent="0.25">
      <c r="A39" s="203">
        <f t="shared" si="0"/>
        <v>27</v>
      </c>
      <c r="B39" s="38" t="s">
        <v>367</v>
      </c>
      <c r="E39" s="2" t="s">
        <v>284</v>
      </c>
      <c r="G39" s="52">
        <v>0</v>
      </c>
      <c r="H39" s="165"/>
      <c r="I39" s="233"/>
      <c r="J39" s="203">
        <f t="shared" si="1"/>
        <v>27</v>
      </c>
      <c r="K39" s="210">
        <f t="shared" si="1"/>
        <v>29</v>
      </c>
    </row>
    <row r="40" spans="1:12" x14ac:dyDescent="0.25">
      <c r="A40" s="203">
        <f t="shared" si="0"/>
        <v>28</v>
      </c>
      <c r="B40" s="38" t="s">
        <v>368</v>
      </c>
      <c r="E40" s="2" t="s">
        <v>285</v>
      </c>
      <c r="G40" s="52">
        <v>0</v>
      </c>
      <c r="H40" s="165"/>
      <c r="I40" s="233"/>
      <c r="J40" s="203">
        <f t="shared" si="1"/>
        <v>28</v>
      </c>
      <c r="K40" s="210">
        <f t="shared" si="1"/>
        <v>30</v>
      </c>
    </row>
    <row r="41" spans="1:12" ht="16.5" thickBot="1" x14ac:dyDescent="0.3">
      <c r="A41" s="203">
        <f t="shared" si="0"/>
        <v>29</v>
      </c>
      <c r="B41" s="38" t="s">
        <v>456</v>
      </c>
      <c r="G41" s="96">
        <f>SUM(G35:G40)</f>
        <v>0</v>
      </c>
      <c r="H41" s="43"/>
      <c r="I41" s="175" t="s">
        <v>1192</v>
      </c>
      <c r="J41" s="203">
        <f t="shared" si="1"/>
        <v>29</v>
      </c>
      <c r="K41" s="210">
        <f t="shared" si="1"/>
        <v>31</v>
      </c>
    </row>
    <row r="42" spans="1:12" ht="17.25" thickTop="1" thickBot="1" x14ac:dyDescent="0.3">
      <c r="A42" s="489">
        <f t="shared" si="0"/>
        <v>30</v>
      </c>
      <c r="B42" s="107"/>
      <c r="C42" s="107"/>
      <c r="D42" s="107"/>
      <c r="E42" s="107"/>
      <c r="F42" s="107"/>
      <c r="G42" s="107"/>
      <c r="H42" s="107"/>
      <c r="I42" s="234"/>
      <c r="J42" s="489">
        <f t="shared" si="1"/>
        <v>30</v>
      </c>
      <c r="K42" s="210">
        <f t="shared" si="1"/>
        <v>32</v>
      </c>
    </row>
    <row r="43" spans="1:12" x14ac:dyDescent="0.25">
      <c r="A43" s="203">
        <f>A42+1</f>
        <v>31</v>
      </c>
      <c r="I43" s="175"/>
      <c r="J43" s="203">
        <f>J42+1</f>
        <v>31</v>
      </c>
      <c r="K43" s="210">
        <f t="shared" ref="K43:K50" si="2">K42+1</f>
        <v>33</v>
      </c>
    </row>
    <row r="44" spans="1:12" ht="16.5" thickBot="1" x14ac:dyDescent="0.3">
      <c r="A44" s="203">
        <f>A43+1</f>
        <v>32</v>
      </c>
      <c r="B44" s="172" t="s">
        <v>1052</v>
      </c>
      <c r="G44" s="116">
        <v>0</v>
      </c>
      <c r="H44" s="165"/>
      <c r="I44" s="203" t="s">
        <v>1163</v>
      </c>
      <c r="J44" s="203">
        <f>J43+1</f>
        <v>32</v>
      </c>
      <c r="K44" s="210">
        <f t="shared" si="2"/>
        <v>34</v>
      </c>
    </row>
    <row r="45" spans="1:12" ht="16.5" thickTop="1" x14ac:dyDescent="0.25">
      <c r="A45" s="203">
        <f t="shared" si="0"/>
        <v>33</v>
      </c>
      <c r="C45" s="41" t="s">
        <v>3</v>
      </c>
      <c r="D45" s="41" t="s">
        <v>4</v>
      </c>
      <c r="E45" s="41" t="s">
        <v>98</v>
      </c>
      <c r="F45" s="41"/>
      <c r="G45" s="41" t="s">
        <v>108</v>
      </c>
      <c r="H45" s="41"/>
      <c r="I45" s="175"/>
      <c r="J45" s="203">
        <f t="shared" si="1"/>
        <v>33</v>
      </c>
      <c r="K45" s="210">
        <f t="shared" si="2"/>
        <v>35</v>
      </c>
    </row>
    <row r="46" spans="1:12" x14ac:dyDescent="0.25">
      <c r="A46" s="203">
        <f t="shared" si="0"/>
        <v>34</v>
      </c>
      <c r="D46" s="2" t="s">
        <v>109</v>
      </c>
      <c r="E46" s="2" t="s">
        <v>125</v>
      </c>
      <c r="F46" s="2"/>
      <c r="G46" s="2" t="s">
        <v>110</v>
      </c>
      <c r="H46" s="2"/>
      <c r="I46" s="175"/>
      <c r="J46" s="203">
        <f t="shared" si="1"/>
        <v>34</v>
      </c>
      <c r="K46" s="210">
        <f t="shared" si="2"/>
        <v>36</v>
      </c>
    </row>
    <row r="47" spans="1:12" ht="18.75" x14ac:dyDescent="0.25">
      <c r="A47" s="203">
        <f t="shared" si="0"/>
        <v>35</v>
      </c>
      <c r="B47" s="172" t="s">
        <v>111</v>
      </c>
      <c r="C47" s="42" t="s">
        <v>488</v>
      </c>
      <c r="D47" s="42" t="s">
        <v>112</v>
      </c>
      <c r="E47" s="42" t="s">
        <v>126</v>
      </c>
      <c r="F47" s="42"/>
      <c r="G47" s="42" t="s">
        <v>113</v>
      </c>
      <c r="H47" s="2"/>
      <c r="I47" s="175"/>
      <c r="J47" s="203">
        <f t="shared" si="1"/>
        <v>35</v>
      </c>
      <c r="K47" s="210">
        <f t="shared" si="2"/>
        <v>37</v>
      </c>
    </row>
    <row r="48" spans="1:12" x14ac:dyDescent="0.25">
      <c r="A48" s="203">
        <f t="shared" si="0"/>
        <v>36</v>
      </c>
      <c r="I48" s="175"/>
      <c r="J48" s="203">
        <f t="shared" si="1"/>
        <v>36</v>
      </c>
      <c r="K48" s="210">
        <f t="shared" si="2"/>
        <v>38</v>
      </c>
    </row>
    <row r="49" spans="1:11" x14ac:dyDescent="0.25">
      <c r="A49" s="203">
        <f t="shared" si="0"/>
        <v>37</v>
      </c>
      <c r="B49" s="38" t="s">
        <v>114</v>
      </c>
      <c r="C49" s="43">
        <f>G17</f>
        <v>0</v>
      </c>
      <c r="D49" s="33">
        <f>IFERROR(C49/C$52,0)</f>
        <v>0</v>
      </c>
      <c r="E49" s="118">
        <f>G27</f>
        <v>0</v>
      </c>
      <c r="G49" s="33">
        <f>D49*E49</f>
        <v>0</v>
      </c>
      <c r="H49" s="33"/>
      <c r="I49" s="175" t="s">
        <v>578</v>
      </c>
      <c r="J49" s="203">
        <f t="shared" si="1"/>
        <v>37</v>
      </c>
      <c r="K49" s="210">
        <f t="shared" si="2"/>
        <v>39</v>
      </c>
    </row>
    <row r="50" spans="1:11" x14ac:dyDescent="0.25">
      <c r="A50" s="203">
        <f t="shared" si="0"/>
        <v>38</v>
      </c>
      <c r="B50" s="38" t="s">
        <v>115</v>
      </c>
      <c r="C50" s="4">
        <f>G30</f>
        <v>0</v>
      </c>
      <c r="D50" s="33">
        <f>IFERROR(C50/C$52,0)</f>
        <v>0</v>
      </c>
      <c r="E50" s="118">
        <f>G32</f>
        <v>0</v>
      </c>
      <c r="G50" s="33">
        <f>D50*E50</f>
        <v>0</v>
      </c>
      <c r="H50" s="33"/>
      <c r="I50" s="175" t="s">
        <v>579</v>
      </c>
      <c r="J50" s="203">
        <f t="shared" si="1"/>
        <v>38</v>
      </c>
      <c r="K50" s="210">
        <f t="shared" si="2"/>
        <v>40</v>
      </c>
    </row>
    <row r="51" spans="1:11" x14ac:dyDescent="0.25">
      <c r="A51" s="203">
        <f t="shared" si="0"/>
        <v>39</v>
      </c>
      <c r="B51" s="38" t="s">
        <v>116</v>
      </c>
      <c r="C51" s="4">
        <f>G41</f>
        <v>0</v>
      </c>
      <c r="D51" s="117">
        <f>IFERROR(C51/C$52,0)</f>
        <v>0</v>
      </c>
      <c r="E51" s="561">
        <f>G44</f>
        <v>0</v>
      </c>
      <c r="G51" s="117">
        <f>D51*E51</f>
        <v>0</v>
      </c>
      <c r="H51" s="33"/>
      <c r="I51" s="175" t="s">
        <v>1193</v>
      </c>
      <c r="J51" s="203">
        <f t="shared" si="1"/>
        <v>39</v>
      </c>
      <c r="K51" s="210">
        <f t="shared" si="1"/>
        <v>41</v>
      </c>
    </row>
    <row r="52" spans="1:11" ht="16.5" thickBot="1" x14ac:dyDescent="0.3">
      <c r="A52" s="203">
        <f t="shared" si="0"/>
        <v>40</v>
      </c>
      <c r="B52" s="38" t="s">
        <v>457</v>
      </c>
      <c r="C52" s="96">
        <f>SUM(C49:C51)</f>
        <v>0</v>
      </c>
      <c r="D52" s="63">
        <f>SUM(D49:D51)</f>
        <v>0</v>
      </c>
      <c r="G52" s="63">
        <f>SUM(G49:G51)</f>
        <v>0</v>
      </c>
      <c r="H52" s="33"/>
      <c r="I52" s="175" t="s">
        <v>1194</v>
      </c>
      <c r="J52" s="203">
        <f t="shared" si="1"/>
        <v>40</v>
      </c>
      <c r="K52" s="210">
        <f t="shared" si="1"/>
        <v>42</v>
      </c>
    </row>
    <row r="53" spans="1:11" ht="16.5" thickTop="1" x14ac:dyDescent="0.25">
      <c r="A53" s="203">
        <f t="shared" si="0"/>
        <v>41</v>
      </c>
      <c r="I53" s="175"/>
      <c r="J53" s="203">
        <f t="shared" si="1"/>
        <v>41</v>
      </c>
      <c r="K53" s="210">
        <f t="shared" si="1"/>
        <v>43</v>
      </c>
    </row>
    <row r="54" spans="1:11" ht="16.5" thickBot="1" x14ac:dyDescent="0.3">
      <c r="A54" s="203">
        <f t="shared" si="0"/>
        <v>42</v>
      </c>
      <c r="B54" s="172" t="s">
        <v>127</v>
      </c>
      <c r="G54" s="63">
        <f>G50+G51</f>
        <v>0</v>
      </c>
      <c r="H54" s="33"/>
      <c r="I54" s="175" t="s">
        <v>1195</v>
      </c>
      <c r="J54" s="203">
        <f t="shared" si="1"/>
        <v>42</v>
      </c>
      <c r="K54" s="210">
        <f t="shared" si="1"/>
        <v>44</v>
      </c>
    </row>
    <row r="55" spans="1:11" ht="17.25" thickTop="1" thickBot="1" x14ac:dyDescent="0.3">
      <c r="A55" s="489">
        <f>A54+1</f>
        <v>43</v>
      </c>
      <c r="B55" s="490"/>
      <c r="C55" s="490"/>
      <c r="D55" s="490"/>
      <c r="E55" s="490"/>
      <c r="F55" s="490"/>
      <c r="G55" s="490"/>
      <c r="H55" s="490"/>
      <c r="I55" s="491"/>
      <c r="J55" s="489">
        <f>J54+1</f>
        <v>43</v>
      </c>
      <c r="K55" s="210">
        <f t="shared" ref="K55:K67" si="3">K54+1</f>
        <v>45</v>
      </c>
    </row>
    <row r="56" spans="1:11" x14ac:dyDescent="0.25">
      <c r="A56" s="203">
        <f t="shared" ref="A56:A104" si="4">A55+1</f>
        <v>44</v>
      </c>
      <c r="B56" s="218"/>
      <c r="C56" s="218"/>
      <c r="D56" s="218"/>
      <c r="E56" s="218"/>
      <c r="F56" s="218"/>
      <c r="G56" s="218"/>
      <c r="H56" s="218"/>
      <c r="I56" s="226"/>
      <c r="J56" s="203">
        <f t="shared" ref="J56:J104" si="5">J55+1</f>
        <v>44</v>
      </c>
      <c r="K56" s="210">
        <f t="shared" si="3"/>
        <v>46</v>
      </c>
    </row>
    <row r="57" spans="1:11" ht="16.5" thickBot="1" x14ac:dyDescent="0.3">
      <c r="A57" s="203">
        <f>A56+1</f>
        <v>45</v>
      </c>
      <c r="B57" s="172" t="s">
        <v>1053</v>
      </c>
      <c r="G57" s="116">
        <v>0</v>
      </c>
      <c r="I57" s="203" t="s">
        <v>1163</v>
      </c>
      <c r="J57" s="203">
        <f>J56+1</f>
        <v>45</v>
      </c>
      <c r="K57" s="210">
        <f t="shared" si="3"/>
        <v>47</v>
      </c>
    </row>
    <row r="58" spans="1:11" ht="16.5" thickTop="1" x14ac:dyDescent="0.25">
      <c r="A58" s="203">
        <f t="shared" si="4"/>
        <v>46</v>
      </c>
      <c r="C58" s="41" t="s">
        <v>3</v>
      </c>
      <c r="D58" s="41" t="s">
        <v>4</v>
      </c>
      <c r="E58" s="41" t="s">
        <v>98</v>
      </c>
      <c r="F58" s="41"/>
      <c r="G58" s="41" t="s">
        <v>108</v>
      </c>
      <c r="I58" s="175"/>
      <c r="J58" s="203">
        <f t="shared" si="5"/>
        <v>46</v>
      </c>
      <c r="K58" s="210">
        <f t="shared" si="3"/>
        <v>48</v>
      </c>
    </row>
    <row r="59" spans="1:11" x14ac:dyDescent="0.25">
      <c r="A59" s="203">
        <f t="shared" si="4"/>
        <v>47</v>
      </c>
      <c r="D59" s="2" t="s">
        <v>109</v>
      </c>
      <c r="E59" s="2" t="s">
        <v>125</v>
      </c>
      <c r="F59" s="2"/>
      <c r="G59" s="2" t="s">
        <v>110</v>
      </c>
      <c r="I59" s="175"/>
      <c r="J59" s="203">
        <f t="shared" si="5"/>
        <v>47</v>
      </c>
      <c r="K59" s="210">
        <f t="shared" si="3"/>
        <v>49</v>
      </c>
    </row>
    <row r="60" spans="1:11" ht="18.75" x14ac:dyDescent="0.25">
      <c r="A60" s="203">
        <f t="shared" si="4"/>
        <v>48</v>
      </c>
      <c r="B60" s="172" t="s">
        <v>111</v>
      </c>
      <c r="C60" s="42" t="s">
        <v>488</v>
      </c>
      <c r="D60" s="42" t="s">
        <v>112</v>
      </c>
      <c r="E60" s="42" t="s">
        <v>126</v>
      </c>
      <c r="F60" s="42"/>
      <c r="G60" s="42" t="s">
        <v>113</v>
      </c>
      <c r="I60" s="175"/>
      <c r="J60" s="203">
        <f t="shared" si="5"/>
        <v>48</v>
      </c>
      <c r="K60" s="210">
        <f t="shared" si="3"/>
        <v>50</v>
      </c>
    </row>
    <row r="61" spans="1:11" x14ac:dyDescent="0.25">
      <c r="A61" s="203">
        <f t="shared" si="4"/>
        <v>49</v>
      </c>
      <c r="I61" s="175"/>
      <c r="J61" s="203">
        <f t="shared" si="5"/>
        <v>49</v>
      </c>
      <c r="K61" s="210">
        <f t="shared" si="3"/>
        <v>51</v>
      </c>
    </row>
    <row r="62" spans="1:11" x14ac:dyDescent="0.25">
      <c r="A62" s="203">
        <f t="shared" si="4"/>
        <v>50</v>
      </c>
      <c r="B62" s="38" t="s">
        <v>114</v>
      </c>
      <c r="C62" s="43">
        <f>G17</f>
        <v>0</v>
      </c>
      <c r="D62" s="33">
        <f>IFERROR(C62/C$65,0)</f>
        <v>0</v>
      </c>
      <c r="E62" s="542">
        <v>0</v>
      </c>
      <c r="G62" s="33">
        <f>D62*E62</f>
        <v>0</v>
      </c>
      <c r="I62" s="175" t="s">
        <v>730</v>
      </c>
      <c r="J62" s="203">
        <f t="shared" si="5"/>
        <v>50</v>
      </c>
      <c r="K62" s="210">
        <f t="shared" si="3"/>
        <v>52</v>
      </c>
    </row>
    <row r="63" spans="1:11" x14ac:dyDescent="0.25">
      <c r="A63" s="203">
        <f t="shared" si="4"/>
        <v>51</v>
      </c>
      <c r="B63" s="38" t="s">
        <v>115</v>
      </c>
      <c r="C63" s="4">
        <f>G30</f>
        <v>0</v>
      </c>
      <c r="D63" s="33">
        <f t="shared" ref="D63:D64" si="6">IFERROR(C63/C$65,0)</f>
        <v>0</v>
      </c>
      <c r="E63" s="542">
        <v>0</v>
      </c>
      <c r="G63" s="33">
        <f>D63*E63</f>
        <v>0</v>
      </c>
      <c r="I63" s="175" t="s">
        <v>730</v>
      </c>
      <c r="J63" s="203">
        <f t="shared" si="5"/>
        <v>51</v>
      </c>
      <c r="K63" s="210">
        <f t="shared" si="3"/>
        <v>53</v>
      </c>
    </row>
    <row r="64" spans="1:11" x14ac:dyDescent="0.25">
      <c r="A64" s="203">
        <f t="shared" si="4"/>
        <v>52</v>
      </c>
      <c r="B64" s="38" t="s">
        <v>116</v>
      </c>
      <c r="C64" s="4">
        <f>G41</f>
        <v>0</v>
      </c>
      <c r="D64" s="543">
        <f t="shared" si="6"/>
        <v>0</v>
      </c>
      <c r="E64" s="561">
        <f>G57</f>
        <v>0</v>
      </c>
      <c r="G64" s="117">
        <f>D64*E64</f>
        <v>0</v>
      </c>
      <c r="I64" s="175" t="s">
        <v>1196</v>
      </c>
      <c r="J64" s="203">
        <f t="shared" si="5"/>
        <v>52</v>
      </c>
      <c r="K64" s="210">
        <f t="shared" si="3"/>
        <v>54</v>
      </c>
    </row>
    <row r="65" spans="1:11" ht="16.5" thickBot="1" x14ac:dyDescent="0.3">
      <c r="A65" s="203">
        <f t="shared" si="4"/>
        <v>53</v>
      </c>
      <c r="B65" s="38" t="s">
        <v>457</v>
      </c>
      <c r="C65" s="96">
        <f>SUM(C62:C64)</f>
        <v>0</v>
      </c>
      <c r="D65" s="63">
        <f>SUM(D62:D64)</f>
        <v>0</v>
      </c>
      <c r="G65" s="63">
        <f>SUM(G62:G64)</f>
        <v>0</v>
      </c>
      <c r="I65" s="175" t="s">
        <v>1197</v>
      </c>
      <c r="J65" s="203">
        <f t="shared" si="5"/>
        <v>53</v>
      </c>
      <c r="K65" s="210">
        <f t="shared" si="3"/>
        <v>55</v>
      </c>
    </row>
    <row r="66" spans="1:11" ht="16.5" thickTop="1" x14ac:dyDescent="0.25">
      <c r="A66" s="203">
        <f t="shared" si="4"/>
        <v>54</v>
      </c>
      <c r="I66" s="175"/>
      <c r="J66" s="203">
        <f t="shared" si="5"/>
        <v>54</v>
      </c>
      <c r="K66" s="210">
        <f t="shared" si="3"/>
        <v>56</v>
      </c>
    </row>
    <row r="67" spans="1:11" ht="16.5" thickBot="1" x14ac:dyDescent="0.3">
      <c r="A67" s="203">
        <f t="shared" si="4"/>
        <v>55</v>
      </c>
      <c r="B67" s="172" t="s">
        <v>738</v>
      </c>
      <c r="G67" s="562">
        <f>G64</f>
        <v>0</v>
      </c>
      <c r="I67" s="175" t="s">
        <v>1198</v>
      </c>
      <c r="J67" s="203">
        <f t="shared" si="5"/>
        <v>55</v>
      </c>
      <c r="K67" s="210">
        <f t="shared" si="3"/>
        <v>57</v>
      </c>
    </row>
    <row r="68" spans="1:11" ht="16.5" thickTop="1" x14ac:dyDescent="0.25">
      <c r="B68" s="172"/>
      <c r="G68" s="33"/>
      <c r="I68" s="175"/>
      <c r="J68" s="2"/>
      <c r="K68" s="2"/>
    </row>
    <row r="69" spans="1:11" ht="18.75" x14ac:dyDescent="0.25">
      <c r="A69" s="193">
        <v>1</v>
      </c>
      <c r="B69" s="38" t="s">
        <v>129</v>
      </c>
      <c r="G69" s="33"/>
      <c r="I69" s="175"/>
      <c r="J69" s="2"/>
      <c r="K69" s="2"/>
    </row>
    <row r="70" spans="1:11" ht="18.75" x14ac:dyDescent="0.25">
      <c r="A70" s="516"/>
      <c r="B70" s="179"/>
      <c r="G70" s="33"/>
      <c r="I70" s="175"/>
      <c r="J70" s="2"/>
      <c r="K70" s="2"/>
    </row>
    <row r="71" spans="1:11" x14ac:dyDescent="0.25">
      <c r="B71" s="172"/>
      <c r="G71" s="33"/>
      <c r="I71" s="175"/>
      <c r="J71" s="2"/>
      <c r="K71" s="2"/>
    </row>
    <row r="72" spans="1:11" x14ac:dyDescent="0.25">
      <c r="B72" s="584" t="s">
        <v>16</v>
      </c>
      <c r="C72" s="584"/>
      <c r="D72" s="584"/>
      <c r="E72" s="584"/>
      <c r="F72" s="584"/>
      <c r="G72" s="584"/>
      <c r="H72" s="584"/>
      <c r="I72" s="584"/>
      <c r="J72" s="2"/>
      <c r="K72" s="2"/>
    </row>
    <row r="73" spans="1:11" x14ac:dyDescent="0.25">
      <c r="B73" s="584" t="s">
        <v>101</v>
      </c>
      <c r="C73" s="584"/>
      <c r="D73" s="584"/>
      <c r="E73" s="584"/>
      <c r="F73" s="584"/>
      <c r="G73" s="584"/>
      <c r="H73" s="584"/>
      <c r="I73" s="584"/>
      <c r="J73" s="2"/>
      <c r="K73" s="2"/>
    </row>
    <row r="74" spans="1:11" x14ac:dyDescent="0.25">
      <c r="B74" s="584" t="s">
        <v>102</v>
      </c>
      <c r="C74" s="584"/>
      <c r="D74" s="584"/>
      <c r="E74" s="584"/>
      <c r="F74" s="584"/>
      <c r="G74" s="584"/>
      <c r="H74" s="584"/>
      <c r="I74" s="584"/>
      <c r="J74" s="2"/>
      <c r="K74" s="2"/>
    </row>
    <row r="75" spans="1:11" x14ac:dyDescent="0.25">
      <c r="B75" s="586" t="str">
        <f>B5</f>
        <v>Base Period &amp; True-Up Period 12 - Months Ending  December 31, xxxx</v>
      </c>
      <c r="C75" s="586"/>
      <c r="D75" s="586"/>
      <c r="E75" s="586"/>
      <c r="F75" s="586"/>
      <c r="G75" s="586"/>
      <c r="H75" s="586"/>
      <c r="I75" s="586"/>
      <c r="J75" s="2"/>
      <c r="K75" s="2"/>
    </row>
    <row r="76" spans="1:11" x14ac:dyDescent="0.25">
      <c r="B76" s="580" t="s">
        <v>1</v>
      </c>
      <c r="C76" s="581"/>
      <c r="D76" s="581"/>
      <c r="E76" s="581"/>
      <c r="F76" s="581"/>
      <c r="G76" s="581"/>
      <c r="H76" s="581"/>
      <c r="I76" s="581"/>
      <c r="J76" s="2"/>
      <c r="K76" s="2"/>
    </row>
    <row r="77" spans="1:11" x14ac:dyDescent="0.25">
      <c r="A77" s="203"/>
      <c r="B77" s="203"/>
      <c r="C77" s="203"/>
      <c r="D77" s="203"/>
      <c r="E77" s="203"/>
      <c r="F77" s="203"/>
      <c r="G77" s="203"/>
      <c r="H77" s="203"/>
      <c r="I77" s="226"/>
      <c r="J77" s="203"/>
      <c r="K77" s="2"/>
    </row>
    <row r="78" spans="1:11" x14ac:dyDescent="0.25">
      <c r="A78" s="2" t="s">
        <v>2</v>
      </c>
      <c r="B78" s="165"/>
      <c r="C78" s="165"/>
      <c r="D78" s="165"/>
      <c r="E78" s="2" t="s">
        <v>248</v>
      </c>
      <c r="F78" s="165"/>
      <c r="G78" s="165"/>
      <c r="H78" s="165"/>
      <c r="I78" s="175"/>
      <c r="J78" s="2" t="s">
        <v>2</v>
      </c>
      <c r="K78" s="2"/>
    </row>
    <row r="79" spans="1:11" x14ac:dyDescent="0.25">
      <c r="A79" s="2" t="s">
        <v>18</v>
      </c>
      <c r="B79" s="2"/>
      <c r="C79" s="2"/>
      <c r="D79" s="2"/>
      <c r="E79" s="42" t="s">
        <v>246</v>
      </c>
      <c r="F79" s="2"/>
      <c r="G79" s="189" t="s">
        <v>37</v>
      </c>
      <c r="H79" s="165"/>
      <c r="I79" s="232" t="s">
        <v>7</v>
      </c>
      <c r="J79" s="2" t="s">
        <v>18</v>
      </c>
      <c r="K79" s="2"/>
    </row>
    <row r="80" spans="1:11" x14ac:dyDescent="0.25">
      <c r="I80" s="175"/>
      <c r="J80" s="2"/>
      <c r="K80" s="2"/>
    </row>
    <row r="81" spans="1:11" ht="19.5" thickBot="1" x14ac:dyDescent="0.3">
      <c r="A81" s="2">
        <v>1</v>
      </c>
      <c r="B81" s="172" t="s">
        <v>1054</v>
      </c>
      <c r="G81" s="116">
        <v>0</v>
      </c>
      <c r="H81" s="165"/>
      <c r="I81" s="223"/>
      <c r="J81" s="2">
        <f>A81</f>
        <v>1</v>
      </c>
      <c r="K81" s="210"/>
    </row>
    <row r="82" spans="1:11" ht="16.5" thickTop="1" x14ac:dyDescent="0.25">
      <c r="A82" s="2">
        <f t="shared" si="4"/>
        <v>2</v>
      </c>
      <c r="C82" s="41" t="s">
        <v>3</v>
      </c>
      <c r="D82" s="41" t="s">
        <v>4</v>
      </c>
      <c r="E82" s="41" t="s">
        <v>98</v>
      </c>
      <c r="F82" s="41"/>
      <c r="G82" s="41" t="s">
        <v>108</v>
      </c>
      <c r="H82" s="41"/>
      <c r="I82" s="175"/>
      <c r="J82" s="2">
        <f t="shared" si="5"/>
        <v>2</v>
      </c>
      <c r="K82" s="210"/>
    </row>
    <row r="83" spans="1:11" x14ac:dyDescent="0.25">
      <c r="A83" s="2">
        <f t="shared" si="4"/>
        <v>3</v>
      </c>
      <c r="D83" s="2" t="s">
        <v>109</v>
      </c>
      <c r="E83" s="2" t="s">
        <v>125</v>
      </c>
      <c r="F83" s="2"/>
      <c r="G83" s="2" t="s">
        <v>110</v>
      </c>
      <c r="H83" s="2"/>
      <c r="I83" s="175"/>
      <c r="J83" s="2">
        <f t="shared" si="5"/>
        <v>3</v>
      </c>
      <c r="K83" s="210"/>
    </row>
    <row r="84" spans="1:11" ht="18.75" x14ac:dyDescent="0.25">
      <c r="A84" s="2">
        <f t="shared" si="4"/>
        <v>4</v>
      </c>
      <c r="B84" s="172" t="s">
        <v>478</v>
      </c>
      <c r="C84" s="42" t="s">
        <v>1055</v>
      </c>
      <c r="D84" s="42" t="s">
        <v>112</v>
      </c>
      <c r="E84" s="42" t="s">
        <v>126</v>
      </c>
      <c r="F84" s="42"/>
      <c r="G84" s="42" t="s">
        <v>113</v>
      </c>
      <c r="H84" s="2"/>
      <c r="I84" s="175"/>
      <c r="J84" s="2">
        <f t="shared" si="5"/>
        <v>4</v>
      </c>
      <c r="K84" s="210"/>
    </row>
    <row r="85" spans="1:11" x14ac:dyDescent="0.25">
      <c r="A85" s="2">
        <f t="shared" si="4"/>
        <v>5</v>
      </c>
      <c r="I85" s="175"/>
      <c r="J85" s="2">
        <f t="shared" si="5"/>
        <v>5</v>
      </c>
      <c r="K85" s="210"/>
    </row>
    <row r="86" spans="1:11" x14ac:dyDescent="0.25">
      <c r="A86" s="2">
        <f t="shared" si="4"/>
        <v>6</v>
      </c>
      <c r="B86" s="38" t="s">
        <v>114</v>
      </c>
      <c r="C86" s="43">
        <f>G17</f>
        <v>0</v>
      </c>
      <c r="D86" s="33">
        <f>IFERROR(C86/C$89,0)</f>
        <v>0</v>
      </c>
      <c r="E86" s="118">
        <f>G27</f>
        <v>0</v>
      </c>
      <c r="G86" s="33">
        <f>D86*E86</f>
        <v>0</v>
      </c>
      <c r="H86" s="33"/>
      <c r="I86" s="175" t="s">
        <v>818</v>
      </c>
      <c r="J86" s="2">
        <f t="shared" si="5"/>
        <v>6</v>
      </c>
      <c r="K86" s="210"/>
    </row>
    <row r="87" spans="1:11" x14ac:dyDescent="0.25">
      <c r="A87" s="2">
        <f t="shared" si="4"/>
        <v>7</v>
      </c>
      <c r="B87" s="38" t="s">
        <v>115</v>
      </c>
      <c r="C87" s="4">
        <f>G30</f>
        <v>0</v>
      </c>
      <c r="D87" s="33">
        <f t="shared" ref="D87:D88" si="7">IFERROR(C87/C$89,0)</f>
        <v>0</v>
      </c>
      <c r="E87" s="118">
        <f>G32</f>
        <v>0</v>
      </c>
      <c r="G87" s="33">
        <f>D87*E87</f>
        <v>0</v>
      </c>
      <c r="H87" s="33"/>
      <c r="I87" s="175" t="s">
        <v>819</v>
      </c>
      <c r="J87" s="2">
        <f t="shared" si="5"/>
        <v>7</v>
      </c>
      <c r="K87" s="210"/>
    </row>
    <row r="88" spans="1:11" x14ac:dyDescent="0.25">
      <c r="A88" s="2">
        <f t="shared" si="4"/>
        <v>8</v>
      </c>
      <c r="B88" s="38" t="s">
        <v>116</v>
      </c>
      <c r="C88" s="4">
        <f>G41</f>
        <v>0</v>
      </c>
      <c r="D88" s="543">
        <f t="shared" si="7"/>
        <v>0</v>
      </c>
      <c r="E88" s="561">
        <f>G81</f>
        <v>0</v>
      </c>
      <c r="G88" s="117">
        <f>D88*E88</f>
        <v>0</v>
      </c>
      <c r="H88" s="33"/>
      <c r="I88" s="175" t="s">
        <v>1056</v>
      </c>
      <c r="J88" s="2">
        <f t="shared" si="5"/>
        <v>8</v>
      </c>
      <c r="K88" s="210"/>
    </row>
    <row r="89" spans="1:11" ht="16.5" thickBot="1" x14ac:dyDescent="0.3">
      <c r="A89" s="2">
        <f t="shared" si="4"/>
        <v>9</v>
      </c>
      <c r="B89" s="38" t="s">
        <v>457</v>
      </c>
      <c r="C89" s="96">
        <f>SUM(C86:C88)</f>
        <v>0</v>
      </c>
      <c r="D89" s="63">
        <f>SUM(D86:D88)</f>
        <v>0</v>
      </c>
      <c r="G89" s="63">
        <f>SUM(G86:G88)</f>
        <v>0</v>
      </c>
      <c r="H89" s="33"/>
      <c r="I89" s="175" t="s">
        <v>1057</v>
      </c>
      <c r="J89" s="2">
        <f t="shared" si="5"/>
        <v>9</v>
      </c>
      <c r="K89" s="210"/>
    </row>
    <row r="90" spans="1:11" ht="16.5" thickTop="1" x14ac:dyDescent="0.25">
      <c r="A90" s="2">
        <f t="shared" si="4"/>
        <v>10</v>
      </c>
      <c r="I90" s="175"/>
      <c r="J90" s="2">
        <f t="shared" si="5"/>
        <v>10</v>
      </c>
      <c r="K90" s="210"/>
    </row>
    <row r="91" spans="1:11" ht="16.5" thickBot="1" x14ac:dyDescent="0.3">
      <c r="A91" s="2">
        <f t="shared" si="4"/>
        <v>11</v>
      </c>
      <c r="B91" s="172" t="s">
        <v>128</v>
      </c>
      <c r="G91" s="63">
        <f>G87+G88</f>
        <v>0</v>
      </c>
      <c r="H91" s="33"/>
      <c r="I91" s="175" t="s">
        <v>1058</v>
      </c>
      <c r="J91" s="2">
        <f t="shared" si="5"/>
        <v>11</v>
      </c>
      <c r="K91" s="210"/>
    </row>
    <row r="92" spans="1:11" ht="17.25" thickTop="1" thickBot="1" x14ac:dyDescent="0.3">
      <c r="A92" s="544">
        <f t="shared" si="4"/>
        <v>12</v>
      </c>
      <c r="B92" s="495"/>
      <c r="C92" s="496"/>
      <c r="D92" s="496"/>
      <c r="E92" s="496"/>
      <c r="F92" s="496"/>
      <c r="G92" s="497"/>
      <c r="H92" s="497"/>
      <c r="I92" s="498"/>
      <c r="J92" s="544">
        <f t="shared" si="5"/>
        <v>12</v>
      </c>
      <c r="K92" s="203"/>
    </row>
    <row r="93" spans="1:11" x14ac:dyDescent="0.25">
      <c r="A93" s="2">
        <f t="shared" si="4"/>
        <v>13</v>
      </c>
      <c r="B93" s="218"/>
      <c r="C93" s="218"/>
      <c r="D93" s="218"/>
      <c r="E93" s="218"/>
      <c r="F93" s="218"/>
      <c r="G93" s="218"/>
      <c r="H93" s="218"/>
      <c r="I93" s="226"/>
      <c r="J93" s="2">
        <f t="shared" si="5"/>
        <v>13</v>
      </c>
      <c r="K93" s="203"/>
    </row>
    <row r="94" spans="1:11" ht="32.25" thickBot="1" x14ac:dyDescent="0.3">
      <c r="A94" s="2">
        <f t="shared" si="4"/>
        <v>14</v>
      </c>
      <c r="B94" s="172" t="s">
        <v>1053</v>
      </c>
      <c r="C94" s="179"/>
      <c r="D94" s="179"/>
      <c r="E94" s="179"/>
      <c r="F94" s="179"/>
      <c r="G94" s="116">
        <v>0</v>
      </c>
      <c r="H94" s="218"/>
      <c r="I94" s="226" t="s">
        <v>737</v>
      </c>
      <c r="J94" s="2">
        <f t="shared" si="5"/>
        <v>14</v>
      </c>
      <c r="K94" s="203"/>
    </row>
    <row r="95" spans="1:11" ht="16.5" thickTop="1" x14ac:dyDescent="0.25">
      <c r="A95" s="2">
        <f t="shared" si="4"/>
        <v>15</v>
      </c>
      <c r="C95" s="41" t="s">
        <v>3</v>
      </c>
      <c r="D95" s="41" t="s">
        <v>4</v>
      </c>
      <c r="E95" s="41" t="s">
        <v>98</v>
      </c>
      <c r="F95" s="41"/>
      <c r="G95" s="41" t="s">
        <v>108</v>
      </c>
      <c r="I95" s="175"/>
      <c r="J95" s="2">
        <f t="shared" si="5"/>
        <v>15</v>
      </c>
      <c r="K95" s="203"/>
    </row>
    <row r="96" spans="1:11" x14ac:dyDescent="0.25">
      <c r="A96" s="2">
        <f t="shared" si="4"/>
        <v>16</v>
      </c>
      <c r="D96" s="2" t="s">
        <v>109</v>
      </c>
      <c r="E96" s="2" t="s">
        <v>125</v>
      </c>
      <c r="F96" s="2"/>
      <c r="G96" s="2" t="s">
        <v>110</v>
      </c>
      <c r="I96" s="175"/>
      <c r="J96" s="2">
        <f t="shared" si="5"/>
        <v>16</v>
      </c>
      <c r="K96" s="203"/>
    </row>
    <row r="97" spans="1:11" ht="18.75" x14ac:dyDescent="0.25">
      <c r="A97" s="2">
        <f t="shared" si="4"/>
        <v>17</v>
      </c>
      <c r="B97" s="172" t="s">
        <v>111</v>
      </c>
      <c r="C97" s="42" t="s">
        <v>1055</v>
      </c>
      <c r="D97" s="42" t="s">
        <v>112</v>
      </c>
      <c r="E97" s="42" t="s">
        <v>126</v>
      </c>
      <c r="F97" s="42"/>
      <c r="G97" s="42" t="s">
        <v>113</v>
      </c>
      <c r="I97" s="175"/>
      <c r="J97" s="2">
        <f t="shared" si="5"/>
        <v>17</v>
      </c>
      <c r="K97" s="203"/>
    </row>
    <row r="98" spans="1:11" x14ac:dyDescent="0.25">
      <c r="A98" s="2">
        <f t="shared" si="4"/>
        <v>18</v>
      </c>
      <c r="I98" s="175"/>
      <c r="J98" s="2">
        <f t="shared" si="5"/>
        <v>18</v>
      </c>
      <c r="K98" s="203"/>
    </row>
    <row r="99" spans="1:11" x14ac:dyDescent="0.25">
      <c r="A99" s="2">
        <f t="shared" si="4"/>
        <v>19</v>
      </c>
      <c r="B99" s="38" t="s">
        <v>114</v>
      </c>
      <c r="C99" s="43">
        <f>G17</f>
        <v>0</v>
      </c>
      <c r="D99" s="33">
        <f>IFERROR(C99/C$102,0)</f>
        <v>0</v>
      </c>
      <c r="E99" s="542">
        <v>0</v>
      </c>
      <c r="G99" s="33">
        <f>D99*E99</f>
        <v>0</v>
      </c>
      <c r="I99" s="175" t="s">
        <v>730</v>
      </c>
      <c r="J99" s="2">
        <f t="shared" si="5"/>
        <v>19</v>
      </c>
      <c r="K99" s="203"/>
    </row>
    <row r="100" spans="1:11" x14ac:dyDescent="0.25">
      <c r="A100" s="2">
        <f t="shared" si="4"/>
        <v>20</v>
      </c>
      <c r="B100" s="38" t="s">
        <v>115</v>
      </c>
      <c r="C100" s="4">
        <f>G30</f>
        <v>0</v>
      </c>
      <c r="D100" s="33">
        <f t="shared" ref="D100:D101" si="8">IFERROR(C100/C$102,0)</f>
        <v>0</v>
      </c>
      <c r="E100" s="542">
        <v>0</v>
      </c>
      <c r="G100" s="33">
        <f>D100*E100</f>
        <v>0</v>
      </c>
      <c r="I100" s="175" t="s">
        <v>730</v>
      </c>
      <c r="J100" s="2">
        <f t="shared" si="5"/>
        <v>20</v>
      </c>
      <c r="K100" s="203"/>
    </row>
    <row r="101" spans="1:11" x14ac:dyDescent="0.25">
      <c r="A101" s="2">
        <f t="shared" si="4"/>
        <v>21</v>
      </c>
      <c r="B101" s="38" t="s">
        <v>116</v>
      </c>
      <c r="C101" s="4">
        <f>G41</f>
        <v>0</v>
      </c>
      <c r="D101" s="543">
        <f t="shared" si="8"/>
        <v>0</v>
      </c>
      <c r="E101" s="561">
        <f>G94</f>
        <v>0</v>
      </c>
      <c r="G101" s="117">
        <f>D101*E101</f>
        <v>0</v>
      </c>
      <c r="I101" s="175" t="s">
        <v>739</v>
      </c>
      <c r="J101" s="2">
        <f t="shared" si="5"/>
        <v>21</v>
      </c>
      <c r="K101" s="203"/>
    </row>
    <row r="102" spans="1:11" ht="16.5" thickBot="1" x14ac:dyDescent="0.3">
      <c r="A102" s="2">
        <f t="shared" si="4"/>
        <v>22</v>
      </c>
      <c r="B102" s="38" t="s">
        <v>457</v>
      </c>
      <c r="C102" s="96">
        <f>SUM(C99:C101)</f>
        <v>0</v>
      </c>
      <c r="D102" s="63">
        <f>SUM(D99:D101)</f>
        <v>0</v>
      </c>
      <c r="G102" s="63">
        <f>SUM(G99:G101)</f>
        <v>0</v>
      </c>
      <c r="I102" s="175" t="s">
        <v>599</v>
      </c>
      <c r="J102" s="2">
        <f t="shared" si="5"/>
        <v>22</v>
      </c>
      <c r="K102" s="203"/>
    </row>
    <row r="103" spans="1:11" ht="16.5" thickTop="1" x14ac:dyDescent="0.25">
      <c r="A103" s="2">
        <f t="shared" si="4"/>
        <v>23</v>
      </c>
      <c r="I103" s="175"/>
      <c r="J103" s="2">
        <f t="shared" si="5"/>
        <v>23</v>
      </c>
      <c r="K103" s="203"/>
    </row>
    <row r="104" spans="1:11" ht="16.5" thickBot="1" x14ac:dyDescent="0.3">
      <c r="A104" s="2">
        <f t="shared" si="4"/>
        <v>24</v>
      </c>
      <c r="B104" s="172" t="s">
        <v>738</v>
      </c>
      <c r="G104" s="562">
        <f>G101</f>
        <v>0</v>
      </c>
      <c r="I104" s="175" t="s">
        <v>740</v>
      </c>
      <c r="J104" s="2">
        <f t="shared" si="5"/>
        <v>24</v>
      </c>
      <c r="K104" s="203"/>
    </row>
    <row r="105" spans="1:11" ht="16.5" thickTop="1" x14ac:dyDescent="0.25">
      <c r="B105" s="172"/>
      <c r="G105" s="33"/>
      <c r="I105" s="175"/>
      <c r="J105" s="2"/>
      <c r="K105" s="2"/>
    </row>
    <row r="106" spans="1:11" ht="18.75" x14ac:dyDescent="0.25">
      <c r="A106" s="193">
        <v>1</v>
      </c>
      <c r="B106" s="38" t="s">
        <v>820</v>
      </c>
      <c r="C106" s="218"/>
      <c r="D106" s="218"/>
      <c r="E106" s="218"/>
      <c r="F106" s="218"/>
      <c r="G106" s="493"/>
      <c r="H106" s="218"/>
      <c r="I106" s="226"/>
      <c r="J106" s="2"/>
      <c r="K106" s="2"/>
    </row>
    <row r="107" spans="1:11" ht="18.75" x14ac:dyDescent="0.25">
      <c r="A107" s="193">
        <v>2</v>
      </c>
      <c r="B107" s="38" t="s">
        <v>129</v>
      </c>
      <c r="C107" s="218"/>
      <c r="D107" s="218"/>
      <c r="E107" s="218"/>
      <c r="F107" s="218"/>
      <c r="G107" s="517"/>
      <c r="H107" s="517"/>
      <c r="I107" s="501"/>
      <c r="J107" s="2" t="s">
        <v>8</v>
      </c>
      <c r="K107" s="2"/>
    </row>
    <row r="108" spans="1:11" ht="18.75" x14ac:dyDescent="0.25">
      <c r="A108" s="193"/>
      <c r="G108" s="70"/>
      <c r="H108" s="70"/>
      <c r="J108" s="2"/>
      <c r="K108" s="2"/>
    </row>
    <row r="109" spans="1:11" ht="18.75" x14ac:dyDescent="0.25">
      <c r="A109" s="193"/>
      <c r="G109" s="70"/>
      <c r="H109" s="70"/>
      <c r="J109" s="2"/>
      <c r="K109" s="2"/>
    </row>
    <row r="110" spans="1:11" x14ac:dyDescent="0.25">
      <c r="B110" s="584" t="s">
        <v>16</v>
      </c>
      <c r="C110" s="584"/>
      <c r="D110" s="584"/>
      <c r="E110" s="584"/>
      <c r="F110" s="584"/>
      <c r="G110" s="584"/>
      <c r="H110" s="584"/>
      <c r="I110" s="584"/>
      <c r="J110" s="2"/>
      <c r="K110" s="2"/>
    </row>
    <row r="111" spans="1:11" x14ac:dyDescent="0.25">
      <c r="B111" s="584" t="s">
        <v>101</v>
      </c>
      <c r="C111" s="584"/>
      <c r="D111" s="584"/>
      <c r="E111" s="584"/>
      <c r="F111" s="584"/>
      <c r="G111" s="584"/>
      <c r="H111" s="584"/>
      <c r="I111" s="584"/>
      <c r="J111" s="2"/>
      <c r="K111" s="2"/>
    </row>
    <row r="112" spans="1:11" x14ac:dyDescent="0.25">
      <c r="B112" s="584" t="s">
        <v>102</v>
      </c>
      <c r="C112" s="584"/>
      <c r="D112" s="584"/>
      <c r="E112" s="584"/>
      <c r="F112" s="584"/>
      <c r="G112" s="584"/>
      <c r="H112" s="584"/>
      <c r="I112" s="584"/>
      <c r="J112" s="2"/>
      <c r="K112" s="2"/>
    </row>
    <row r="113" spans="1:13" x14ac:dyDescent="0.25">
      <c r="B113" s="586" t="str">
        <f>B5</f>
        <v>Base Period &amp; True-Up Period 12 - Months Ending  December 31, xxxx</v>
      </c>
      <c r="C113" s="586"/>
      <c r="D113" s="586"/>
      <c r="E113" s="586"/>
      <c r="F113" s="586"/>
      <c r="G113" s="586"/>
      <c r="H113" s="586"/>
      <c r="I113" s="586"/>
      <c r="J113" s="2"/>
      <c r="K113" s="2"/>
    </row>
    <row r="114" spans="1:13" x14ac:dyDescent="0.25">
      <c r="B114" s="580" t="s">
        <v>1</v>
      </c>
      <c r="C114" s="581"/>
      <c r="D114" s="581"/>
      <c r="E114" s="581"/>
      <c r="F114" s="581"/>
      <c r="G114" s="581"/>
      <c r="H114" s="581"/>
      <c r="I114" s="581"/>
      <c r="J114" s="2"/>
      <c r="K114" s="2"/>
    </row>
    <row r="115" spans="1:13" x14ac:dyDescent="0.25">
      <c r="B115" s="2"/>
      <c r="C115" s="2"/>
      <c r="D115" s="2"/>
      <c r="E115" s="2"/>
      <c r="F115" s="2"/>
      <c r="G115" s="2"/>
      <c r="H115" s="2"/>
      <c r="I115" s="175"/>
      <c r="J115" s="2"/>
      <c r="K115" s="2"/>
    </row>
    <row r="116" spans="1:13" x14ac:dyDescent="0.25">
      <c r="A116" s="2" t="s">
        <v>2</v>
      </c>
      <c r="B116" s="165"/>
      <c r="C116" s="165"/>
      <c r="D116" s="165"/>
      <c r="E116" s="165"/>
      <c r="F116" s="165"/>
      <c r="G116" s="165"/>
      <c r="H116" s="165"/>
      <c r="I116" s="175"/>
      <c r="J116" s="2" t="s">
        <v>2</v>
      </c>
      <c r="K116" s="2"/>
    </row>
    <row r="117" spans="1:13" x14ac:dyDescent="0.25">
      <c r="A117" s="2" t="s">
        <v>18</v>
      </c>
      <c r="B117" s="2"/>
      <c r="C117" s="2"/>
      <c r="D117" s="2"/>
      <c r="E117" s="2"/>
      <c r="F117" s="2"/>
      <c r="G117" s="42" t="s">
        <v>37</v>
      </c>
      <c r="H117" s="165"/>
      <c r="I117" s="232" t="s">
        <v>7</v>
      </c>
      <c r="J117" s="2" t="s">
        <v>18</v>
      </c>
      <c r="K117" s="2"/>
    </row>
    <row r="118" spans="1:13" x14ac:dyDescent="0.25">
      <c r="G118" s="2"/>
      <c r="H118" s="2"/>
      <c r="I118" s="175"/>
      <c r="J118" s="2"/>
      <c r="K118" s="2"/>
    </row>
    <row r="119" spans="1:13" ht="18.75" x14ac:dyDescent="0.25">
      <c r="A119" s="2">
        <v>1</v>
      </c>
      <c r="B119" s="172" t="s">
        <v>1059</v>
      </c>
      <c r="E119" s="165"/>
      <c r="F119" s="165"/>
      <c r="G119" s="51"/>
      <c r="H119" s="51"/>
      <c r="I119" s="175"/>
      <c r="J119" s="2">
        <v>1</v>
      </c>
      <c r="K119" s="2"/>
    </row>
    <row r="120" spans="1:13" x14ac:dyDescent="0.25">
      <c r="A120" s="2">
        <f>A119+1</f>
        <v>2</v>
      </c>
      <c r="B120" s="40"/>
      <c r="E120" s="165"/>
      <c r="F120" s="165"/>
      <c r="G120" s="51"/>
      <c r="H120" s="51"/>
      <c r="I120" s="175"/>
      <c r="J120" s="2">
        <f>J119+1</f>
        <v>2</v>
      </c>
      <c r="K120" s="2"/>
    </row>
    <row r="121" spans="1:13" x14ac:dyDescent="0.25">
      <c r="A121" s="2">
        <f>A120+1</f>
        <v>3</v>
      </c>
      <c r="B121" s="172" t="s">
        <v>770</v>
      </c>
      <c r="E121" s="165"/>
      <c r="F121" s="165"/>
      <c r="G121" s="51"/>
      <c r="H121" s="51"/>
      <c r="I121" s="175"/>
      <c r="J121" s="2">
        <f>J120+1</f>
        <v>3</v>
      </c>
      <c r="K121" s="2"/>
    </row>
    <row r="122" spans="1:13" x14ac:dyDescent="0.25">
      <c r="A122" s="2">
        <f>A121+1</f>
        <v>4</v>
      </c>
      <c r="B122" s="165"/>
      <c r="C122" s="165"/>
      <c r="D122" s="165"/>
      <c r="E122" s="165"/>
      <c r="F122" s="165"/>
      <c r="G122" s="51"/>
      <c r="H122" s="51"/>
      <c r="I122" s="175"/>
      <c r="J122" s="2">
        <f>J121+1</f>
        <v>4</v>
      </c>
      <c r="K122" s="2"/>
    </row>
    <row r="123" spans="1:13" x14ac:dyDescent="0.25">
      <c r="A123" s="2">
        <f t="shared" ref="A123:A196" si="9">A122+1</f>
        <v>5</v>
      </c>
      <c r="B123" s="39" t="s">
        <v>117</v>
      </c>
      <c r="C123" s="165"/>
      <c r="D123" s="165"/>
      <c r="E123" s="165"/>
      <c r="F123" s="165"/>
      <c r="G123" s="51"/>
      <c r="H123" s="51"/>
      <c r="I123" s="235"/>
      <c r="J123" s="2">
        <f t="shared" ref="J123:J196" si="10">J122+1</f>
        <v>5</v>
      </c>
      <c r="K123" s="2"/>
    </row>
    <row r="124" spans="1:13" x14ac:dyDescent="0.25">
      <c r="A124" s="2">
        <f t="shared" si="9"/>
        <v>6</v>
      </c>
      <c r="B124" s="38" t="s">
        <v>118</v>
      </c>
      <c r="D124" s="165"/>
      <c r="E124" s="165"/>
      <c r="F124" s="165"/>
      <c r="G124" s="118">
        <f>G54</f>
        <v>0</v>
      </c>
      <c r="H124" s="165"/>
      <c r="I124" s="175" t="s">
        <v>1199</v>
      </c>
      <c r="J124" s="2">
        <f t="shared" si="10"/>
        <v>6</v>
      </c>
      <c r="K124" s="2"/>
      <c r="L124" s="2"/>
    </row>
    <row r="125" spans="1:13" x14ac:dyDescent="0.25">
      <c r="A125" s="2">
        <f t="shared" si="9"/>
        <v>7</v>
      </c>
      <c r="B125" s="38" t="s">
        <v>471</v>
      </c>
      <c r="D125" s="165"/>
      <c r="E125" s="165"/>
      <c r="F125" s="165"/>
      <c r="G125" s="26">
        <f>-'Stmt AR'!E19</f>
        <v>0</v>
      </c>
      <c r="H125" s="165"/>
      <c r="I125" s="175" t="s">
        <v>811</v>
      </c>
      <c r="J125" s="2">
        <f t="shared" si="10"/>
        <v>7</v>
      </c>
      <c r="K125" s="2"/>
      <c r="L125" s="2"/>
    </row>
    <row r="126" spans="1:13" x14ac:dyDescent="0.25">
      <c r="A126" s="2">
        <f t="shared" si="9"/>
        <v>8</v>
      </c>
      <c r="B126" s="38" t="s">
        <v>119</v>
      </c>
      <c r="D126" s="165"/>
      <c r="E126" s="165"/>
      <c r="F126" s="165"/>
      <c r="G126" s="97">
        <v>0</v>
      </c>
      <c r="H126" s="165"/>
      <c r="I126" s="223" t="s">
        <v>1060</v>
      </c>
      <c r="J126" s="2">
        <f t="shared" si="10"/>
        <v>8</v>
      </c>
      <c r="K126" s="2"/>
      <c r="L126" s="165"/>
    </row>
    <row r="127" spans="1:13" x14ac:dyDescent="0.25">
      <c r="A127" s="2">
        <f t="shared" si="9"/>
        <v>9</v>
      </c>
      <c r="B127" s="38" t="s">
        <v>120</v>
      </c>
      <c r="D127" s="165"/>
      <c r="E127" s="236"/>
      <c r="F127" s="165"/>
      <c r="G127" s="5">
        <f>'BK-1 Retail TRR'!E137</f>
        <v>0</v>
      </c>
      <c r="H127" s="165"/>
      <c r="I127" s="175" t="s">
        <v>821</v>
      </c>
      <c r="J127" s="2">
        <f t="shared" si="10"/>
        <v>9</v>
      </c>
      <c r="K127" s="2"/>
    </row>
    <row r="128" spans="1:13" x14ac:dyDescent="0.25">
      <c r="A128" s="2">
        <f t="shared" si="9"/>
        <v>10</v>
      </c>
      <c r="B128" s="38" t="s">
        <v>462</v>
      </c>
      <c r="D128" s="58"/>
      <c r="E128" s="165"/>
      <c r="F128" s="165"/>
      <c r="G128" s="564">
        <v>0</v>
      </c>
      <c r="H128" s="165"/>
      <c r="I128" s="175" t="s">
        <v>121</v>
      </c>
      <c r="J128" s="2">
        <f t="shared" si="10"/>
        <v>10</v>
      </c>
      <c r="K128" s="2"/>
      <c r="M128" s="176"/>
    </row>
    <row r="129" spans="1:13" x14ac:dyDescent="0.25">
      <c r="A129" s="2">
        <f t="shared" si="9"/>
        <v>11</v>
      </c>
      <c r="G129" s="2"/>
      <c r="H129" s="2"/>
      <c r="J129" s="2">
        <f t="shared" si="10"/>
        <v>11</v>
      </c>
      <c r="K129" s="2"/>
    </row>
    <row r="130" spans="1:13" x14ac:dyDescent="0.25">
      <c r="A130" s="2">
        <f t="shared" si="9"/>
        <v>12</v>
      </c>
      <c r="B130" s="38" t="s">
        <v>398</v>
      </c>
      <c r="D130" s="165"/>
      <c r="E130" s="165"/>
      <c r="F130" s="165"/>
      <c r="G130" s="573">
        <f>IFERROR((((G124)+(G126/G127))*G128-(G125/G127))/(1-G128),0)</f>
        <v>0</v>
      </c>
      <c r="H130" s="32"/>
      <c r="I130" s="175" t="s">
        <v>130</v>
      </c>
      <c r="J130" s="2">
        <f t="shared" si="10"/>
        <v>12</v>
      </c>
      <c r="K130" s="2"/>
      <c r="M130" s="237"/>
    </row>
    <row r="131" spans="1:13" x14ac:dyDescent="0.25">
      <c r="A131" s="2">
        <f t="shared" si="9"/>
        <v>13</v>
      </c>
      <c r="B131" s="170" t="s">
        <v>399</v>
      </c>
      <c r="G131" s="2"/>
      <c r="H131" s="2"/>
      <c r="J131" s="2">
        <f t="shared" si="10"/>
        <v>13</v>
      </c>
      <c r="K131" s="2"/>
    </row>
    <row r="132" spans="1:13" x14ac:dyDescent="0.25">
      <c r="A132" s="2">
        <f t="shared" si="9"/>
        <v>14</v>
      </c>
      <c r="G132" s="366"/>
      <c r="H132" s="2"/>
      <c r="J132" s="2">
        <f t="shared" si="10"/>
        <v>14</v>
      </c>
      <c r="K132" s="2"/>
    </row>
    <row r="133" spans="1:13" x14ac:dyDescent="0.25">
      <c r="A133" s="2">
        <f t="shared" si="9"/>
        <v>15</v>
      </c>
      <c r="B133" s="172" t="s">
        <v>122</v>
      </c>
      <c r="C133" s="165"/>
      <c r="D133" s="165"/>
      <c r="E133" s="165"/>
      <c r="F133" s="165"/>
      <c r="G133" s="119"/>
      <c r="H133" s="119"/>
      <c r="I133" s="238"/>
      <c r="J133" s="2">
        <f t="shared" si="10"/>
        <v>15</v>
      </c>
      <c r="K133" s="2"/>
      <c r="L133" s="239"/>
    </row>
    <row r="134" spans="1:13" x14ac:dyDescent="0.25">
      <c r="A134" s="2">
        <f t="shared" si="9"/>
        <v>16</v>
      </c>
      <c r="B134" s="205"/>
      <c r="C134" s="165"/>
      <c r="D134" s="165"/>
      <c r="E134" s="165"/>
      <c r="F134" s="165"/>
      <c r="G134" s="119"/>
      <c r="H134" s="119"/>
      <c r="I134" s="240"/>
      <c r="J134" s="2">
        <f t="shared" si="10"/>
        <v>16</v>
      </c>
      <c r="K134" s="2"/>
      <c r="L134" s="165"/>
    </row>
    <row r="135" spans="1:13" x14ac:dyDescent="0.25">
      <c r="A135" s="2">
        <f t="shared" si="9"/>
        <v>17</v>
      </c>
      <c r="B135" s="39" t="s">
        <v>117</v>
      </c>
      <c r="C135" s="165"/>
      <c r="D135" s="165"/>
      <c r="E135" s="165"/>
      <c r="F135" s="165"/>
      <c r="G135" s="119"/>
      <c r="H135" s="119"/>
      <c r="I135" s="240"/>
      <c r="J135" s="2">
        <f t="shared" si="10"/>
        <v>17</v>
      </c>
      <c r="K135" s="2"/>
      <c r="L135" s="165"/>
    </row>
    <row r="136" spans="1:13" x14ac:dyDescent="0.25">
      <c r="A136" s="2">
        <f t="shared" si="9"/>
        <v>18</v>
      </c>
      <c r="B136" s="38" t="s">
        <v>118</v>
      </c>
      <c r="D136" s="165"/>
      <c r="E136" s="165"/>
      <c r="F136" s="165"/>
      <c r="G136" s="118">
        <f>G124</f>
        <v>0</v>
      </c>
      <c r="H136" s="33"/>
      <c r="I136" s="175" t="s">
        <v>580</v>
      </c>
      <c r="J136" s="2">
        <f t="shared" si="10"/>
        <v>18</v>
      </c>
      <c r="K136" s="2"/>
      <c r="L136" s="2"/>
    </row>
    <row r="137" spans="1:13" x14ac:dyDescent="0.25">
      <c r="A137" s="2">
        <f t="shared" si="9"/>
        <v>19</v>
      </c>
      <c r="B137" s="38" t="s">
        <v>885</v>
      </c>
      <c r="D137" s="165"/>
      <c r="E137" s="165"/>
      <c r="F137" s="165"/>
      <c r="G137" s="55">
        <f>-'Stmt AT'!E19</f>
        <v>0</v>
      </c>
      <c r="H137" s="33"/>
      <c r="I137" s="175" t="s">
        <v>877</v>
      </c>
      <c r="J137" s="2">
        <f t="shared" si="10"/>
        <v>19</v>
      </c>
      <c r="K137" s="2"/>
      <c r="L137" s="2"/>
    </row>
    <row r="138" spans="1:13" x14ac:dyDescent="0.25">
      <c r="A138" s="2">
        <f t="shared" si="9"/>
        <v>20</v>
      </c>
      <c r="B138" s="38" t="s">
        <v>119</v>
      </c>
      <c r="D138" s="165"/>
      <c r="E138" s="165"/>
      <c r="F138" s="165"/>
      <c r="G138" s="26">
        <f>G126</f>
        <v>0</v>
      </c>
      <c r="H138" s="55"/>
      <c r="I138" s="175" t="s">
        <v>581</v>
      </c>
      <c r="J138" s="2">
        <f t="shared" si="10"/>
        <v>20</v>
      </c>
      <c r="K138" s="2"/>
      <c r="L138" s="2"/>
    </row>
    <row r="139" spans="1:13" x14ac:dyDescent="0.25">
      <c r="A139" s="2">
        <f t="shared" si="9"/>
        <v>21</v>
      </c>
      <c r="B139" s="38" t="s">
        <v>120</v>
      </c>
      <c r="D139" s="165"/>
      <c r="E139" s="165"/>
      <c r="F139" s="165"/>
      <c r="G139" s="5">
        <f>G127</f>
        <v>0</v>
      </c>
      <c r="H139" s="9"/>
      <c r="I139" s="175" t="s">
        <v>582</v>
      </c>
      <c r="J139" s="2">
        <f t="shared" si="10"/>
        <v>21</v>
      </c>
      <c r="K139" s="2"/>
      <c r="L139" s="2"/>
    </row>
    <row r="140" spans="1:13" x14ac:dyDescent="0.25">
      <c r="A140" s="2">
        <f t="shared" si="9"/>
        <v>22</v>
      </c>
      <c r="B140" s="38" t="s">
        <v>131</v>
      </c>
      <c r="D140" s="165"/>
      <c r="E140" s="165"/>
      <c r="F140" s="165"/>
      <c r="G140" s="541">
        <f>G130</f>
        <v>0</v>
      </c>
      <c r="H140" s="32"/>
      <c r="I140" s="175" t="s">
        <v>583</v>
      </c>
      <c r="J140" s="2">
        <f t="shared" si="10"/>
        <v>22</v>
      </c>
      <c r="K140" s="2"/>
    </row>
    <row r="141" spans="1:13" x14ac:dyDescent="0.25">
      <c r="A141" s="2">
        <f t="shared" si="9"/>
        <v>23</v>
      </c>
      <c r="B141" s="38" t="s">
        <v>463</v>
      </c>
      <c r="D141" s="165"/>
      <c r="E141" s="165"/>
      <c r="F141" s="165"/>
      <c r="G141" s="564">
        <v>0</v>
      </c>
      <c r="H141" s="165"/>
      <c r="I141" s="175" t="s">
        <v>123</v>
      </c>
      <c r="J141" s="2">
        <f t="shared" si="10"/>
        <v>23</v>
      </c>
      <c r="K141" s="2"/>
    </row>
    <row r="142" spans="1:13" x14ac:dyDescent="0.25">
      <c r="A142" s="2">
        <f t="shared" si="9"/>
        <v>24</v>
      </c>
      <c r="B142" s="1"/>
      <c r="D142" s="165"/>
      <c r="E142" s="165"/>
      <c r="F142" s="165"/>
      <c r="G142" s="120"/>
      <c r="H142" s="120"/>
      <c r="I142" s="240"/>
      <c r="J142" s="2">
        <f t="shared" si="10"/>
        <v>24</v>
      </c>
      <c r="K142" s="2"/>
    </row>
    <row r="143" spans="1:13" x14ac:dyDescent="0.25">
      <c r="A143" s="2">
        <f t="shared" si="9"/>
        <v>25</v>
      </c>
      <c r="B143" s="38" t="s">
        <v>886</v>
      </c>
      <c r="C143" s="2"/>
      <c r="D143" s="2"/>
      <c r="E143" s="165"/>
      <c r="F143" s="165"/>
      <c r="G143" s="121">
        <f>IFERROR((((G136)+(G138/G139)+G130)*G141-(G137/G139))/(1-G141),0)</f>
        <v>0</v>
      </c>
      <c r="H143" s="32"/>
      <c r="I143" s="175" t="s">
        <v>132</v>
      </c>
      <c r="J143" s="2">
        <f t="shared" si="10"/>
        <v>25</v>
      </c>
      <c r="K143" s="2"/>
    </row>
    <row r="144" spans="1:13" x14ac:dyDescent="0.25">
      <c r="A144" s="2">
        <f t="shared" si="9"/>
        <v>26</v>
      </c>
      <c r="B144" s="170" t="s">
        <v>878</v>
      </c>
      <c r="G144" s="2"/>
      <c r="H144" s="2"/>
      <c r="I144" s="175"/>
      <c r="J144" s="2">
        <f t="shared" si="10"/>
        <v>26</v>
      </c>
      <c r="K144" s="2"/>
      <c r="L144" s="2"/>
    </row>
    <row r="145" spans="1:13" x14ac:dyDescent="0.25">
      <c r="A145" s="2">
        <f t="shared" si="9"/>
        <v>27</v>
      </c>
      <c r="G145" s="2"/>
      <c r="H145" s="2"/>
      <c r="I145" s="175"/>
      <c r="J145" s="2">
        <f t="shared" si="10"/>
        <v>27</v>
      </c>
      <c r="K145" s="2"/>
      <c r="L145" s="2"/>
    </row>
    <row r="146" spans="1:13" x14ac:dyDescent="0.25">
      <c r="A146" s="2">
        <f t="shared" si="9"/>
        <v>28</v>
      </c>
      <c r="B146" s="172" t="s">
        <v>124</v>
      </c>
      <c r="G146" s="573">
        <f>G143+G130</f>
        <v>0</v>
      </c>
      <c r="H146" s="32"/>
      <c r="I146" s="175" t="s">
        <v>896</v>
      </c>
      <c r="J146" s="2">
        <f t="shared" si="10"/>
        <v>28</v>
      </c>
      <c r="K146" s="2"/>
      <c r="L146" s="2"/>
    </row>
    <row r="147" spans="1:13" x14ac:dyDescent="0.25">
      <c r="B147" s="172"/>
      <c r="G147" s="32"/>
      <c r="H147" s="32"/>
      <c r="I147" s="175"/>
      <c r="J147" s="2"/>
      <c r="K147" s="210">
        <v>29</v>
      </c>
      <c r="L147" s="2"/>
    </row>
    <row r="148" spans="1:13" x14ac:dyDescent="0.25">
      <c r="B148" s="179" t="s">
        <v>996</v>
      </c>
      <c r="C148" s="179"/>
      <c r="D148" s="179"/>
      <c r="E148" s="179"/>
      <c r="F148" s="179"/>
      <c r="G148" s="518">
        <f>G127*G130</f>
        <v>0</v>
      </c>
      <c r="H148" s="519"/>
      <c r="I148" s="228" t="s">
        <v>997</v>
      </c>
      <c r="J148" s="2"/>
      <c r="K148" s="210">
        <f>K147+1</f>
        <v>30</v>
      </c>
      <c r="L148" s="2"/>
    </row>
    <row r="149" spans="1:13" x14ac:dyDescent="0.25">
      <c r="B149" s="179" t="s">
        <v>998</v>
      </c>
      <c r="G149" s="520">
        <f>G127*G143</f>
        <v>0</v>
      </c>
      <c r="H149" s="32"/>
      <c r="I149" s="228" t="s">
        <v>999</v>
      </c>
      <c r="J149" s="2"/>
      <c r="K149" s="210">
        <f t="shared" ref="K149:K196" si="11">K148+1</f>
        <v>31</v>
      </c>
      <c r="L149" s="2"/>
    </row>
    <row r="150" spans="1:13" ht="16.5" thickBot="1" x14ac:dyDescent="0.3">
      <c r="B150" s="179" t="s">
        <v>1000</v>
      </c>
      <c r="G150" s="521">
        <f>G148+G149</f>
        <v>0</v>
      </c>
      <c r="H150" s="32"/>
      <c r="I150" s="228" t="s">
        <v>735</v>
      </c>
      <c r="J150" s="2"/>
      <c r="K150" s="210">
        <f t="shared" si="11"/>
        <v>32</v>
      </c>
      <c r="L150" s="2"/>
    </row>
    <row r="151" spans="1:13" ht="16.5" thickTop="1" x14ac:dyDescent="0.25">
      <c r="A151" s="203">
        <f>A146+1</f>
        <v>29</v>
      </c>
      <c r="G151" s="2"/>
      <c r="H151" s="2"/>
      <c r="I151" s="175"/>
      <c r="J151" s="203">
        <f>J146+1</f>
        <v>29</v>
      </c>
      <c r="K151" s="210">
        <f t="shared" si="11"/>
        <v>33</v>
      </c>
      <c r="L151" s="2"/>
    </row>
    <row r="152" spans="1:13" x14ac:dyDescent="0.25">
      <c r="A152" s="203">
        <f t="shared" si="9"/>
        <v>30</v>
      </c>
      <c r="B152" s="172" t="s">
        <v>133</v>
      </c>
      <c r="G152" s="20">
        <f>G52</f>
        <v>0</v>
      </c>
      <c r="H152" s="165"/>
      <c r="I152" s="175" t="s">
        <v>1200</v>
      </c>
      <c r="J152" s="203">
        <f t="shared" si="10"/>
        <v>30</v>
      </c>
      <c r="K152" s="210">
        <f t="shared" si="11"/>
        <v>34</v>
      </c>
      <c r="L152" s="2"/>
    </row>
    <row r="153" spans="1:13" x14ac:dyDescent="0.25">
      <c r="A153" s="203"/>
      <c r="B153" s="172"/>
      <c r="G153" s="32"/>
      <c r="H153" s="165"/>
      <c r="I153" s="175"/>
      <c r="J153" s="203"/>
      <c r="K153" s="210">
        <f t="shared" si="11"/>
        <v>35</v>
      </c>
      <c r="L153" s="2"/>
    </row>
    <row r="154" spans="1:13" ht="16.5" thickBot="1" x14ac:dyDescent="0.3">
      <c r="A154" s="203"/>
      <c r="B154" s="179" t="s">
        <v>1001</v>
      </c>
      <c r="G154" s="563">
        <f>G127*G152</f>
        <v>0</v>
      </c>
      <c r="H154" s="165"/>
      <c r="I154" s="228" t="s">
        <v>1002</v>
      </c>
      <c r="J154" s="203"/>
      <c r="K154" s="210">
        <f t="shared" si="11"/>
        <v>36</v>
      </c>
      <c r="L154" s="2"/>
    </row>
    <row r="155" spans="1:13" ht="16.5" thickTop="1" x14ac:dyDescent="0.25">
      <c r="A155" s="203">
        <f>A152+1</f>
        <v>31</v>
      </c>
      <c r="G155" s="33"/>
      <c r="H155" s="33"/>
      <c r="I155" s="175"/>
      <c r="J155" s="203">
        <f>J152+1</f>
        <v>31</v>
      </c>
      <c r="K155" s="210">
        <f t="shared" si="11"/>
        <v>37</v>
      </c>
      <c r="L155" s="2"/>
    </row>
    <row r="156" spans="1:13" ht="19.5" thickBot="1" x14ac:dyDescent="0.3">
      <c r="A156" s="203">
        <f t="shared" si="9"/>
        <v>32</v>
      </c>
      <c r="B156" s="172" t="s">
        <v>1061</v>
      </c>
      <c r="G156" s="122">
        <f>G146+G152</f>
        <v>0</v>
      </c>
      <c r="H156" s="32"/>
      <c r="I156" s="175" t="s">
        <v>1009</v>
      </c>
      <c r="J156" s="203">
        <f t="shared" si="10"/>
        <v>32</v>
      </c>
      <c r="K156" s="210">
        <f t="shared" si="11"/>
        <v>38</v>
      </c>
      <c r="L156" s="241"/>
      <c r="M156" s="237"/>
    </row>
    <row r="157" spans="1:13" ht="17.25" thickTop="1" thickBot="1" x14ac:dyDescent="0.3">
      <c r="A157" s="494">
        <f t="shared" si="9"/>
        <v>33</v>
      </c>
      <c r="B157" s="496"/>
      <c r="C157" s="496"/>
      <c r="D157" s="496"/>
      <c r="E157" s="496"/>
      <c r="F157" s="496"/>
      <c r="G157" s="494"/>
      <c r="H157" s="494"/>
      <c r="I157" s="498"/>
      <c r="J157" s="494">
        <f t="shared" si="10"/>
        <v>33</v>
      </c>
      <c r="K157" s="210">
        <f t="shared" si="11"/>
        <v>39</v>
      </c>
    </row>
    <row r="158" spans="1:13" x14ac:dyDescent="0.25">
      <c r="A158" s="203">
        <f t="shared" si="9"/>
        <v>34</v>
      </c>
      <c r="B158" s="218"/>
      <c r="C158" s="218"/>
      <c r="D158" s="218"/>
      <c r="E158" s="218"/>
      <c r="F158" s="218"/>
      <c r="G158" s="203"/>
      <c r="H158" s="203"/>
      <c r="I158" s="226"/>
      <c r="J158" s="203">
        <f t="shared" si="10"/>
        <v>34</v>
      </c>
      <c r="K158" s="210">
        <f t="shared" si="11"/>
        <v>40</v>
      </c>
    </row>
    <row r="159" spans="1:13" ht="18.75" x14ac:dyDescent="0.25">
      <c r="A159" s="203">
        <f t="shared" si="9"/>
        <v>35</v>
      </c>
      <c r="B159" s="172" t="s">
        <v>1062</v>
      </c>
      <c r="E159" s="165"/>
      <c r="F159" s="165"/>
      <c r="G159" s="51"/>
      <c r="H159" s="51"/>
      <c r="I159" s="175"/>
      <c r="J159" s="203">
        <f t="shared" si="10"/>
        <v>35</v>
      </c>
      <c r="K159" s="210">
        <f t="shared" si="11"/>
        <v>41</v>
      </c>
    </row>
    <row r="160" spans="1:13" x14ac:dyDescent="0.25">
      <c r="A160" s="203">
        <f t="shared" si="9"/>
        <v>36</v>
      </c>
      <c r="B160" s="40"/>
      <c r="E160" s="165"/>
      <c r="F160" s="165"/>
      <c r="G160" s="51"/>
      <c r="H160" s="51"/>
      <c r="I160" s="175"/>
      <c r="J160" s="203">
        <f t="shared" si="10"/>
        <v>36</v>
      </c>
      <c r="K160" s="210">
        <f t="shared" si="11"/>
        <v>42</v>
      </c>
      <c r="M160" s="288"/>
    </row>
    <row r="161" spans="1:13" x14ac:dyDescent="0.25">
      <c r="A161" s="203">
        <f t="shared" si="9"/>
        <v>37</v>
      </c>
      <c r="B161" s="172" t="s">
        <v>770</v>
      </c>
      <c r="E161" s="165"/>
      <c r="F161" s="165"/>
      <c r="G161" s="51"/>
      <c r="H161" s="51"/>
      <c r="I161" s="175"/>
      <c r="J161" s="203">
        <f t="shared" si="10"/>
        <v>37</v>
      </c>
      <c r="K161" s="210">
        <f t="shared" si="11"/>
        <v>43</v>
      </c>
    </row>
    <row r="162" spans="1:13" x14ac:dyDescent="0.25">
      <c r="A162" s="203">
        <f t="shared" si="9"/>
        <v>38</v>
      </c>
      <c r="B162" s="165"/>
      <c r="C162" s="165"/>
      <c r="D162" s="165"/>
      <c r="E162" s="165"/>
      <c r="F162" s="165"/>
      <c r="G162" s="51"/>
      <c r="H162" s="51"/>
      <c r="I162" s="175"/>
      <c r="J162" s="203">
        <f t="shared" si="10"/>
        <v>38</v>
      </c>
      <c r="K162" s="210">
        <f t="shared" si="11"/>
        <v>44</v>
      </c>
    </row>
    <row r="163" spans="1:13" x14ac:dyDescent="0.25">
      <c r="A163" s="203">
        <f t="shared" si="9"/>
        <v>39</v>
      </c>
      <c r="B163" s="39" t="s">
        <v>117</v>
      </c>
      <c r="C163" s="165"/>
      <c r="D163" s="165"/>
      <c r="E163" s="165"/>
      <c r="F163" s="165"/>
      <c r="G163" s="51"/>
      <c r="H163" s="51"/>
      <c r="I163" s="235"/>
      <c r="J163" s="203">
        <f t="shared" si="10"/>
        <v>39</v>
      </c>
      <c r="K163" s="210">
        <f t="shared" si="11"/>
        <v>45</v>
      </c>
    </row>
    <row r="164" spans="1:13" x14ac:dyDescent="0.25">
      <c r="A164" s="203">
        <f t="shared" si="9"/>
        <v>40</v>
      </c>
      <c r="B164" s="38" t="s">
        <v>741</v>
      </c>
      <c r="D164" s="165"/>
      <c r="E164" s="165"/>
      <c r="F164" s="165"/>
      <c r="G164" s="118">
        <f>G67</f>
        <v>0</v>
      </c>
      <c r="H164" s="165"/>
      <c r="I164" s="175" t="s">
        <v>1201</v>
      </c>
      <c r="J164" s="203">
        <f t="shared" si="10"/>
        <v>40</v>
      </c>
      <c r="K164" s="210">
        <f t="shared" si="11"/>
        <v>46</v>
      </c>
      <c r="L164" s="2"/>
    </row>
    <row r="165" spans="1:13" x14ac:dyDescent="0.25">
      <c r="A165" s="203">
        <f t="shared" si="9"/>
        <v>41</v>
      </c>
      <c r="B165" s="38" t="s">
        <v>471</v>
      </c>
      <c r="D165" s="165"/>
      <c r="E165" s="165"/>
      <c r="F165" s="165"/>
      <c r="G165" s="123">
        <v>0</v>
      </c>
      <c r="H165" s="165"/>
      <c r="I165" s="175" t="s">
        <v>730</v>
      </c>
      <c r="J165" s="203">
        <f t="shared" si="10"/>
        <v>41</v>
      </c>
      <c r="K165" s="210">
        <f t="shared" si="11"/>
        <v>47</v>
      </c>
      <c r="L165" s="2"/>
    </row>
    <row r="166" spans="1:13" x14ac:dyDescent="0.25">
      <c r="A166" s="203">
        <f t="shared" si="9"/>
        <v>42</v>
      </c>
      <c r="B166" s="38" t="s">
        <v>119</v>
      </c>
      <c r="D166" s="165"/>
      <c r="E166" s="165"/>
      <c r="F166" s="165"/>
      <c r="G166" s="123">
        <v>0</v>
      </c>
      <c r="H166" s="165"/>
      <c r="I166" s="175" t="s">
        <v>730</v>
      </c>
      <c r="J166" s="203">
        <f t="shared" si="10"/>
        <v>42</v>
      </c>
      <c r="K166" s="210">
        <f t="shared" si="11"/>
        <v>48</v>
      </c>
      <c r="L166" s="165"/>
    </row>
    <row r="167" spans="1:13" x14ac:dyDescent="0.25">
      <c r="A167" s="203">
        <f t="shared" si="9"/>
        <v>43</v>
      </c>
      <c r="B167" s="38" t="s">
        <v>120</v>
      </c>
      <c r="D167" s="165"/>
      <c r="E167" s="236"/>
      <c r="F167" s="165"/>
      <c r="G167" s="5">
        <f>'BK-1 Retail TRR'!E137</f>
        <v>0</v>
      </c>
      <c r="H167" s="165"/>
      <c r="I167" s="175" t="s">
        <v>821</v>
      </c>
      <c r="J167" s="203">
        <f t="shared" si="10"/>
        <v>43</v>
      </c>
      <c r="K167" s="210">
        <f t="shared" si="11"/>
        <v>49</v>
      </c>
    </row>
    <row r="168" spans="1:13" x14ac:dyDescent="0.25">
      <c r="A168" s="203">
        <f t="shared" si="9"/>
        <v>44</v>
      </c>
      <c r="B168" s="38" t="s">
        <v>462</v>
      </c>
      <c r="D168" s="58"/>
      <c r="E168" s="165"/>
      <c r="F168" s="165"/>
      <c r="G168" s="564">
        <v>0</v>
      </c>
      <c r="H168" s="165"/>
      <c r="I168" s="175" t="s">
        <v>121</v>
      </c>
      <c r="J168" s="203">
        <f t="shared" si="10"/>
        <v>44</v>
      </c>
      <c r="K168" s="210">
        <f t="shared" si="11"/>
        <v>50</v>
      </c>
      <c r="M168" s="176"/>
    </row>
    <row r="169" spans="1:13" x14ac:dyDescent="0.25">
      <c r="A169" s="203">
        <f t="shared" si="9"/>
        <v>45</v>
      </c>
      <c r="G169" s="2"/>
      <c r="H169" s="2"/>
      <c r="J169" s="203">
        <f t="shared" si="10"/>
        <v>45</v>
      </c>
      <c r="K169" s="210">
        <f t="shared" si="11"/>
        <v>51</v>
      </c>
    </row>
    <row r="170" spans="1:13" x14ac:dyDescent="0.25">
      <c r="A170" s="203">
        <f t="shared" si="9"/>
        <v>46</v>
      </c>
      <c r="B170" s="38" t="s">
        <v>398</v>
      </c>
      <c r="D170" s="165"/>
      <c r="E170" s="165"/>
      <c r="F170" s="165"/>
      <c r="G170" s="573">
        <f>IFERROR((((G164)+(G166/G167))*G168-(G165/G167))/(1-G168),0)</f>
        <v>0</v>
      </c>
      <c r="H170" s="32"/>
      <c r="I170" s="175" t="s">
        <v>130</v>
      </c>
      <c r="J170" s="203">
        <f t="shared" si="10"/>
        <v>46</v>
      </c>
      <c r="K170" s="210">
        <f t="shared" si="11"/>
        <v>52</v>
      </c>
      <c r="M170" s="237"/>
    </row>
    <row r="171" spans="1:13" x14ac:dyDescent="0.25">
      <c r="A171" s="203">
        <f t="shared" si="9"/>
        <v>47</v>
      </c>
      <c r="B171" s="170" t="s">
        <v>399</v>
      </c>
      <c r="G171" s="2"/>
      <c r="H171" s="2"/>
      <c r="J171" s="203">
        <f t="shared" si="10"/>
        <v>47</v>
      </c>
      <c r="K171" s="210">
        <f t="shared" si="11"/>
        <v>53</v>
      </c>
    </row>
    <row r="172" spans="1:13" x14ac:dyDescent="0.25">
      <c r="A172" s="203">
        <f t="shared" si="9"/>
        <v>48</v>
      </c>
      <c r="G172" s="2"/>
      <c r="H172" s="2"/>
      <c r="J172" s="203">
        <f t="shared" si="10"/>
        <v>48</v>
      </c>
      <c r="K172" s="210">
        <f t="shared" si="11"/>
        <v>54</v>
      </c>
    </row>
    <row r="173" spans="1:13" x14ac:dyDescent="0.25">
      <c r="A173" s="203">
        <f t="shared" si="9"/>
        <v>49</v>
      </c>
      <c r="B173" s="172" t="s">
        <v>122</v>
      </c>
      <c r="C173" s="165"/>
      <c r="D173" s="165"/>
      <c r="E173" s="165"/>
      <c r="F173" s="165"/>
      <c r="G173" s="119"/>
      <c r="H173" s="119"/>
      <c r="I173" s="238"/>
      <c r="J173" s="203">
        <f t="shared" si="10"/>
        <v>49</v>
      </c>
      <c r="K173" s="210">
        <f t="shared" si="11"/>
        <v>55</v>
      </c>
      <c r="L173" s="239"/>
    </row>
    <row r="174" spans="1:13" x14ac:dyDescent="0.25">
      <c r="A174" s="203">
        <f t="shared" si="9"/>
        <v>50</v>
      </c>
      <c r="B174" s="205"/>
      <c r="C174" s="165"/>
      <c r="D174" s="165"/>
      <c r="E174" s="165"/>
      <c r="F174" s="165"/>
      <c r="G174" s="119"/>
      <c r="H174" s="119"/>
      <c r="I174" s="240"/>
      <c r="J174" s="203">
        <f t="shared" si="10"/>
        <v>50</v>
      </c>
      <c r="K174" s="210">
        <f t="shared" si="11"/>
        <v>56</v>
      </c>
      <c r="L174" s="165"/>
    </row>
    <row r="175" spans="1:13" x14ac:dyDescent="0.25">
      <c r="A175" s="203">
        <f t="shared" si="9"/>
        <v>51</v>
      </c>
      <c r="B175" s="39" t="s">
        <v>117</v>
      </c>
      <c r="C175" s="165"/>
      <c r="D175" s="165"/>
      <c r="E175" s="165"/>
      <c r="F175" s="165"/>
      <c r="G175" s="119"/>
      <c r="H175" s="119"/>
      <c r="I175" s="240"/>
      <c r="J175" s="203">
        <f t="shared" si="10"/>
        <v>51</v>
      </c>
      <c r="K175" s="210">
        <f t="shared" si="11"/>
        <v>57</v>
      </c>
      <c r="L175" s="165"/>
    </row>
    <row r="176" spans="1:13" x14ac:dyDescent="0.25">
      <c r="A176" s="203">
        <f t="shared" si="9"/>
        <v>52</v>
      </c>
      <c r="B176" s="38" t="s">
        <v>741</v>
      </c>
      <c r="D176" s="165"/>
      <c r="E176" s="165"/>
      <c r="F176" s="165"/>
      <c r="G176" s="118">
        <f>G164</f>
        <v>0</v>
      </c>
      <c r="H176" s="33"/>
      <c r="I176" s="175" t="s">
        <v>1064</v>
      </c>
      <c r="J176" s="203">
        <f t="shared" si="10"/>
        <v>52</v>
      </c>
      <c r="K176" s="210">
        <f t="shared" si="11"/>
        <v>58</v>
      </c>
      <c r="L176" s="2"/>
    </row>
    <row r="177" spans="1:12" x14ac:dyDescent="0.25">
      <c r="A177" s="203">
        <f t="shared" si="9"/>
        <v>53</v>
      </c>
      <c r="B177" s="38" t="s">
        <v>885</v>
      </c>
      <c r="D177" s="165"/>
      <c r="E177" s="165"/>
      <c r="F177" s="165"/>
      <c r="G177" s="123">
        <v>0</v>
      </c>
      <c r="H177" s="33"/>
      <c r="I177" s="175" t="s">
        <v>730</v>
      </c>
      <c r="J177" s="203">
        <f t="shared" si="10"/>
        <v>53</v>
      </c>
      <c r="K177" s="210">
        <f t="shared" si="11"/>
        <v>59</v>
      </c>
      <c r="L177" s="2"/>
    </row>
    <row r="178" spans="1:12" x14ac:dyDescent="0.25">
      <c r="A178" s="203">
        <f t="shared" si="9"/>
        <v>54</v>
      </c>
      <c r="B178" s="38" t="s">
        <v>119</v>
      </c>
      <c r="D178" s="165"/>
      <c r="E178" s="165"/>
      <c r="F178" s="165"/>
      <c r="G178" s="5">
        <f>G166</f>
        <v>0</v>
      </c>
      <c r="H178" s="55"/>
      <c r="I178" s="175" t="s">
        <v>1065</v>
      </c>
      <c r="J178" s="203">
        <f t="shared" si="10"/>
        <v>54</v>
      </c>
      <c r="K178" s="210">
        <f t="shared" si="11"/>
        <v>60</v>
      </c>
      <c r="L178" s="2"/>
    </row>
    <row r="179" spans="1:12" x14ac:dyDescent="0.25">
      <c r="A179" s="203">
        <f t="shared" si="9"/>
        <v>55</v>
      </c>
      <c r="B179" s="38" t="s">
        <v>120</v>
      </c>
      <c r="D179" s="165"/>
      <c r="E179" s="165"/>
      <c r="F179" s="165"/>
      <c r="G179" s="5">
        <f>G167</f>
        <v>0</v>
      </c>
      <c r="H179" s="9"/>
      <c r="I179" s="175" t="s">
        <v>1066</v>
      </c>
      <c r="J179" s="203">
        <f t="shared" si="10"/>
        <v>55</v>
      </c>
      <c r="K179" s="210">
        <f t="shared" si="11"/>
        <v>61</v>
      </c>
      <c r="L179" s="2"/>
    </row>
    <row r="180" spans="1:12" x14ac:dyDescent="0.25">
      <c r="A180" s="203">
        <f t="shared" si="9"/>
        <v>56</v>
      </c>
      <c r="B180" s="38" t="s">
        <v>131</v>
      </c>
      <c r="D180" s="165"/>
      <c r="E180" s="165"/>
      <c r="F180" s="165"/>
      <c r="G180" s="541">
        <f>G170</f>
        <v>0</v>
      </c>
      <c r="H180" s="32"/>
      <c r="I180" s="175" t="s">
        <v>1067</v>
      </c>
      <c r="J180" s="203">
        <f t="shared" si="10"/>
        <v>56</v>
      </c>
      <c r="K180" s="210">
        <f t="shared" si="11"/>
        <v>62</v>
      </c>
    </row>
    <row r="181" spans="1:12" x14ac:dyDescent="0.25">
      <c r="A181" s="203">
        <f t="shared" si="9"/>
        <v>57</v>
      </c>
      <c r="B181" s="38" t="s">
        <v>463</v>
      </c>
      <c r="D181" s="165"/>
      <c r="E181" s="165"/>
      <c r="F181" s="165"/>
      <c r="G181" s="564">
        <v>0</v>
      </c>
      <c r="H181" s="165"/>
      <c r="I181" s="175" t="s">
        <v>123</v>
      </c>
      <c r="J181" s="203">
        <f t="shared" si="10"/>
        <v>57</v>
      </c>
      <c r="K181" s="210">
        <f t="shared" si="11"/>
        <v>63</v>
      </c>
    </row>
    <row r="182" spans="1:12" x14ac:dyDescent="0.25">
      <c r="A182" s="203">
        <f t="shared" si="9"/>
        <v>58</v>
      </c>
      <c r="B182" s="1"/>
      <c r="D182" s="165"/>
      <c r="E182" s="165"/>
      <c r="F182" s="165"/>
      <c r="G182" s="120"/>
      <c r="H182" s="120"/>
      <c r="I182" s="240"/>
      <c r="J182" s="203">
        <f t="shared" si="10"/>
        <v>58</v>
      </c>
      <c r="K182" s="210">
        <f t="shared" si="11"/>
        <v>64</v>
      </c>
      <c r="L182" s="289"/>
    </row>
    <row r="183" spans="1:12" x14ac:dyDescent="0.25">
      <c r="A183" s="203">
        <f t="shared" si="9"/>
        <v>59</v>
      </c>
      <c r="B183" s="38" t="s">
        <v>886</v>
      </c>
      <c r="C183" s="2"/>
      <c r="D183" s="2"/>
      <c r="E183" s="165"/>
      <c r="F183" s="165"/>
      <c r="G183" s="121">
        <f>IFERROR((((G176)+(G178/G179)+G170)*G181-(G177/G179))/(1-G181),0)</f>
        <v>0</v>
      </c>
      <c r="H183" s="32"/>
      <c r="I183" s="175" t="s">
        <v>132</v>
      </c>
      <c r="J183" s="203">
        <f t="shared" si="10"/>
        <v>59</v>
      </c>
      <c r="K183" s="210">
        <f t="shared" si="11"/>
        <v>65</v>
      </c>
    </row>
    <row r="184" spans="1:12" x14ac:dyDescent="0.25">
      <c r="A184" s="203">
        <f t="shared" si="9"/>
        <v>60</v>
      </c>
      <c r="B184" s="170" t="s">
        <v>878</v>
      </c>
      <c r="G184" s="2"/>
      <c r="H184" s="2"/>
      <c r="I184" s="175"/>
      <c r="J184" s="203">
        <f t="shared" si="10"/>
        <v>60</v>
      </c>
      <c r="K184" s="210">
        <f t="shared" si="11"/>
        <v>66</v>
      </c>
      <c r="L184" s="2"/>
    </row>
    <row r="185" spans="1:12" x14ac:dyDescent="0.25">
      <c r="A185" s="203">
        <f t="shared" si="9"/>
        <v>61</v>
      </c>
      <c r="G185" s="2"/>
      <c r="H185" s="2"/>
      <c r="I185" s="175"/>
      <c r="J185" s="203">
        <f t="shared" si="10"/>
        <v>61</v>
      </c>
      <c r="K185" s="210">
        <f t="shared" si="11"/>
        <v>67</v>
      </c>
      <c r="L185" s="2"/>
    </row>
    <row r="186" spans="1:12" x14ac:dyDescent="0.25">
      <c r="A186" s="203">
        <f t="shared" si="9"/>
        <v>62</v>
      </c>
      <c r="B186" s="172" t="s">
        <v>124</v>
      </c>
      <c r="G186" s="573">
        <f>G183+G170</f>
        <v>0</v>
      </c>
      <c r="H186" s="32"/>
      <c r="I186" s="175" t="s">
        <v>1068</v>
      </c>
      <c r="J186" s="203">
        <f t="shared" si="10"/>
        <v>62</v>
      </c>
      <c r="K186" s="210">
        <f t="shared" si="11"/>
        <v>68</v>
      </c>
      <c r="L186" s="2"/>
    </row>
    <row r="187" spans="1:12" x14ac:dyDescent="0.25">
      <c r="A187" s="203"/>
      <c r="B187" s="172"/>
      <c r="G187" s="32"/>
      <c r="H187" s="32"/>
      <c r="I187" s="175"/>
      <c r="J187" s="203"/>
      <c r="K187" s="210">
        <f t="shared" si="11"/>
        <v>69</v>
      </c>
      <c r="L187" s="2"/>
    </row>
    <row r="188" spans="1:12" x14ac:dyDescent="0.25">
      <c r="A188" s="203"/>
      <c r="B188" s="179" t="s">
        <v>996</v>
      </c>
      <c r="C188" s="179"/>
      <c r="D188" s="179"/>
      <c r="E188" s="179"/>
      <c r="F188" s="179"/>
      <c r="G188" s="518">
        <f>G167*G170</f>
        <v>0</v>
      </c>
      <c r="H188" s="32"/>
      <c r="I188" s="228" t="s">
        <v>1069</v>
      </c>
      <c r="J188" s="203"/>
      <c r="K188" s="210">
        <f t="shared" si="11"/>
        <v>70</v>
      </c>
      <c r="L188" s="2"/>
    </row>
    <row r="189" spans="1:12" x14ac:dyDescent="0.25">
      <c r="A189" s="203"/>
      <c r="B189" s="179" t="s">
        <v>998</v>
      </c>
      <c r="G189" s="520">
        <f>G167*G183</f>
        <v>0</v>
      </c>
      <c r="H189" s="32"/>
      <c r="I189" s="228" t="s">
        <v>1070</v>
      </c>
      <c r="J189" s="203"/>
      <c r="K189" s="210">
        <f t="shared" si="11"/>
        <v>71</v>
      </c>
      <c r="L189" s="2"/>
    </row>
    <row r="190" spans="1:12" ht="16.5" thickBot="1" x14ac:dyDescent="0.3">
      <c r="A190" s="203"/>
      <c r="B190" s="179" t="s">
        <v>1000</v>
      </c>
      <c r="G190" s="521">
        <f>G188+G189</f>
        <v>0</v>
      </c>
      <c r="H190" s="32"/>
      <c r="I190" s="228" t="s">
        <v>1071</v>
      </c>
      <c r="J190" s="203"/>
      <c r="K190" s="210">
        <f t="shared" si="11"/>
        <v>72</v>
      </c>
      <c r="L190" s="2"/>
    </row>
    <row r="191" spans="1:12" ht="16.5" thickTop="1" x14ac:dyDescent="0.25">
      <c r="A191" s="203">
        <f>A186+1</f>
        <v>63</v>
      </c>
      <c r="G191" s="2"/>
      <c r="H191" s="2"/>
      <c r="I191" s="175"/>
      <c r="J191" s="203">
        <f>J186+1</f>
        <v>63</v>
      </c>
      <c r="K191" s="210">
        <f t="shared" si="11"/>
        <v>73</v>
      </c>
      <c r="L191" s="2"/>
    </row>
    <row r="192" spans="1:12" x14ac:dyDescent="0.25">
      <c r="A192" s="203">
        <f t="shared" si="9"/>
        <v>64</v>
      </c>
      <c r="B192" s="172" t="s">
        <v>742</v>
      </c>
      <c r="G192" s="20">
        <f>G65</f>
        <v>0</v>
      </c>
      <c r="H192" s="165"/>
      <c r="I192" s="175" t="s">
        <v>1202</v>
      </c>
      <c r="J192" s="203">
        <f t="shared" si="10"/>
        <v>64</v>
      </c>
      <c r="K192" s="210">
        <f t="shared" si="11"/>
        <v>74</v>
      </c>
      <c r="L192" s="2"/>
    </row>
    <row r="193" spans="1:13" x14ac:dyDescent="0.25">
      <c r="A193" s="203"/>
      <c r="B193" s="172"/>
      <c r="G193" s="32"/>
      <c r="H193" s="165"/>
      <c r="I193" s="175"/>
      <c r="J193" s="203"/>
      <c r="K193" s="210">
        <f t="shared" si="11"/>
        <v>75</v>
      </c>
      <c r="L193" s="2"/>
    </row>
    <row r="194" spans="1:13" ht="16.5" thickBot="1" x14ac:dyDescent="0.3">
      <c r="A194" s="203"/>
      <c r="B194" s="179" t="s">
        <v>1001</v>
      </c>
      <c r="G194" s="545">
        <f>G167*G192</f>
        <v>0</v>
      </c>
      <c r="H194" s="165"/>
      <c r="I194" s="228" t="s">
        <v>1072</v>
      </c>
      <c r="J194" s="203"/>
      <c r="K194" s="210">
        <f t="shared" si="11"/>
        <v>76</v>
      </c>
      <c r="L194" s="2"/>
    </row>
    <row r="195" spans="1:13" ht="16.5" thickTop="1" x14ac:dyDescent="0.25">
      <c r="A195" s="203">
        <f>A192+1</f>
        <v>65</v>
      </c>
      <c r="G195" s="33"/>
      <c r="H195" s="33"/>
      <c r="I195" s="175"/>
      <c r="J195" s="203">
        <f>J192+1</f>
        <v>65</v>
      </c>
      <c r="K195" s="210">
        <f t="shared" si="11"/>
        <v>77</v>
      </c>
      <c r="L195" s="2"/>
    </row>
    <row r="196" spans="1:13" ht="19.5" thickBot="1" x14ac:dyDescent="0.3">
      <c r="A196" s="203">
        <f t="shared" si="9"/>
        <v>66</v>
      </c>
      <c r="B196" s="172" t="s">
        <v>1063</v>
      </c>
      <c r="G196" s="122">
        <f>G186+G192</f>
        <v>0</v>
      </c>
      <c r="H196" s="32"/>
      <c r="I196" s="175" t="s">
        <v>1073</v>
      </c>
      <c r="J196" s="203">
        <f t="shared" si="10"/>
        <v>66</v>
      </c>
      <c r="K196" s="210">
        <f t="shared" si="11"/>
        <v>78</v>
      </c>
      <c r="L196" s="241"/>
      <c r="M196" s="237"/>
    </row>
    <row r="197" spans="1:13" ht="16.5" thickTop="1" x14ac:dyDescent="0.25">
      <c r="B197" s="172"/>
      <c r="G197" s="242"/>
      <c r="H197" s="242"/>
      <c r="I197" s="175"/>
      <c r="J197" s="2"/>
      <c r="K197" s="2"/>
      <c r="L197" s="241"/>
      <c r="M197" s="237"/>
    </row>
    <row r="198" spans="1:13" x14ac:dyDescent="0.25">
      <c r="A198" s="71"/>
      <c r="B198" s="1"/>
      <c r="C198" s="243"/>
      <c r="D198" s="243"/>
      <c r="E198" s="243"/>
      <c r="F198" s="243"/>
      <c r="G198" s="75"/>
      <c r="H198" s="75"/>
      <c r="I198" s="244"/>
      <c r="J198" s="2"/>
      <c r="K198" s="2"/>
    </row>
    <row r="199" spans="1:13" x14ac:dyDescent="0.25">
      <c r="B199" s="584" t="s">
        <v>16</v>
      </c>
      <c r="C199" s="584"/>
      <c r="D199" s="584"/>
      <c r="E199" s="584"/>
      <c r="F199" s="584"/>
      <c r="G199" s="584"/>
      <c r="H199" s="584"/>
      <c r="I199" s="584"/>
      <c r="J199" s="2"/>
      <c r="K199" s="2"/>
    </row>
    <row r="200" spans="1:13" x14ac:dyDescent="0.25">
      <c r="B200" s="584" t="s">
        <v>101</v>
      </c>
      <c r="C200" s="584"/>
      <c r="D200" s="584"/>
      <c r="E200" s="584"/>
      <c r="F200" s="584"/>
      <c r="G200" s="584"/>
      <c r="H200" s="584"/>
      <c r="I200" s="584"/>
      <c r="J200" s="2"/>
      <c r="K200" s="2"/>
    </row>
    <row r="201" spans="1:13" x14ac:dyDescent="0.25">
      <c r="B201" s="584" t="s">
        <v>102</v>
      </c>
      <c r="C201" s="584"/>
      <c r="D201" s="584"/>
      <c r="E201" s="584"/>
      <c r="F201" s="584"/>
      <c r="G201" s="584"/>
      <c r="H201" s="584"/>
      <c r="I201" s="584"/>
      <c r="J201" s="2"/>
      <c r="K201" s="2"/>
    </row>
    <row r="202" spans="1:13" x14ac:dyDescent="0.25">
      <c r="B202" s="586" t="str">
        <f>B5</f>
        <v>Base Period &amp; True-Up Period 12 - Months Ending  December 31, xxxx</v>
      </c>
      <c r="C202" s="586"/>
      <c r="D202" s="586"/>
      <c r="E202" s="586"/>
      <c r="F202" s="586"/>
      <c r="G202" s="586"/>
      <c r="H202" s="586"/>
      <c r="I202" s="586"/>
      <c r="J202" s="2"/>
      <c r="K202" s="2"/>
    </row>
    <row r="203" spans="1:13" x14ac:dyDescent="0.25">
      <c r="B203" s="580" t="s">
        <v>1</v>
      </c>
      <c r="C203" s="581"/>
      <c r="D203" s="581"/>
      <c r="E203" s="581"/>
      <c r="F203" s="581"/>
      <c r="G203" s="581"/>
      <c r="H203" s="581"/>
      <c r="I203" s="581"/>
      <c r="J203" s="2"/>
      <c r="K203" s="2"/>
    </row>
    <row r="204" spans="1:13" x14ac:dyDescent="0.25">
      <c r="B204" s="2"/>
      <c r="C204" s="2"/>
      <c r="D204" s="2"/>
      <c r="E204" s="2"/>
      <c r="F204" s="2"/>
      <c r="G204" s="165"/>
      <c r="H204" s="165"/>
      <c r="I204" s="175"/>
      <c r="J204" s="2"/>
      <c r="K204" s="2"/>
    </row>
    <row r="205" spans="1:13" x14ac:dyDescent="0.25">
      <c r="A205" s="2" t="s">
        <v>2</v>
      </c>
      <c r="B205" s="165"/>
      <c r="C205" s="165"/>
      <c r="D205" s="165"/>
      <c r="E205" s="165"/>
      <c r="F205" s="165"/>
      <c r="G205" s="165"/>
      <c r="H205" s="165"/>
      <c r="I205" s="175"/>
      <c r="J205" s="2" t="s">
        <v>2</v>
      </c>
      <c r="K205" s="2"/>
    </row>
    <row r="206" spans="1:13" x14ac:dyDescent="0.25">
      <c r="A206" s="2" t="s">
        <v>18</v>
      </c>
      <c r="B206" s="2"/>
      <c r="C206" s="2"/>
      <c r="D206" s="2"/>
      <c r="E206" s="2"/>
      <c r="F206" s="2"/>
      <c r="G206" s="42" t="s">
        <v>37</v>
      </c>
      <c r="H206" s="165"/>
      <c r="I206" s="232" t="s">
        <v>7</v>
      </c>
      <c r="J206" s="2" t="s">
        <v>18</v>
      </c>
      <c r="K206" s="2"/>
    </row>
    <row r="207" spans="1:13" x14ac:dyDescent="0.25">
      <c r="G207" s="2"/>
      <c r="H207" s="2"/>
      <c r="I207" s="175"/>
      <c r="J207" s="2"/>
      <c r="K207" s="2"/>
    </row>
    <row r="208" spans="1:13" ht="18.75" x14ac:dyDescent="0.25">
      <c r="A208" s="2">
        <v>1</v>
      </c>
      <c r="B208" s="172" t="s">
        <v>1074</v>
      </c>
      <c r="E208" s="165"/>
      <c r="F208" s="165"/>
      <c r="G208" s="51"/>
      <c r="H208" s="51"/>
      <c r="I208" s="175"/>
      <c r="J208" s="2">
        <v>1</v>
      </c>
      <c r="K208" s="2"/>
    </row>
    <row r="209" spans="1:11" x14ac:dyDescent="0.25">
      <c r="A209" s="2">
        <f>A208+1</f>
        <v>2</v>
      </c>
      <c r="B209" s="40"/>
      <c r="E209" s="165"/>
      <c r="F209" s="165"/>
      <c r="G209" s="51"/>
      <c r="H209" s="51"/>
      <c r="I209" s="175"/>
      <c r="J209" s="2">
        <f>J208+1</f>
        <v>2</v>
      </c>
      <c r="K209" s="2"/>
    </row>
    <row r="210" spans="1:11" x14ac:dyDescent="0.25">
      <c r="A210" s="2">
        <f>A209+1</f>
        <v>3</v>
      </c>
      <c r="B210" s="172" t="s">
        <v>770</v>
      </c>
      <c r="E210" s="165"/>
      <c r="F210" s="165"/>
      <c r="G210" s="51"/>
      <c r="H210" s="51"/>
      <c r="I210" s="175"/>
      <c r="J210" s="2">
        <f>J209+1</f>
        <v>3</v>
      </c>
      <c r="K210" s="2"/>
    </row>
    <row r="211" spans="1:11" x14ac:dyDescent="0.25">
      <c r="A211" s="2">
        <f>A210+1</f>
        <v>4</v>
      </c>
      <c r="B211" s="165"/>
      <c r="C211" s="165"/>
      <c r="D211" s="165"/>
      <c r="E211" s="165"/>
      <c r="F211" s="165"/>
      <c r="G211" s="51"/>
      <c r="H211" s="51"/>
      <c r="I211" s="175"/>
      <c r="J211" s="2">
        <f>J210+1</f>
        <v>4</v>
      </c>
      <c r="K211" s="2"/>
    </row>
    <row r="212" spans="1:11" x14ac:dyDescent="0.25">
      <c r="A212" s="2">
        <f t="shared" ref="A212:A285" si="12">A211+1</f>
        <v>5</v>
      </c>
      <c r="B212" s="39" t="s">
        <v>117</v>
      </c>
      <c r="C212" s="165"/>
      <c r="D212" s="165"/>
      <c r="E212" s="165"/>
      <c r="F212" s="165"/>
      <c r="G212" s="51"/>
      <c r="H212" s="51"/>
      <c r="I212" s="235"/>
      <c r="J212" s="2">
        <f t="shared" ref="J212:J285" si="13">J211+1</f>
        <v>5</v>
      </c>
      <c r="K212" s="2"/>
    </row>
    <row r="213" spans="1:11" x14ac:dyDescent="0.25">
      <c r="A213" s="2">
        <f t="shared" si="12"/>
        <v>6</v>
      </c>
      <c r="B213" s="38" t="s">
        <v>118</v>
      </c>
      <c r="D213" s="165"/>
      <c r="E213" s="165"/>
      <c r="F213" s="165"/>
      <c r="G213" s="118">
        <f>G91</f>
        <v>0</v>
      </c>
      <c r="H213" s="165"/>
      <c r="I213" s="175" t="s">
        <v>1075</v>
      </c>
      <c r="J213" s="2">
        <f t="shared" si="13"/>
        <v>6</v>
      </c>
      <c r="K213" s="2"/>
    </row>
    <row r="214" spans="1:11" x14ac:dyDescent="0.25">
      <c r="A214" s="2">
        <f t="shared" si="12"/>
        <v>7</v>
      </c>
      <c r="B214" s="38" t="s">
        <v>471</v>
      </c>
      <c r="D214" s="165"/>
      <c r="E214" s="165"/>
      <c r="F214" s="165"/>
      <c r="G214" s="123">
        <v>0</v>
      </c>
      <c r="H214" s="165"/>
      <c r="I214" s="175" t="s">
        <v>134</v>
      </c>
      <c r="J214" s="2">
        <f t="shared" si="13"/>
        <v>7</v>
      </c>
      <c r="K214" s="2"/>
    </row>
    <row r="215" spans="1:11" x14ac:dyDescent="0.25">
      <c r="A215" s="2">
        <f t="shared" si="12"/>
        <v>8</v>
      </c>
      <c r="B215" s="38" t="s">
        <v>119</v>
      </c>
      <c r="D215" s="165"/>
      <c r="E215" s="165"/>
      <c r="F215" s="165"/>
      <c r="G215" s="97">
        <v>0</v>
      </c>
      <c r="H215" s="165"/>
      <c r="I215" s="579" t="s">
        <v>247</v>
      </c>
      <c r="J215" s="2">
        <f t="shared" si="13"/>
        <v>8</v>
      </c>
      <c r="K215" s="2"/>
    </row>
    <row r="216" spans="1:11" x14ac:dyDescent="0.25">
      <c r="A216" s="2">
        <f t="shared" si="12"/>
        <v>9</v>
      </c>
      <c r="B216" s="38" t="s">
        <v>775</v>
      </c>
      <c r="D216" s="165"/>
      <c r="E216" s="165"/>
      <c r="F216" s="165"/>
      <c r="G216" s="26">
        <f>'BK-1 Retail TRR'!E142</f>
        <v>0</v>
      </c>
      <c r="H216" s="165"/>
      <c r="I216" s="175" t="s">
        <v>823</v>
      </c>
      <c r="J216" s="2">
        <f t="shared" si="13"/>
        <v>9</v>
      </c>
      <c r="K216" s="2"/>
    </row>
    <row r="217" spans="1:11" x14ac:dyDescent="0.25">
      <c r="A217" s="2">
        <f t="shared" si="12"/>
        <v>10</v>
      </c>
      <c r="B217" s="38" t="s">
        <v>462</v>
      </c>
      <c r="D217" s="165"/>
      <c r="E217" s="165"/>
      <c r="F217" s="165"/>
      <c r="G217" s="124">
        <f>G128</f>
        <v>0</v>
      </c>
      <c r="H217" s="165"/>
      <c r="I217" s="175" t="s">
        <v>1076</v>
      </c>
      <c r="J217" s="2">
        <f t="shared" si="13"/>
        <v>10</v>
      </c>
      <c r="K217" s="2"/>
    </row>
    <row r="218" spans="1:11" x14ac:dyDescent="0.25">
      <c r="A218" s="2">
        <f t="shared" si="12"/>
        <v>11</v>
      </c>
      <c r="G218" s="2"/>
      <c r="H218" s="2"/>
      <c r="J218" s="2">
        <f t="shared" si="13"/>
        <v>11</v>
      </c>
      <c r="K218" s="2"/>
    </row>
    <row r="219" spans="1:11" x14ac:dyDescent="0.25">
      <c r="A219" s="2">
        <f t="shared" si="12"/>
        <v>12</v>
      </c>
      <c r="B219" s="38" t="s">
        <v>400</v>
      </c>
      <c r="D219" s="165"/>
      <c r="E219" s="165"/>
      <c r="F219" s="165"/>
      <c r="G219" s="573">
        <f>IFERROR((((G213)+(G215/G216))*G217-(G214/G216))/(1-G217),0)</f>
        <v>0</v>
      </c>
      <c r="H219" s="32"/>
      <c r="I219" s="175" t="s">
        <v>135</v>
      </c>
      <c r="J219" s="2">
        <f t="shared" si="13"/>
        <v>12</v>
      </c>
      <c r="K219" s="2"/>
    </row>
    <row r="220" spans="1:11" x14ac:dyDescent="0.25">
      <c r="A220" s="2">
        <f t="shared" si="12"/>
        <v>13</v>
      </c>
      <c r="B220" s="170" t="s">
        <v>399</v>
      </c>
      <c r="D220" s="170"/>
      <c r="G220" s="33"/>
      <c r="H220" s="33"/>
      <c r="J220" s="2">
        <f t="shared" si="13"/>
        <v>13</v>
      </c>
      <c r="K220" s="2"/>
    </row>
    <row r="221" spans="1:11" x14ac:dyDescent="0.25">
      <c r="A221" s="2">
        <f t="shared" si="12"/>
        <v>14</v>
      </c>
      <c r="G221" s="2"/>
      <c r="H221" s="2"/>
      <c r="J221" s="2">
        <f t="shared" si="13"/>
        <v>14</v>
      </c>
      <c r="K221" s="2"/>
    </row>
    <row r="222" spans="1:11" x14ac:dyDescent="0.25">
      <c r="A222" s="2">
        <f t="shared" si="12"/>
        <v>15</v>
      </c>
      <c r="B222" s="172" t="s">
        <v>122</v>
      </c>
      <c r="C222" s="165"/>
      <c r="D222" s="165"/>
      <c r="E222" s="165"/>
      <c r="F222" s="165"/>
      <c r="G222" s="119"/>
      <c r="H222" s="119"/>
      <c r="I222" s="238"/>
      <c r="J222" s="2">
        <f t="shared" si="13"/>
        <v>15</v>
      </c>
      <c r="K222" s="2"/>
    </row>
    <row r="223" spans="1:11" x14ac:dyDescent="0.25">
      <c r="A223" s="2">
        <f t="shared" si="12"/>
        <v>16</v>
      </c>
      <c r="B223" s="205"/>
      <c r="C223" s="165"/>
      <c r="D223" s="165"/>
      <c r="E223" s="165"/>
      <c r="F223" s="165"/>
      <c r="G223" s="119"/>
      <c r="H223" s="119"/>
      <c r="I223" s="235"/>
      <c r="J223" s="2">
        <f t="shared" si="13"/>
        <v>16</v>
      </c>
      <c r="K223" s="2"/>
    </row>
    <row r="224" spans="1:11" x14ac:dyDescent="0.25">
      <c r="A224" s="2">
        <f t="shared" si="12"/>
        <v>17</v>
      </c>
      <c r="B224" s="39" t="s">
        <v>117</v>
      </c>
      <c r="C224" s="165"/>
      <c r="D224" s="165"/>
      <c r="E224" s="165"/>
      <c r="F224" s="165"/>
      <c r="G224" s="119"/>
      <c r="H224" s="119"/>
      <c r="I224" s="235"/>
      <c r="J224" s="2">
        <f t="shared" si="13"/>
        <v>17</v>
      </c>
      <c r="K224" s="2"/>
    </row>
    <row r="225" spans="1:11" x14ac:dyDescent="0.25">
      <c r="A225" s="2">
        <f t="shared" si="12"/>
        <v>18</v>
      </c>
      <c r="B225" s="38" t="s">
        <v>118</v>
      </c>
      <c r="D225" s="165"/>
      <c r="E225" s="165"/>
      <c r="F225" s="165"/>
      <c r="G225" s="118">
        <f>G213</f>
        <v>0</v>
      </c>
      <c r="H225" s="33"/>
      <c r="I225" s="175" t="s">
        <v>580</v>
      </c>
      <c r="J225" s="2">
        <f t="shared" si="13"/>
        <v>18</v>
      </c>
      <c r="K225" s="2"/>
    </row>
    <row r="226" spans="1:11" x14ac:dyDescent="0.25">
      <c r="A226" s="2">
        <f t="shared" si="12"/>
        <v>19</v>
      </c>
      <c r="B226" s="38" t="s">
        <v>885</v>
      </c>
      <c r="D226" s="165"/>
      <c r="E226" s="165"/>
      <c r="F226" s="165"/>
      <c r="G226" s="123">
        <v>0</v>
      </c>
      <c r="H226" s="33"/>
      <c r="I226" s="175" t="s">
        <v>134</v>
      </c>
      <c r="J226" s="2">
        <f t="shared" si="13"/>
        <v>19</v>
      </c>
      <c r="K226" s="2"/>
    </row>
    <row r="227" spans="1:11" x14ac:dyDescent="0.25">
      <c r="A227" s="2">
        <f t="shared" si="12"/>
        <v>20</v>
      </c>
      <c r="B227" s="38" t="s">
        <v>119</v>
      </c>
      <c r="D227" s="165"/>
      <c r="E227" s="165"/>
      <c r="F227" s="165"/>
      <c r="G227" s="26">
        <f>G215</f>
        <v>0</v>
      </c>
      <c r="H227" s="55"/>
      <c r="I227" s="175" t="s">
        <v>581</v>
      </c>
      <c r="J227" s="2">
        <f t="shared" si="13"/>
        <v>20</v>
      </c>
      <c r="K227" s="2"/>
    </row>
    <row r="228" spans="1:11" x14ac:dyDescent="0.25">
      <c r="A228" s="2">
        <f t="shared" si="12"/>
        <v>21</v>
      </c>
      <c r="B228" s="38" t="s">
        <v>775</v>
      </c>
      <c r="D228" s="165"/>
      <c r="E228" s="165"/>
      <c r="F228" s="165"/>
      <c r="G228" s="26">
        <f>G216</f>
        <v>0</v>
      </c>
      <c r="H228" s="55"/>
      <c r="I228" s="175" t="s">
        <v>582</v>
      </c>
      <c r="J228" s="2">
        <f t="shared" si="13"/>
        <v>21</v>
      </c>
      <c r="K228" s="2"/>
    </row>
    <row r="229" spans="1:11" x14ac:dyDescent="0.25">
      <c r="A229" s="2">
        <f t="shared" si="12"/>
        <v>22</v>
      </c>
      <c r="B229" s="38" t="s">
        <v>131</v>
      </c>
      <c r="D229" s="165"/>
      <c r="E229" s="165"/>
      <c r="F229" s="165"/>
      <c r="G229" s="541">
        <f>G219</f>
        <v>0</v>
      </c>
      <c r="H229" s="32"/>
      <c r="I229" s="175" t="s">
        <v>583</v>
      </c>
      <c r="J229" s="2">
        <f t="shared" si="13"/>
        <v>22</v>
      </c>
      <c r="K229" s="2"/>
    </row>
    <row r="230" spans="1:11" x14ac:dyDescent="0.25">
      <c r="A230" s="2">
        <f t="shared" si="12"/>
        <v>23</v>
      </c>
      <c r="B230" s="38" t="s">
        <v>463</v>
      </c>
      <c r="D230" s="165"/>
      <c r="E230" s="165"/>
      <c r="F230" s="165"/>
      <c r="G230" s="124">
        <f>G141</f>
        <v>0</v>
      </c>
      <c r="H230" s="165"/>
      <c r="I230" s="175" t="s">
        <v>1077</v>
      </c>
      <c r="J230" s="2">
        <f t="shared" si="13"/>
        <v>23</v>
      </c>
      <c r="K230" s="2"/>
    </row>
    <row r="231" spans="1:11" x14ac:dyDescent="0.25">
      <c r="A231" s="2">
        <f t="shared" si="12"/>
        <v>24</v>
      </c>
      <c r="B231" s="1"/>
      <c r="D231" s="165"/>
      <c r="E231" s="165"/>
      <c r="F231" s="165"/>
      <c r="G231" s="120"/>
      <c r="H231" s="120"/>
      <c r="I231" s="240"/>
      <c r="J231" s="2">
        <f t="shared" si="13"/>
        <v>24</v>
      </c>
      <c r="K231" s="2"/>
    </row>
    <row r="232" spans="1:11" x14ac:dyDescent="0.25">
      <c r="A232" s="2">
        <f t="shared" si="12"/>
        <v>25</v>
      </c>
      <c r="B232" s="38" t="s">
        <v>886</v>
      </c>
      <c r="C232" s="2"/>
      <c r="D232" s="2"/>
      <c r="E232" s="165"/>
      <c r="F232" s="165"/>
      <c r="G232" s="121">
        <f>IFERROR((((G225)+(G227/G228)+G219)*G230-(G226/G228))/(1-G230),0)</f>
        <v>0</v>
      </c>
      <c r="H232" s="32"/>
      <c r="I232" s="175" t="s">
        <v>132</v>
      </c>
      <c r="J232" s="2">
        <f t="shared" si="13"/>
        <v>25</v>
      </c>
      <c r="K232" s="2"/>
    </row>
    <row r="233" spans="1:11" x14ac:dyDescent="0.25">
      <c r="A233" s="2">
        <f t="shared" si="12"/>
        <v>26</v>
      </c>
      <c r="B233" s="170" t="s">
        <v>878</v>
      </c>
      <c r="D233" s="170"/>
      <c r="G233" s="2"/>
      <c r="H233" s="2"/>
      <c r="I233" s="175"/>
      <c r="J233" s="2">
        <f t="shared" si="13"/>
        <v>26</v>
      </c>
      <c r="K233" s="2"/>
    </row>
    <row r="234" spans="1:11" x14ac:dyDescent="0.25">
      <c r="A234" s="2">
        <f t="shared" si="12"/>
        <v>27</v>
      </c>
      <c r="G234" s="2"/>
      <c r="H234" s="2"/>
      <c r="I234" s="175"/>
      <c r="J234" s="2">
        <f t="shared" si="13"/>
        <v>27</v>
      </c>
      <c r="K234" s="2"/>
    </row>
    <row r="235" spans="1:11" x14ac:dyDescent="0.25">
      <c r="A235" s="2">
        <f t="shared" si="12"/>
        <v>28</v>
      </c>
      <c r="B235" s="172" t="s">
        <v>124</v>
      </c>
      <c r="G235" s="573">
        <f>G232+G219</f>
        <v>0</v>
      </c>
      <c r="H235" s="32"/>
      <c r="I235" s="175" t="s">
        <v>896</v>
      </c>
      <c r="J235" s="2">
        <f t="shared" si="13"/>
        <v>28</v>
      </c>
      <c r="K235" s="2"/>
    </row>
    <row r="236" spans="1:11" x14ac:dyDescent="0.25">
      <c r="B236" s="172"/>
      <c r="G236" s="32"/>
      <c r="H236" s="32"/>
      <c r="I236" s="175"/>
      <c r="J236" s="2"/>
      <c r="K236" s="210">
        <v>29</v>
      </c>
    </row>
    <row r="237" spans="1:11" x14ac:dyDescent="0.25">
      <c r="B237" s="179" t="s">
        <v>996</v>
      </c>
      <c r="C237" s="179"/>
      <c r="D237" s="179"/>
      <c r="E237" s="179"/>
      <c r="F237" s="179"/>
      <c r="G237" s="518">
        <f>G216*G219</f>
        <v>0</v>
      </c>
      <c r="H237" s="519"/>
      <c r="I237" s="228" t="s">
        <v>997</v>
      </c>
      <c r="J237" s="2"/>
      <c r="K237" s="210">
        <f>K236+1</f>
        <v>30</v>
      </c>
    </row>
    <row r="238" spans="1:11" x14ac:dyDescent="0.25">
      <c r="B238" s="179" t="s">
        <v>998</v>
      </c>
      <c r="G238" s="577">
        <f>G216*G232</f>
        <v>0</v>
      </c>
      <c r="H238" s="32"/>
      <c r="I238" s="228" t="s">
        <v>999</v>
      </c>
      <c r="J238" s="2"/>
      <c r="K238" s="210">
        <f t="shared" ref="K238:K285" si="14">K237+1</f>
        <v>31</v>
      </c>
    </row>
    <row r="239" spans="1:11" ht="16.5" thickBot="1" x14ac:dyDescent="0.3">
      <c r="B239" s="179" t="s">
        <v>1000</v>
      </c>
      <c r="G239" s="521">
        <f>G237+G238</f>
        <v>0</v>
      </c>
      <c r="H239" s="32"/>
      <c r="I239" s="228" t="s">
        <v>735</v>
      </c>
      <c r="J239" s="2"/>
      <c r="K239" s="210">
        <f t="shared" si="14"/>
        <v>32</v>
      </c>
    </row>
    <row r="240" spans="1:11" ht="16.5" thickTop="1" x14ac:dyDescent="0.25">
      <c r="A240" s="203">
        <f>A235+1</f>
        <v>29</v>
      </c>
      <c r="G240" s="2"/>
      <c r="H240" s="2"/>
      <c r="I240" s="175"/>
      <c r="J240" s="203">
        <f>J235+1</f>
        <v>29</v>
      </c>
      <c r="K240" s="210">
        <f t="shared" si="14"/>
        <v>33</v>
      </c>
    </row>
    <row r="241" spans="1:11" x14ac:dyDescent="0.25">
      <c r="A241" s="203">
        <f t="shared" si="12"/>
        <v>30</v>
      </c>
      <c r="B241" s="172" t="s">
        <v>136</v>
      </c>
      <c r="G241" s="20">
        <f>G89</f>
        <v>0</v>
      </c>
      <c r="H241" s="165"/>
      <c r="I241" s="175" t="s">
        <v>1144</v>
      </c>
      <c r="J241" s="203">
        <f t="shared" si="13"/>
        <v>30</v>
      </c>
      <c r="K241" s="210">
        <f t="shared" si="14"/>
        <v>34</v>
      </c>
    </row>
    <row r="242" spans="1:11" x14ac:dyDescent="0.25">
      <c r="A242" s="203"/>
      <c r="B242" s="172"/>
      <c r="G242" s="32"/>
      <c r="H242" s="165"/>
      <c r="I242" s="175"/>
      <c r="J242" s="203"/>
      <c r="K242" s="210">
        <f t="shared" si="14"/>
        <v>35</v>
      </c>
    </row>
    <row r="243" spans="1:11" ht="16.5" thickBot="1" x14ac:dyDescent="0.3">
      <c r="A243" s="203"/>
      <c r="B243" s="179" t="s">
        <v>1001</v>
      </c>
      <c r="G243" s="545">
        <f>G216*G241</f>
        <v>0</v>
      </c>
      <c r="H243" s="165"/>
      <c r="I243" s="228" t="s">
        <v>1002</v>
      </c>
      <c r="J243" s="203"/>
      <c r="K243" s="210">
        <f t="shared" si="14"/>
        <v>36</v>
      </c>
    </row>
    <row r="244" spans="1:11" ht="16.5" thickTop="1" x14ac:dyDescent="0.25">
      <c r="A244" s="203">
        <f>A241+1</f>
        <v>31</v>
      </c>
      <c r="B244" s="218"/>
      <c r="C244" s="218"/>
      <c r="D244" s="218"/>
      <c r="E244" s="218"/>
      <c r="F244" s="218"/>
      <c r="G244" s="203"/>
      <c r="H244" s="203"/>
      <c r="I244" s="226"/>
      <c r="J244" s="203">
        <f>J241+1</f>
        <v>31</v>
      </c>
      <c r="K244" s="210">
        <f t="shared" si="14"/>
        <v>37</v>
      </c>
    </row>
    <row r="245" spans="1:11" ht="19.5" thickBot="1" x14ac:dyDescent="0.3">
      <c r="A245" s="203">
        <f t="shared" si="12"/>
        <v>32</v>
      </c>
      <c r="B245" s="172" t="s">
        <v>1011</v>
      </c>
      <c r="C245" s="218"/>
      <c r="D245" s="218"/>
      <c r="E245" s="218"/>
      <c r="F245" s="218"/>
      <c r="G245" s="122">
        <f>G235+G241</f>
        <v>0</v>
      </c>
      <c r="H245" s="502"/>
      <c r="I245" s="175" t="s">
        <v>1009</v>
      </c>
      <c r="J245" s="203">
        <f t="shared" si="13"/>
        <v>32</v>
      </c>
      <c r="K245" s="210">
        <f t="shared" si="14"/>
        <v>38</v>
      </c>
    </row>
    <row r="246" spans="1:11" ht="17.25" thickTop="1" thickBot="1" x14ac:dyDescent="0.3">
      <c r="A246" s="494">
        <f t="shared" si="12"/>
        <v>33</v>
      </c>
      <c r="B246" s="495"/>
      <c r="C246" s="496"/>
      <c r="D246" s="496"/>
      <c r="E246" s="496"/>
      <c r="F246" s="496"/>
      <c r="G246" s="503"/>
      <c r="H246" s="503"/>
      <c r="I246" s="498"/>
      <c r="J246" s="494">
        <f t="shared" si="13"/>
        <v>33</v>
      </c>
      <c r="K246" s="210">
        <f t="shared" si="14"/>
        <v>39</v>
      </c>
    </row>
    <row r="247" spans="1:11" x14ac:dyDescent="0.25">
      <c r="A247" s="203">
        <f t="shared" si="12"/>
        <v>34</v>
      </c>
      <c r="B247" s="492"/>
      <c r="C247" s="218"/>
      <c r="D247" s="218"/>
      <c r="E247" s="218"/>
      <c r="F247" s="218"/>
      <c r="G247" s="502"/>
      <c r="H247" s="502"/>
      <c r="I247" s="226"/>
      <c r="J247" s="203">
        <f t="shared" si="13"/>
        <v>34</v>
      </c>
      <c r="K247" s="210">
        <f t="shared" si="14"/>
        <v>40</v>
      </c>
    </row>
    <row r="248" spans="1:11" ht="18.75" x14ac:dyDescent="0.25">
      <c r="A248" s="203">
        <f t="shared" si="12"/>
        <v>35</v>
      </c>
      <c r="B248" s="172" t="s">
        <v>1062</v>
      </c>
      <c r="E248" s="165"/>
      <c r="F248" s="165"/>
      <c r="G248" s="51"/>
      <c r="H248" s="51"/>
      <c r="I248" s="175"/>
      <c r="J248" s="203">
        <f t="shared" si="13"/>
        <v>35</v>
      </c>
      <c r="K248" s="210">
        <f t="shared" si="14"/>
        <v>41</v>
      </c>
    </row>
    <row r="249" spans="1:11" x14ac:dyDescent="0.25">
      <c r="A249" s="203">
        <f t="shared" si="12"/>
        <v>36</v>
      </c>
      <c r="B249" s="40"/>
      <c r="E249" s="165"/>
      <c r="F249" s="165"/>
      <c r="G249" s="51"/>
      <c r="H249" s="51"/>
      <c r="I249" s="175"/>
      <c r="J249" s="203">
        <f t="shared" si="13"/>
        <v>36</v>
      </c>
      <c r="K249" s="210">
        <f t="shared" si="14"/>
        <v>42</v>
      </c>
    </row>
    <row r="250" spans="1:11" x14ac:dyDescent="0.25">
      <c r="A250" s="203">
        <f t="shared" si="12"/>
        <v>37</v>
      </c>
      <c r="B250" s="172" t="s">
        <v>770</v>
      </c>
      <c r="E250" s="165"/>
      <c r="F250" s="165"/>
      <c r="G250" s="51"/>
      <c r="H250" s="51"/>
      <c r="I250" s="175"/>
      <c r="J250" s="203">
        <f t="shared" si="13"/>
        <v>37</v>
      </c>
      <c r="K250" s="210">
        <f t="shared" si="14"/>
        <v>43</v>
      </c>
    </row>
    <row r="251" spans="1:11" x14ac:dyDescent="0.25">
      <c r="A251" s="203">
        <f t="shared" si="12"/>
        <v>38</v>
      </c>
      <c r="B251" s="165"/>
      <c r="C251" s="165"/>
      <c r="D251" s="165"/>
      <c r="E251" s="165"/>
      <c r="F251" s="165"/>
      <c r="G251" s="51"/>
      <c r="H251" s="51"/>
      <c r="I251" s="175"/>
      <c r="J251" s="203">
        <f t="shared" si="13"/>
        <v>38</v>
      </c>
      <c r="K251" s="210">
        <f t="shared" si="14"/>
        <v>44</v>
      </c>
    </row>
    <row r="252" spans="1:11" x14ac:dyDescent="0.25">
      <c r="A252" s="203">
        <f t="shared" si="12"/>
        <v>39</v>
      </c>
      <c r="B252" s="39" t="s">
        <v>117</v>
      </c>
      <c r="C252" s="165"/>
      <c r="D252" s="165"/>
      <c r="E252" s="165"/>
      <c r="F252" s="165"/>
      <c r="G252" s="51"/>
      <c r="H252" s="51"/>
      <c r="I252" s="235"/>
      <c r="J252" s="203">
        <f t="shared" si="13"/>
        <v>39</v>
      </c>
      <c r="K252" s="210">
        <f t="shared" si="14"/>
        <v>45</v>
      </c>
    </row>
    <row r="253" spans="1:11" x14ac:dyDescent="0.25">
      <c r="A253" s="203">
        <f t="shared" si="12"/>
        <v>40</v>
      </c>
      <c r="B253" s="38" t="s">
        <v>741</v>
      </c>
      <c r="D253" s="165"/>
      <c r="E253" s="165"/>
      <c r="F253" s="165"/>
      <c r="G253" s="118">
        <f>G104</f>
        <v>0</v>
      </c>
      <c r="H253" s="165"/>
      <c r="I253" s="175" t="s">
        <v>822</v>
      </c>
      <c r="J253" s="203">
        <f t="shared" si="13"/>
        <v>40</v>
      </c>
      <c r="K253" s="210">
        <f t="shared" si="14"/>
        <v>46</v>
      </c>
    </row>
    <row r="254" spans="1:11" x14ac:dyDescent="0.25">
      <c r="A254" s="203">
        <f t="shared" si="12"/>
        <v>41</v>
      </c>
      <c r="B254" s="38" t="s">
        <v>471</v>
      </c>
      <c r="D254" s="165"/>
      <c r="E254" s="165"/>
      <c r="F254" s="165"/>
      <c r="G254" s="123">
        <v>0</v>
      </c>
      <c r="H254" s="165"/>
      <c r="I254" s="175" t="s">
        <v>134</v>
      </c>
      <c r="J254" s="203">
        <f t="shared" si="13"/>
        <v>41</v>
      </c>
      <c r="K254" s="210">
        <f t="shared" si="14"/>
        <v>47</v>
      </c>
    </row>
    <row r="255" spans="1:11" x14ac:dyDescent="0.25">
      <c r="A255" s="203">
        <f t="shared" si="12"/>
        <v>42</v>
      </c>
      <c r="B255" s="38" t="s">
        <v>119</v>
      </c>
      <c r="D255" s="165"/>
      <c r="E255" s="165"/>
      <c r="F255" s="165"/>
      <c r="G255" s="97">
        <v>0</v>
      </c>
      <c r="H255" s="165"/>
      <c r="I255" s="223" t="s">
        <v>247</v>
      </c>
      <c r="J255" s="203">
        <f t="shared" si="13"/>
        <v>42</v>
      </c>
      <c r="K255" s="210">
        <f t="shared" si="14"/>
        <v>48</v>
      </c>
    </row>
    <row r="256" spans="1:11" x14ac:dyDescent="0.25">
      <c r="A256" s="203">
        <f t="shared" si="12"/>
        <v>43</v>
      </c>
      <c r="B256" s="38" t="s">
        <v>775</v>
      </c>
      <c r="D256" s="165"/>
      <c r="E256" s="165"/>
      <c r="F256" s="165"/>
      <c r="G256" s="26">
        <f>'BK-1 Retail TRR'!E142</f>
        <v>0</v>
      </c>
      <c r="H256" s="165"/>
      <c r="I256" s="175" t="s">
        <v>823</v>
      </c>
      <c r="J256" s="203">
        <f t="shared" si="13"/>
        <v>43</v>
      </c>
      <c r="K256" s="210">
        <f t="shared" si="14"/>
        <v>49</v>
      </c>
    </row>
    <row r="257" spans="1:11" x14ac:dyDescent="0.25">
      <c r="A257" s="203">
        <f t="shared" si="12"/>
        <v>44</v>
      </c>
      <c r="B257" s="38" t="s">
        <v>462</v>
      </c>
      <c r="D257" s="165"/>
      <c r="E257" s="165"/>
      <c r="F257" s="165"/>
      <c r="G257" s="124">
        <f>G168</f>
        <v>0</v>
      </c>
      <c r="H257" s="165"/>
      <c r="I257" s="175" t="s">
        <v>1078</v>
      </c>
      <c r="J257" s="203">
        <f t="shared" si="13"/>
        <v>44</v>
      </c>
      <c r="K257" s="210">
        <f t="shared" si="14"/>
        <v>50</v>
      </c>
    </row>
    <row r="258" spans="1:11" x14ac:dyDescent="0.25">
      <c r="A258" s="203">
        <f t="shared" si="12"/>
        <v>45</v>
      </c>
      <c r="G258" s="2"/>
      <c r="H258" s="2"/>
      <c r="J258" s="203">
        <f t="shared" si="13"/>
        <v>45</v>
      </c>
      <c r="K258" s="210">
        <f t="shared" si="14"/>
        <v>51</v>
      </c>
    </row>
    <row r="259" spans="1:11" x14ac:dyDescent="0.25">
      <c r="A259" s="203">
        <f t="shared" si="12"/>
        <v>46</v>
      </c>
      <c r="B259" s="38" t="s">
        <v>398</v>
      </c>
      <c r="D259" s="165"/>
      <c r="E259" s="165"/>
      <c r="F259" s="165"/>
      <c r="G259" s="573">
        <f>IFERROR((((G253)+(G255/G256))*G257-(G254/G256))/(1-G257),0)</f>
        <v>0</v>
      </c>
      <c r="H259" s="32"/>
      <c r="I259" s="175" t="s">
        <v>135</v>
      </c>
      <c r="J259" s="203">
        <f t="shared" si="13"/>
        <v>46</v>
      </c>
      <c r="K259" s="210">
        <f t="shared" si="14"/>
        <v>52</v>
      </c>
    </row>
    <row r="260" spans="1:11" x14ac:dyDescent="0.25">
      <c r="A260" s="203">
        <f t="shared" si="12"/>
        <v>47</v>
      </c>
      <c r="B260" s="170" t="s">
        <v>399</v>
      </c>
      <c r="D260" s="170"/>
      <c r="G260" s="33"/>
      <c r="H260" s="33"/>
      <c r="J260" s="203">
        <f t="shared" si="13"/>
        <v>47</v>
      </c>
      <c r="K260" s="210">
        <f t="shared" si="14"/>
        <v>53</v>
      </c>
    </row>
    <row r="261" spans="1:11" x14ac:dyDescent="0.25">
      <c r="A261" s="203">
        <f t="shared" si="12"/>
        <v>48</v>
      </c>
      <c r="G261" s="2"/>
      <c r="H261" s="2"/>
      <c r="J261" s="203">
        <f t="shared" si="13"/>
        <v>48</v>
      </c>
      <c r="K261" s="210">
        <f t="shared" si="14"/>
        <v>54</v>
      </c>
    </row>
    <row r="262" spans="1:11" x14ac:dyDescent="0.25">
      <c r="A262" s="203">
        <f t="shared" si="12"/>
        <v>49</v>
      </c>
      <c r="B262" s="172" t="s">
        <v>122</v>
      </c>
      <c r="C262" s="165"/>
      <c r="D262" s="165"/>
      <c r="E262" s="165"/>
      <c r="F262" s="165"/>
      <c r="G262" s="119"/>
      <c r="H262" s="119"/>
      <c r="I262" s="238"/>
      <c r="J262" s="203">
        <f t="shared" si="13"/>
        <v>49</v>
      </c>
      <c r="K262" s="210">
        <f t="shared" si="14"/>
        <v>55</v>
      </c>
    </row>
    <row r="263" spans="1:11" x14ac:dyDescent="0.25">
      <c r="A263" s="203">
        <f t="shared" si="12"/>
        <v>50</v>
      </c>
      <c r="B263" s="205"/>
      <c r="C263" s="165"/>
      <c r="D263" s="165"/>
      <c r="E263" s="165"/>
      <c r="F263" s="165"/>
      <c r="G263" s="119"/>
      <c r="H263" s="119"/>
      <c r="I263" s="235"/>
      <c r="J263" s="203">
        <f t="shared" si="13"/>
        <v>50</v>
      </c>
      <c r="K263" s="210">
        <f t="shared" si="14"/>
        <v>56</v>
      </c>
    </row>
    <row r="264" spans="1:11" x14ac:dyDescent="0.25">
      <c r="A264" s="203">
        <f t="shared" si="12"/>
        <v>51</v>
      </c>
      <c r="B264" s="39" t="s">
        <v>117</v>
      </c>
      <c r="C264" s="165"/>
      <c r="D264" s="165"/>
      <c r="E264" s="165"/>
      <c r="F264" s="165"/>
      <c r="G264" s="119"/>
      <c r="H264" s="119"/>
      <c r="I264" s="235"/>
      <c r="J264" s="203">
        <f t="shared" si="13"/>
        <v>51</v>
      </c>
      <c r="K264" s="210">
        <f t="shared" si="14"/>
        <v>57</v>
      </c>
    </row>
    <row r="265" spans="1:11" x14ac:dyDescent="0.25">
      <c r="A265" s="203">
        <f t="shared" si="12"/>
        <v>52</v>
      </c>
      <c r="B265" s="38" t="s">
        <v>741</v>
      </c>
      <c r="D265" s="165"/>
      <c r="E265" s="165"/>
      <c r="F265" s="165"/>
      <c r="G265" s="118">
        <f>G253</f>
        <v>0</v>
      </c>
      <c r="H265" s="33"/>
      <c r="I265" s="175" t="s">
        <v>1064</v>
      </c>
      <c r="J265" s="203">
        <f t="shared" si="13"/>
        <v>52</v>
      </c>
      <c r="K265" s="210">
        <f t="shared" si="14"/>
        <v>58</v>
      </c>
    </row>
    <row r="266" spans="1:11" x14ac:dyDescent="0.25">
      <c r="A266" s="203">
        <f t="shared" si="12"/>
        <v>53</v>
      </c>
      <c r="B266" s="38" t="s">
        <v>885</v>
      </c>
      <c r="D266" s="165"/>
      <c r="E266" s="165"/>
      <c r="F266" s="165"/>
      <c r="G266" s="123">
        <v>0</v>
      </c>
      <c r="H266" s="33"/>
      <c r="I266" s="175" t="s">
        <v>134</v>
      </c>
      <c r="J266" s="203">
        <f t="shared" si="13"/>
        <v>53</v>
      </c>
      <c r="K266" s="210">
        <f t="shared" si="14"/>
        <v>59</v>
      </c>
    </row>
    <row r="267" spans="1:11" x14ac:dyDescent="0.25">
      <c r="A267" s="203">
        <f t="shared" si="12"/>
        <v>54</v>
      </c>
      <c r="B267" s="38" t="s">
        <v>119</v>
      </c>
      <c r="D267" s="165"/>
      <c r="E267" s="165"/>
      <c r="F267" s="165"/>
      <c r="G267" s="26">
        <f>G255</f>
        <v>0</v>
      </c>
      <c r="H267" s="55"/>
      <c r="I267" s="175" t="s">
        <v>1065</v>
      </c>
      <c r="J267" s="203">
        <f t="shared" si="13"/>
        <v>54</v>
      </c>
      <c r="K267" s="210">
        <f t="shared" si="14"/>
        <v>60</v>
      </c>
    </row>
    <row r="268" spans="1:11" x14ac:dyDescent="0.25">
      <c r="A268" s="203">
        <f t="shared" si="12"/>
        <v>55</v>
      </c>
      <c r="B268" s="38" t="s">
        <v>775</v>
      </c>
      <c r="D268" s="165"/>
      <c r="E268" s="165"/>
      <c r="F268" s="165"/>
      <c r="G268" s="26">
        <f>G256</f>
        <v>0</v>
      </c>
      <c r="H268" s="55"/>
      <c r="I268" s="175" t="s">
        <v>1066</v>
      </c>
      <c r="J268" s="203">
        <f t="shared" si="13"/>
        <v>55</v>
      </c>
      <c r="K268" s="210">
        <f t="shared" si="14"/>
        <v>61</v>
      </c>
    </row>
    <row r="269" spans="1:11" x14ac:dyDescent="0.25">
      <c r="A269" s="203">
        <f t="shared" si="12"/>
        <v>56</v>
      </c>
      <c r="B269" s="38" t="s">
        <v>131</v>
      </c>
      <c r="D269" s="165"/>
      <c r="E269" s="165"/>
      <c r="F269" s="165"/>
      <c r="G269" s="541">
        <f>G259</f>
        <v>0</v>
      </c>
      <c r="H269" s="32"/>
      <c r="I269" s="175" t="s">
        <v>1067</v>
      </c>
      <c r="J269" s="203">
        <f t="shared" si="13"/>
        <v>56</v>
      </c>
      <c r="K269" s="210">
        <f t="shared" si="14"/>
        <v>62</v>
      </c>
    </row>
    <row r="270" spans="1:11" x14ac:dyDescent="0.25">
      <c r="A270" s="203">
        <f t="shared" si="12"/>
        <v>57</v>
      </c>
      <c r="B270" s="38" t="s">
        <v>463</v>
      </c>
      <c r="D270" s="165"/>
      <c r="E270" s="165"/>
      <c r="F270" s="165"/>
      <c r="G270" s="124">
        <f>G181</f>
        <v>0</v>
      </c>
      <c r="H270" s="165"/>
      <c r="I270" s="175" t="s">
        <v>1079</v>
      </c>
      <c r="J270" s="203">
        <f t="shared" si="13"/>
        <v>57</v>
      </c>
      <c r="K270" s="210">
        <f t="shared" si="14"/>
        <v>63</v>
      </c>
    </row>
    <row r="271" spans="1:11" x14ac:dyDescent="0.25">
      <c r="A271" s="203">
        <f t="shared" si="12"/>
        <v>58</v>
      </c>
      <c r="B271" s="1"/>
      <c r="D271" s="165"/>
      <c r="E271" s="165"/>
      <c r="F271" s="165"/>
      <c r="G271" s="120"/>
      <c r="H271" s="120"/>
      <c r="I271" s="240"/>
      <c r="J271" s="203">
        <f t="shared" si="13"/>
        <v>58</v>
      </c>
      <c r="K271" s="210">
        <f t="shared" si="14"/>
        <v>64</v>
      </c>
    </row>
    <row r="272" spans="1:11" x14ac:dyDescent="0.25">
      <c r="A272" s="203">
        <f t="shared" si="12"/>
        <v>59</v>
      </c>
      <c r="B272" s="38" t="s">
        <v>886</v>
      </c>
      <c r="C272" s="2"/>
      <c r="D272" s="2"/>
      <c r="E272" s="165"/>
      <c r="F272" s="165"/>
      <c r="G272" s="121">
        <f>IFERROR((((G265)+(G267/G268)+G259)*G270-(G266/G268))/(1-G270),0)</f>
        <v>0</v>
      </c>
      <c r="H272" s="32"/>
      <c r="I272" s="175" t="s">
        <v>132</v>
      </c>
      <c r="J272" s="203">
        <f t="shared" si="13"/>
        <v>59</v>
      </c>
      <c r="K272" s="210">
        <f t="shared" si="14"/>
        <v>65</v>
      </c>
    </row>
    <row r="273" spans="1:11" x14ac:dyDescent="0.25">
      <c r="A273" s="203">
        <f t="shared" si="12"/>
        <v>60</v>
      </c>
      <c r="B273" s="170" t="s">
        <v>878</v>
      </c>
      <c r="D273" s="170"/>
      <c r="G273" s="2"/>
      <c r="H273" s="2"/>
      <c r="I273" s="175"/>
      <c r="J273" s="203">
        <f t="shared" si="13"/>
        <v>60</v>
      </c>
      <c r="K273" s="210">
        <f t="shared" si="14"/>
        <v>66</v>
      </c>
    </row>
    <row r="274" spans="1:11" x14ac:dyDescent="0.25">
      <c r="A274" s="203">
        <f t="shared" si="12"/>
        <v>61</v>
      </c>
      <c r="G274" s="2"/>
      <c r="H274" s="2"/>
      <c r="I274" s="175"/>
      <c r="J274" s="203">
        <f t="shared" si="13"/>
        <v>61</v>
      </c>
      <c r="K274" s="210">
        <f t="shared" si="14"/>
        <v>67</v>
      </c>
    </row>
    <row r="275" spans="1:11" x14ac:dyDescent="0.25">
      <c r="A275" s="203">
        <f t="shared" si="12"/>
        <v>62</v>
      </c>
      <c r="B275" s="172" t="s">
        <v>124</v>
      </c>
      <c r="G275" s="573">
        <f>G272+G259</f>
        <v>0</v>
      </c>
      <c r="H275" s="32"/>
      <c r="I275" s="175" t="s">
        <v>1068</v>
      </c>
      <c r="J275" s="203">
        <f t="shared" si="13"/>
        <v>62</v>
      </c>
      <c r="K275" s="210">
        <f t="shared" si="14"/>
        <v>68</v>
      </c>
    </row>
    <row r="276" spans="1:11" x14ac:dyDescent="0.25">
      <c r="A276" s="203"/>
      <c r="B276" s="172"/>
      <c r="G276" s="32"/>
      <c r="H276" s="32"/>
      <c r="I276" s="175"/>
      <c r="J276" s="203"/>
      <c r="K276" s="210">
        <f t="shared" si="14"/>
        <v>69</v>
      </c>
    </row>
    <row r="277" spans="1:11" x14ac:dyDescent="0.25">
      <c r="A277" s="203"/>
      <c r="B277" s="179" t="s">
        <v>996</v>
      </c>
      <c r="C277" s="179"/>
      <c r="D277" s="179"/>
      <c r="E277" s="179"/>
      <c r="F277" s="179"/>
      <c r="G277" s="518">
        <f>G256*G259</f>
        <v>0</v>
      </c>
      <c r="H277" s="32"/>
      <c r="I277" s="228" t="s">
        <v>1069</v>
      </c>
      <c r="J277" s="203"/>
      <c r="K277" s="210">
        <f t="shared" si="14"/>
        <v>70</v>
      </c>
    </row>
    <row r="278" spans="1:11" x14ac:dyDescent="0.25">
      <c r="A278" s="203"/>
      <c r="B278" s="179" t="s">
        <v>998</v>
      </c>
      <c r="G278" s="522">
        <f>G256*G272</f>
        <v>0</v>
      </c>
      <c r="H278" s="32"/>
      <c r="I278" s="228" t="s">
        <v>1070</v>
      </c>
      <c r="J278" s="203"/>
      <c r="K278" s="210">
        <f t="shared" si="14"/>
        <v>71</v>
      </c>
    </row>
    <row r="279" spans="1:11" ht="16.5" thickBot="1" x14ac:dyDescent="0.3">
      <c r="A279" s="203"/>
      <c r="B279" s="179" t="s">
        <v>1000</v>
      </c>
      <c r="G279" s="521">
        <f>G277+G278</f>
        <v>0</v>
      </c>
      <c r="H279" s="32"/>
      <c r="I279" s="228" t="s">
        <v>1071</v>
      </c>
      <c r="J279" s="203"/>
      <c r="K279" s="210">
        <f t="shared" si="14"/>
        <v>72</v>
      </c>
    </row>
    <row r="280" spans="1:11" ht="16.5" thickTop="1" x14ac:dyDescent="0.25">
      <c r="A280" s="203">
        <f>A275+1</f>
        <v>63</v>
      </c>
      <c r="G280" s="2"/>
      <c r="H280" s="2"/>
      <c r="I280" s="175"/>
      <c r="J280" s="203">
        <f>J275+1</f>
        <v>63</v>
      </c>
      <c r="K280" s="210">
        <f t="shared" si="14"/>
        <v>73</v>
      </c>
    </row>
    <row r="281" spans="1:11" x14ac:dyDescent="0.25">
      <c r="A281" s="203">
        <f t="shared" si="12"/>
        <v>64</v>
      </c>
      <c r="B281" s="172" t="s">
        <v>742</v>
      </c>
      <c r="G281" s="20">
        <f>G102</f>
        <v>0</v>
      </c>
      <c r="H281" s="165"/>
      <c r="I281" s="175" t="s">
        <v>824</v>
      </c>
      <c r="J281" s="203">
        <f t="shared" si="13"/>
        <v>64</v>
      </c>
      <c r="K281" s="210">
        <f t="shared" si="14"/>
        <v>74</v>
      </c>
    </row>
    <row r="282" spans="1:11" x14ac:dyDescent="0.25">
      <c r="A282" s="203"/>
      <c r="B282" s="172"/>
      <c r="G282" s="32"/>
      <c r="H282" s="165"/>
      <c r="I282" s="175"/>
      <c r="J282" s="203"/>
      <c r="K282" s="210">
        <f t="shared" si="14"/>
        <v>75</v>
      </c>
    </row>
    <row r="283" spans="1:11" ht="16.5" thickBot="1" x14ac:dyDescent="0.3">
      <c r="A283" s="203"/>
      <c r="B283" s="179" t="s">
        <v>1001</v>
      </c>
      <c r="G283" s="545">
        <f>G256*G281</f>
        <v>0</v>
      </c>
      <c r="H283" s="165"/>
      <c r="I283" s="228" t="s">
        <v>1072</v>
      </c>
      <c r="J283" s="203"/>
      <c r="K283" s="210">
        <f t="shared" si="14"/>
        <v>76</v>
      </c>
    </row>
    <row r="284" spans="1:11" ht="16.5" thickTop="1" x14ac:dyDescent="0.25">
      <c r="A284" s="203">
        <f>A281+1</f>
        <v>65</v>
      </c>
      <c r="G284" s="2"/>
      <c r="H284" s="2"/>
      <c r="I284" s="175"/>
      <c r="J284" s="203">
        <f>J281+1</f>
        <v>65</v>
      </c>
      <c r="K284" s="210">
        <f t="shared" si="14"/>
        <v>77</v>
      </c>
    </row>
    <row r="285" spans="1:11" ht="19.5" thickBot="1" x14ac:dyDescent="0.3">
      <c r="A285" s="203">
        <f t="shared" si="12"/>
        <v>66</v>
      </c>
      <c r="B285" s="172" t="s">
        <v>1063</v>
      </c>
      <c r="G285" s="122">
        <f>G275+G281</f>
        <v>0</v>
      </c>
      <c r="H285" s="32"/>
      <c r="I285" s="175" t="s">
        <v>1073</v>
      </c>
      <c r="J285" s="203">
        <f t="shared" si="13"/>
        <v>66</v>
      </c>
      <c r="K285" s="210">
        <f t="shared" si="14"/>
        <v>78</v>
      </c>
    </row>
    <row r="286" spans="1:11" ht="16.5" thickTop="1" x14ac:dyDescent="0.25"/>
    <row r="287" spans="1:11" ht="18.75" x14ac:dyDescent="0.25">
      <c r="A287" s="193">
        <v>1</v>
      </c>
      <c r="B287" s="38" t="s">
        <v>1080</v>
      </c>
    </row>
    <row r="289" spans="1:1" ht="18.75" x14ac:dyDescent="0.25">
      <c r="A289" s="193"/>
    </row>
  </sheetData>
  <mergeCells count="20">
    <mergeCell ref="B110:I110"/>
    <mergeCell ref="B2:I2"/>
    <mergeCell ref="B3:I3"/>
    <mergeCell ref="B4:I4"/>
    <mergeCell ref="B5:I5"/>
    <mergeCell ref="B6:I6"/>
    <mergeCell ref="B72:I72"/>
    <mergeCell ref="B73:I73"/>
    <mergeCell ref="B74:I74"/>
    <mergeCell ref="B75:I75"/>
    <mergeCell ref="B76:I76"/>
    <mergeCell ref="B201:I201"/>
    <mergeCell ref="B202:I202"/>
    <mergeCell ref="B203:I203"/>
    <mergeCell ref="B111:I111"/>
    <mergeCell ref="B112:I112"/>
    <mergeCell ref="B113:I113"/>
    <mergeCell ref="B114:I114"/>
    <mergeCell ref="B199:I199"/>
    <mergeCell ref="B200:I200"/>
  </mergeCells>
  <printOptions horizontalCentered="1"/>
  <pageMargins left="0.25" right="0.25" top="0.5" bottom="0.5" header="0.25" footer="0.25"/>
  <pageSetup scale="49" fitToHeight="0" orientation="portrait" r:id="rId1"/>
  <headerFooter scaleWithDoc="0">
    <oddFooter>&amp;C&amp;"Times New Roman,Regular"&amp;10&amp;A
Page &amp;P of 4</oddFooter>
    <evenFooter>&amp;C&amp;"Times New Roman,Regular"&amp;10AV3</evenFooter>
    <firstFooter>&amp;C&amp;"Times New Roman,Regular"&amp;10AV&amp;P</firstFooter>
  </headerFooter>
  <rowBreaks count="3" manualBreakCount="3">
    <brk id="70" max="9" man="1"/>
    <brk id="108" max="9" man="1"/>
    <brk id="197"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pageSetUpPr fitToPage="1"/>
  </sheetPr>
  <dimension ref="A1:H22"/>
  <sheetViews>
    <sheetView zoomScale="80" zoomScaleNormal="80" workbookViewId="0">
      <selection activeCell="E10" sqref="E10"/>
    </sheetView>
  </sheetViews>
  <sheetFormatPr defaultColWidth="8.7109375" defaultRowHeight="15.75" x14ac:dyDescent="0.25"/>
  <cols>
    <col min="1" max="1" width="5.28515625" style="2" customWidth="1"/>
    <col min="2" max="2" width="50.7109375" style="38" customWidth="1"/>
    <col min="3" max="3" width="21.28515625" style="38" customWidth="1"/>
    <col min="4" max="4" width="1.5703125" style="38" customWidth="1"/>
    <col min="5" max="5" width="16.7109375" style="38" customWidth="1"/>
    <col min="6" max="6" width="1.5703125" style="38" customWidth="1"/>
    <col min="7" max="7" width="34.5703125" style="38" customWidth="1"/>
    <col min="8" max="8" width="5.28515625" style="38" customWidth="1"/>
    <col min="9" max="9" width="8.7109375" style="38"/>
    <col min="10" max="10" width="20.42578125" style="38" bestFit="1" customWidth="1"/>
    <col min="11" max="16384" width="8.7109375" style="38"/>
  </cols>
  <sheetData>
    <row r="1" spans="1:8" x14ac:dyDescent="0.25">
      <c r="E1" s="70"/>
      <c r="F1" s="70"/>
      <c r="G1" s="2"/>
      <c r="H1" s="2"/>
    </row>
    <row r="2" spans="1:8" x14ac:dyDescent="0.25">
      <c r="B2" s="584" t="s">
        <v>16</v>
      </c>
      <c r="C2" s="584"/>
      <c r="D2" s="584"/>
      <c r="E2" s="584"/>
      <c r="F2" s="584"/>
      <c r="G2" s="584"/>
      <c r="H2" s="2"/>
    </row>
    <row r="3" spans="1:8" x14ac:dyDescent="0.25">
      <c r="B3" s="584" t="s">
        <v>249</v>
      </c>
      <c r="C3" s="584"/>
      <c r="D3" s="584"/>
      <c r="E3" s="585"/>
      <c r="F3" s="585"/>
      <c r="G3" s="585"/>
      <c r="H3" s="2"/>
    </row>
    <row r="4" spans="1:8" x14ac:dyDescent="0.25">
      <c r="B4" s="586" t="str">
        <f>'Stmt AD'!B5</f>
        <v>Base Period &amp; True-Up Period 12 - Months Ending  December 31, xxxx</v>
      </c>
      <c r="C4" s="586"/>
      <c r="D4" s="586"/>
      <c r="E4" s="586"/>
      <c r="F4" s="586"/>
      <c r="G4" s="586"/>
      <c r="H4" s="2"/>
    </row>
    <row r="5" spans="1:8" x14ac:dyDescent="0.25">
      <c r="B5" s="580" t="s">
        <v>1</v>
      </c>
      <c r="C5" s="581"/>
      <c r="D5" s="581"/>
      <c r="E5" s="581"/>
      <c r="F5" s="581"/>
      <c r="G5" s="581"/>
      <c r="H5" s="2"/>
    </row>
    <row r="6" spans="1:8" x14ac:dyDescent="0.25">
      <c r="B6" s="2"/>
      <c r="C6" s="2"/>
      <c r="D6" s="2"/>
      <c r="E6" s="2"/>
      <c r="F6" s="2"/>
      <c r="G6" s="2"/>
      <c r="H6" s="2"/>
    </row>
    <row r="7" spans="1:8" x14ac:dyDescent="0.25">
      <c r="A7" s="2" t="s">
        <v>2</v>
      </c>
      <c r="B7" s="247"/>
      <c r="C7" s="2" t="s">
        <v>248</v>
      </c>
      <c r="D7" s="165"/>
      <c r="E7" s="165"/>
      <c r="F7" s="165"/>
      <c r="G7" s="2"/>
      <c r="H7" s="2" t="s">
        <v>2</v>
      </c>
    </row>
    <row r="8" spans="1:8" x14ac:dyDescent="0.25">
      <c r="A8" s="2" t="s">
        <v>18</v>
      </c>
      <c r="B8" s="2"/>
      <c r="C8" s="42" t="s">
        <v>246</v>
      </c>
      <c r="D8" s="165"/>
      <c r="E8" s="42" t="s">
        <v>37</v>
      </c>
      <c r="F8" s="165"/>
      <c r="G8" s="42" t="s">
        <v>7</v>
      </c>
      <c r="H8" s="2" t="s">
        <v>18</v>
      </c>
    </row>
    <row r="9" spans="1:8" x14ac:dyDescent="0.25">
      <c r="C9" s="2"/>
      <c r="D9" s="2"/>
      <c r="F9" s="165"/>
      <c r="H9" s="2"/>
    </row>
    <row r="10" spans="1:8" ht="19.5" thickBot="1" x14ac:dyDescent="0.3">
      <c r="A10" s="2">
        <v>1</v>
      </c>
      <c r="B10" s="39" t="s">
        <v>460</v>
      </c>
      <c r="E10" s="91">
        <v>0</v>
      </c>
      <c r="F10" s="165"/>
      <c r="G10" s="2"/>
      <c r="H10" s="2">
        <f>A10</f>
        <v>1</v>
      </c>
    </row>
    <row r="11" spans="1:8" ht="16.5" thickTop="1" x14ac:dyDescent="0.25">
      <c r="A11" s="2">
        <f>A10+1</f>
        <v>2</v>
      </c>
      <c r="F11" s="165"/>
      <c r="H11" s="2">
        <f>+H10+1</f>
        <v>2</v>
      </c>
    </row>
    <row r="12" spans="1:8" ht="19.5" thickBot="1" x14ac:dyDescent="0.3">
      <c r="A12" s="2">
        <f t="shared" ref="A12:A18" si="0">A11+1</f>
        <v>3</v>
      </c>
      <c r="B12" s="39" t="s">
        <v>403</v>
      </c>
      <c r="E12" s="91">
        <v>0</v>
      </c>
      <c r="F12" s="165"/>
      <c r="G12" s="2"/>
      <c r="H12" s="2">
        <f t="shared" ref="H12:H18" si="1">+H11+1</f>
        <v>3</v>
      </c>
    </row>
    <row r="13" spans="1:8" ht="16.5" thickTop="1" x14ac:dyDescent="0.25">
      <c r="A13" s="2">
        <f t="shared" si="0"/>
        <v>4</v>
      </c>
      <c r="F13" s="165"/>
      <c r="H13" s="2">
        <f t="shared" si="1"/>
        <v>4</v>
      </c>
    </row>
    <row r="14" spans="1:8" ht="19.5" thickBot="1" x14ac:dyDescent="0.3">
      <c r="A14" s="2">
        <f t="shared" si="0"/>
        <v>5</v>
      </c>
      <c r="B14" s="39" t="s">
        <v>404</v>
      </c>
      <c r="E14" s="91">
        <v>0</v>
      </c>
      <c r="F14" s="165"/>
      <c r="G14" s="2"/>
      <c r="H14" s="2">
        <f t="shared" si="1"/>
        <v>5</v>
      </c>
    </row>
    <row r="15" spans="1:8" ht="16.5" thickTop="1" x14ac:dyDescent="0.25">
      <c r="A15" s="2">
        <f t="shared" si="0"/>
        <v>6</v>
      </c>
      <c r="B15" s="39"/>
      <c r="E15" s="43"/>
      <c r="F15" s="165"/>
      <c r="G15" s="2"/>
      <c r="H15" s="2">
        <f t="shared" si="1"/>
        <v>6</v>
      </c>
    </row>
    <row r="16" spans="1:8" ht="16.5" thickBot="1" x14ac:dyDescent="0.3">
      <c r="A16" s="2">
        <f t="shared" si="0"/>
        <v>7</v>
      </c>
      <c r="B16" s="39" t="s">
        <v>732</v>
      </c>
      <c r="E16" s="91">
        <v>0</v>
      </c>
      <c r="F16" s="165"/>
      <c r="G16" s="2" t="s">
        <v>806</v>
      </c>
      <c r="H16" s="2">
        <f t="shared" si="1"/>
        <v>7</v>
      </c>
    </row>
    <row r="17" spans="1:8" ht="16.5" thickTop="1" x14ac:dyDescent="0.25">
      <c r="A17" s="2">
        <f t="shared" si="0"/>
        <v>8</v>
      </c>
      <c r="F17" s="165"/>
      <c r="H17" s="2">
        <f t="shared" si="1"/>
        <v>8</v>
      </c>
    </row>
    <row r="18" spans="1:8" ht="19.5" thickBot="1" x14ac:dyDescent="0.3">
      <c r="A18" s="2">
        <f t="shared" si="0"/>
        <v>9</v>
      </c>
      <c r="B18" s="39" t="s">
        <v>405</v>
      </c>
      <c r="E18" s="91">
        <v>0</v>
      </c>
      <c r="F18" s="165"/>
      <c r="G18" s="2"/>
      <c r="H18" s="2">
        <f t="shared" si="1"/>
        <v>9</v>
      </c>
    </row>
    <row r="19" spans="1:8" ht="16.5" thickTop="1" x14ac:dyDescent="0.25">
      <c r="H19" s="2"/>
    </row>
    <row r="20" spans="1:8" x14ac:dyDescent="0.25">
      <c r="H20" s="2"/>
    </row>
    <row r="21" spans="1:8" ht="18.75" x14ac:dyDescent="0.25">
      <c r="A21" s="193">
        <v>1</v>
      </c>
      <c r="B21" s="38" t="s">
        <v>1022</v>
      </c>
      <c r="H21" s="2"/>
    </row>
    <row r="22" spans="1:8" x14ac:dyDescent="0.25">
      <c r="B22" s="38" t="s">
        <v>410</v>
      </c>
    </row>
  </sheetData>
  <mergeCells count="4">
    <mergeCell ref="B2:G2"/>
    <mergeCell ref="B3:G3"/>
    <mergeCell ref="B4:G4"/>
    <mergeCell ref="B5:G5"/>
  </mergeCells>
  <printOptions horizontalCentered="1"/>
  <pageMargins left="0.5" right="0.5" top="0.5" bottom="0.5" header="0.25" footer="0.25"/>
  <pageSetup scale="69" orientation="portrait" r:id="rId1"/>
  <headerFooter scaleWithDoc="0">
    <oddFooter>&amp;C&amp;"Times New Roman,Regular"&amp;10&amp;A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9"/>
  <sheetViews>
    <sheetView zoomScale="80" zoomScaleNormal="80" workbookViewId="0"/>
  </sheetViews>
  <sheetFormatPr defaultColWidth="14.5703125" defaultRowHeight="15" x14ac:dyDescent="0.25"/>
  <cols>
    <col min="1" max="1" width="5.7109375" style="398" customWidth="1"/>
    <col min="2" max="2" width="48.42578125" style="398" customWidth="1"/>
    <col min="3" max="3" width="8.7109375" style="398" customWidth="1"/>
    <col min="4" max="9" width="15.7109375" style="398" customWidth="1"/>
    <col min="10" max="10" width="15.28515625" style="398" customWidth="1"/>
    <col min="11" max="11" width="18.28515625" style="398" bestFit="1" customWidth="1"/>
    <col min="12" max="12" width="18.7109375" style="398" bestFit="1" customWidth="1"/>
    <col min="13" max="14" width="15.7109375" style="398" customWidth="1"/>
    <col min="15" max="15" width="30.5703125" style="398" customWidth="1"/>
    <col min="16" max="16" width="5.7109375" style="398" customWidth="1"/>
    <col min="17" max="16384" width="14.5703125" style="398"/>
  </cols>
  <sheetData>
    <row r="1" spans="1:17" ht="15.75" x14ac:dyDescent="0.25">
      <c r="A1" s="401"/>
      <c r="B1" s="402" t="s">
        <v>16</v>
      </c>
      <c r="C1" s="403"/>
      <c r="D1" s="403"/>
      <c r="E1" s="403"/>
      <c r="F1" s="403"/>
      <c r="G1" s="403"/>
      <c r="H1" s="403"/>
      <c r="I1" s="403"/>
      <c r="J1" s="403"/>
      <c r="K1" s="403"/>
      <c r="L1" s="403"/>
      <c r="M1" s="403"/>
      <c r="N1" s="403"/>
      <c r="O1" s="403"/>
    </row>
    <row r="2" spans="1:17" x14ac:dyDescent="0.25">
      <c r="A2" s="404"/>
      <c r="B2" s="402" t="s">
        <v>859</v>
      </c>
      <c r="C2" s="403"/>
      <c r="D2" s="403"/>
      <c r="E2" s="403"/>
      <c r="F2" s="403"/>
      <c r="G2" s="403"/>
      <c r="H2" s="403"/>
      <c r="I2" s="403"/>
      <c r="J2" s="403"/>
      <c r="K2" s="403"/>
      <c r="L2" s="403"/>
      <c r="M2" s="403"/>
      <c r="N2" s="403"/>
      <c r="O2" s="403"/>
    </row>
    <row r="3" spans="1:17" x14ac:dyDescent="0.25">
      <c r="A3" s="404"/>
      <c r="B3" s="370" t="s">
        <v>879</v>
      </c>
      <c r="C3" s="403"/>
      <c r="D3" s="403"/>
      <c r="E3" s="403"/>
      <c r="F3" s="403"/>
      <c r="G3" s="403"/>
      <c r="H3" s="403"/>
      <c r="I3" s="403"/>
      <c r="J3" s="403"/>
      <c r="K3" s="403"/>
      <c r="L3" s="403"/>
      <c r="M3" s="403"/>
      <c r="N3" s="403"/>
      <c r="O3" s="403"/>
    </row>
    <row r="4" spans="1:17" x14ac:dyDescent="0.25">
      <c r="A4" s="405"/>
      <c r="B4" s="566" t="s">
        <v>1146</v>
      </c>
      <c r="C4" s="406"/>
      <c r="D4" s="406"/>
      <c r="E4" s="406"/>
      <c r="F4" s="406"/>
      <c r="G4" s="406"/>
      <c r="H4" s="406"/>
      <c r="I4" s="406"/>
      <c r="J4" s="406"/>
      <c r="K4" s="406"/>
      <c r="L4" s="406"/>
      <c r="M4" s="406"/>
      <c r="N4" s="406"/>
      <c r="O4" s="407"/>
      <c r="P4" s="408"/>
      <c r="Q4" s="408"/>
    </row>
    <row r="5" spans="1:17" x14ac:dyDescent="0.25">
      <c r="A5" s="405"/>
      <c r="B5" s="593" t="s">
        <v>1</v>
      </c>
      <c r="C5" s="593"/>
      <c r="D5" s="593"/>
      <c r="E5" s="593"/>
      <c r="F5" s="593"/>
      <c r="G5" s="593"/>
      <c r="H5" s="593"/>
      <c r="I5" s="593"/>
      <c r="J5" s="593"/>
      <c r="K5" s="593"/>
      <c r="L5" s="593"/>
      <c r="M5" s="593"/>
      <c r="N5" s="593"/>
      <c r="O5" s="593"/>
      <c r="P5" s="408"/>
      <c r="Q5" s="408"/>
    </row>
    <row r="6" spans="1:17" x14ac:dyDescent="0.25">
      <c r="A6" s="405"/>
      <c r="B6" s="368"/>
      <c r="C6" s="368"/>
      <c r="D6" s="368"/>
      <c r="E6" s="368"/>
      <c r="F6" s="368"/>
      <c r="G6" s="368"/>
      <c r="H6" s="368"/>
      <c r="I6" s="368"/>
      <c r="J6" s="368"/>
      <c r="K6" s="368"/>
      <c r="L6" s="368"/>
      <c r="M6" s="368"/>
      <c r="N6" s="368"/>
      <c r="O6" s="368"/>
      <c r="P6" s="408"/>
      <c r="Q6" s="408"/>
    </row>
    <row r="7" spans="1:17" x14ac:dyDescent="0.25">
      <c r="A7" s="359"/>
      <c r="B7" s="405"/>
      <c r="C7" s="405"/>
      <c r="D7" s="409"/>
      <c r="E7" s="409"/>
      <c r="F7" s="409"/>
      <c r="G7" s="409"/>
      <c r="H7" s="409"/>
      <c r="I7" s="409"/>
      <c r="J7" s="409"/>
      <c r="K7" s="409"/>
      <c r="L7" s="410"/>
      <c r="M7" s="400" t="s">
        <v>860</v>
      </c>
      <c r="N7" s="565" t="s">
        <v>1145</v>
      </c>
      <c r="O7" s="411"/>
      <c r="P7" s="397"/>
      <c r="Q7" s="397"/>
    </row>
    <row r="8" spans="1:17" x14ac:dyDescent="0.25">
      <c r="A8" s="359"/>
      <c r="B8" s="409"/>
      <c r="C8" s="409"/>
      <c r="D8" s="409"/>
      <c r="E8" s="409"/>
      <c r="F8" s="409"/>
      <c r="G8" s="409"/>
      <c r="H8" s="409"/>
      <c r="I8" s="409"/>
      <c r="J8" s="409"/>
      <c r="K8" s="409"/>
      <c r="L8" s="409"/>
      <c r="M8" s="409"/>
      <c r="N8" s="409"/>
      <c r="O8" s="411"/>
      <c r="P8" s="397"/>
      <c r="Q8" s="397"/>
    </row>
    <row r="9" spans="1:17" x14ac:dyDescent="0.25">
      <c r="A9" s="376"/>
      <c r="B9" s="412" t="s">
        <v>531</v>
      </c>
      <c r="C9" s="412" t="s">
        <v>532</v>
      </c>
      <c r="D9" s="412" t="s">
        <v>533</v>
      </c>
      <c r="E9" s="412" t="s">
        <v>534</v>
      </c>
      <c r="F9" s="412" t="s">
        <v>535</v>
      </c>
      <c r="G9" s="412" t="s">
        <v>536</v>
      </c>
      <c r="H9" s="412" t="s">
        <v>537</v>
      </c>
      <c r="I9" s="412" t="s">
        <v>538</v>
      </c>
      <c r="J9" s="412" t="s">
        <v>539</v>
      </c>
      <c r="K9" s="412" t="s">
        <v>540</v>
      </c>
      <c r="L9" s="412" t="s">
        <v>541</v>
      </c>
      <c r="M9" s="412" t="s">
        <v>832</v>
      </c>
      <c r="N9" s="412" t="s">
        <v>914</v>
      </c>
      <c r="O9" s="413"/>
      <c r="P9" s="414"/>
      <c r="Q9" s="414"/>
    </row>
    <row r="10" spans="1:17" ht="15.75" thickBot="1" x14ac:dyDescent="0.3">
      <c r="A10" s="359"/>
      <c r="B10" s="376"/>
      <c r="C10" s="376"/>
      <c r="D10" s="376"/>
      <c r="E10" s="376"/>
      <c r="F10" s="376"/>
      <c r="G10" s="376"/>
      <c r="H10" s="376"/>
      <c r="I10" s="376"/>
      <c r="J10" s="376"/>
      <c r="K10" s="376"/>
      <c r="L10" s="376"/>
      <c r="M10" s="376"/>
      <c r="N10" s="376"/>
      <c r="O10" s="413"/>
      <c r="P10" s="413"/>
      <c r="Q10" s="413"/>
    </row>
    <row r="11" spans="1:17" ht="15.75" thickBot="1" x14ac:dyDescent="0.3">
      <c r="A11" s="359"/>
      <c r="B11" s="376"/>
      <c r="C11" s="376"/>
      <c r="D11" s="415"/>
      <c r="E11" s="415"/>
      <c r="F11" s="415"/>
      <c r="G11" s="415"/>
      <c r="H11" s="415"/>
      <c r="I11" s="415"/>
      <c r="J11" s="478" t="s">
        <v>247</v>
      </c>
      <c r="K11" s="441" t="s">
        <v>924</v>
      </c>
      <c r="L11" s="416" t="s">
        <v>861</v>
      </c>
      <c r="M11" s="416" t="s">
        <v>915</v>
      </c>
      <c r="N11" s="416" t="s">
        <v>915</v>
      </c>
      <c r="O11" s="413"/>
      <c r="P11" s="413"/>
      <c r="Q11" s="413"/>
    </row>
    <row r="12" spans="1:17" ht="64.5" thickBot="1" x14ac:dyDescent="0.3">
      <c r="A12" s="417" t="s">
        <v>833</v>
      </c>
      <c r="B12" s="442" t="s">
        <v>926</v>
      </c>
      <c r="C12" s="418" t="s">
        <v>834</v>
      </c>
      <c r="D12" s="419" t="s">
        <v>835</v>
      </c>
      <c r="E12" s="419" t="s">
        <v>836</v>
      </c>
      <c r="F12" s="419" t="s">
        <v>922</v>
      </c>
      <c r="G12" s="419" t="s">
        <v>923</v>
      </c>
      <c r="H12" s="420" t="s">
        <v>837</v>
      </c>
      <c r="I12" s="419" t="s">
        <v>838</v>
      </c>
      <c r="J12" s="419" t="s">
        <v>913</v>
      </c>
      <c r="K12" s="419" t="s">
        <v>839</v>
      </c>
      <c r="L12" s="420" t="s">
        <v>840</v>
      </c>
      <c r="M12" s="419" t="s">
        <v>841</v>
      </c>
      <c r="N12" s="419" t="s">
        <v>842</v>
      </c>
      <c r="O12" s="442" t="s">
        <v>7</v>
      </c>
      <c r="P12" s="417" t="s">
        <v>833</v>
      </c>
      <c r="Q12" s="421"/>
    </row>
    <row r="13" spans="1:17" x14ac:dyDescent="0.25">
      <c r="A13" s="375">
        <v>1</v>
      </c>
      <c r="B13" s="359" t="s">
        <v>925</v>
      </c>
      <c r="C13" s="382"/>
      <c r="D13" s="359"/>
      <c r="E13" s="359"/>
      <c r="F13" s="359"/>
      <c r="G13" s="359"/>
      <c r="H13" s="359"/>
      <c r="I13" s="359"/>
      <c r="J13" s="359"/>
      <c r="K13" s="359"/>
      <c r="L13" s="359"/>
      <c r="M13" s="359"/>
      <c r="N13" s="359"/>
      <c r="O13" s="389"/>
      <c r="P13" s="375">
        <v>1</v>
      </c>
      <c r="Q13" s="397"/>
    </row>
    <row r="14" spans="1:17" x14ac:dyDescent="0.25">
      <c r="A14" s="375">
        <f t="shared" ref="A14:A45" si="0">+A13+1</f>
        <v>2</v>
      </c>
      <c r="B14" s="359" t="s">
        <v>898</v>
      </c>
      <c r="C14" s="342"/>
      <c r="D14" s="359"/>
      <c r="E14" s="359"/>
      <c r="F14" s="363"/>
      <c r="G14" s="363"/>
      <c r="H14" s="363"/>
      <c r="I14" s="363"/>
      <c r="J14" s="359"/>
      <c r="K14" s="359"/>
      <c r="L14" s="359"/>
      <c r="M14" s="359"/>
      <c r="N14" s="359"/>
      <c r="O14" s="376"/>
      <c r="P14" s="375">
        <f t="shared" ref="P14:P45" si="1">+P13+1</f>
        <v>2</v>
      </c>
      <c r="Q14" s="397"/>
    </row>
    <row r="15" spans="1:17" x14ac:dyDescent="0.25">
      <c r="A15" s="375">
        <f t="shared" si="0"/>
        <v>3</v>
      </c>
      <c r="B15" s="359" t="s">
        <v>899</v>
      </c>
      <c r="C15" s="342">
        <v>190</v>
      </c>
      <c r="D15" s="359">
        <v>0</v>
      </c>
      <c r="E15" s="359">
        <v>0</v>
      </c>
      <c r="F15" s="363"/>
      <c r="G15" s="363"/>
      <c r="H15" s="363"/>
      <c r="I15" s="363"/>
      <c r="J15" s="359">
        <f t="shared" ref="J15:J22" si="2">H15+I15</f>
        <v>0</v>
      </c>
      <c r="K15" s="359">
        <f t="shared" ref="K15:K17" si="3">SUM(D15:I15)</f>
        <v>0</v>
      </c>
      <c r="L15" s="359">
        <f>+'Order 864-2'!I18</f>
        <v>0</v>
      </c>
      <c r="M15" s="359">
        <f>IF(SUM($K$15:$L$17)&lt;0,0,SUM($K15:$L15))</f>
        <v>0</v>
      </c>
      <c r="N15" s="359">
        <f>IF(SUM($K$15:$L$17)&lt;0,SUM($K15:$L15),0)</f>
        <v>0</v>
      </c>
      <c r="O15" s="376" t="s">
        <v>247</v>
      </c>
      <c r="P15" s="375">
        <f t="shared" si="1"/>
        <v>3</v>
      </c>
      <c r="Q15" s="397"/>
    </row>
    <row r="16" spans="1:17" x14ac:dyDescent="0.25">
      <c r="A16" s="375">
        <f t="shared" si="0"/>
        <v>4</v>
      </c>
      <c r="B16" s="359" t="s">
        <v>900</v>
      </c>
      <c r="C16" s="342">
        <v>190</v>
      </c>
      <c r="D16" s="359">
        <v>0</v>
      </c>
      <c r="E16" s="359">
        <v>0</v>
      </c>
      <c r="F16" s="363"/>
      <c r="G16" s="363"/>
      <c r="H16" s="363"/>
      <c r="I16" s="363"/>
      <c r="J16" s="359">
        <f t="shared" si="2"/>
        <v>0</v>
      </c>
      <c r="K16" s="359">
        <f t="shared" si="3"/>
        <v>0</v>
      </c>
      <c r="L16" s="359">
        <f>+'Order 864-2'!I19</f>
        <v>0</v>
      </c>
      <c r="M16" s="359">
        <f>IF(SUM($K$15:$L$17)&lt;0,0,SUM($K16:$L16))</f>
        <v>0</v>
      </c>
      <c r="N16" s="359">
        <f>IF(SUM($K$15:$L$17)&lt;0,SUM($K16:$L16),0)</f>
        <v>0</v>
      </c>
      <c r="O16" s="376" t="s">
        <v>247</v>
      </c>
      <c r="P16" s="375">
        <f t="shared" si="1"/>
        <v>4</v>
      </c>
      <c r="Q16" s="397"/>
    </row>
    <row r="17" spans="1:17" x14ac:dyDescent="0.25">
      <c r="A17" s="375">
        <f t="shared" si="0"/>
        <v>5</v>
      </c>
      <c r="B17" s="359" t="s">
        <v>901</v>
      </c>
      <c r="C17" s="342">
        <v>190</v>
      </c>
      <c r="D17" s="359">
        <v>0</v>
      </c>
      <c r="E17" s="359">
        <v>0</v>
      </c>
      <c r="F17" s="363"/>
      <c r="G17" s="363"/>
      <c r="H17" s="363"/>
      <c r="I17" s="363"/>
      <c r="J17" s="359">
        <f t="shared" si="2"/>
        <v>0</v>
      </c>
      <c r="K17" s="359">
        <f t="shared" si="3"/>
        <v>0</v>
      </c>
      <c r="L17" s="359">
        <f>+'Order 864-2'!I20</f>
        <v>0</v>
      </c>
      <c r="M17" s="359">
        <f>IF(SUM($K$15:$L$17)&lt;0,0,SUM($K17:$L17))</f>
        <v>0</v>
      </c>
      <c r="N17" s="359">
        <f>IF(SUM($K$15:$L$17)&lt;0,SUM($K17:$L17),0)</f>
        <v>0</v>
      </c>
      <c r="O17" s="376" t="s">
        <v>247</v>
      </c>
      <c r="P17" s="375">
        <f t="shared" si="1"/>
        <v>5</v>
      </c>
      <c r="Q17" s="397"/>
    </row>
    <row r="18" spans="1:17" x14ac:dyDescent="0.25">
      <c r="A18" s="375">
        <f t="shared" si="0"/>
        <v>6</v>
      </c>
      <c r="B18" s="359" t="s">
        <v>902</v>
      </c>
      <c r="C18" s="342"/>
      <c r="D18" s="359"/>
      <c r="E18" s="359"/>
      <c r="F18" s="363"/>
      <c r="G18" s="363"/>
      <c r="H18" s="363"/>
      <c r="I18" s="363"/>
      <c r="J18" s="359">
        <f t="shared" si="2"/>
        <v>0</v>
      </c>
      <c r="K18" s="359"/>
      <c r="L18" s="359"/>
      <c r="M18" s="359"/>
      <c r="N18" s="359"/>
      <c r="O18" s="376"/>
      <c r="P18" s="375">
        <f t="shared" si="1"/>
        <v>6</v>
      </c>
      <c r="Q18" s="397"/>
    </row>
    <row r="19" spans="1:17" x14ac:dyDescent="0.25">
      <c r="A19" s="375">
        <f t="shared" si="0"/>
        <v>7</v>
      </c>
      <c r="B19" s="359" t="s">
        <v>903</v>
      </c>
      <c r="C19" s="342">
        <v>190</v>
      </c>
      <c r="D19" s="359">
        <v>0</v>
      </c>
      <c r="E19" s="359">
        <v>0</v>
      </c>
      <c r="F19" s="363"/>
      <c r="G19" s="363"/>
      <c r="H19" s="363"/>
      <c r="I19" s="363"/>
      <c r="J19" s="359">
        <f t="shared" si="2"/>
        <v>0</v>
      </c>
      <c r="K19" s="359">
        <f t="shared" ref="K19" si="4">SUM(D19:I19)</f>
        <v>0</v>
      </c>
      <c r="L19" s="359">
        <f>+'Order 864-2'!I22</f>
        <v>0</v>
      </c>
      <c r="M19" s="359">
        <f>IF(SUM($K$19:$L$19)&lt;0,0,SUM($K19:$L19))</f>
        <v>0</v>
      </c>
      <c r="N19" s="359">
        <f>IF(SUM($K$19:$L$19)&lt;0,SUM($K19:$L19),0)</f>
        <v>0</v>
      </c>
      <c r="O19" s="376" t="s">
        <v>247</v>
      </c>
      <c r="P19" s="375">
        <f t="shared" si="1"/>
        <v>7</v>
      </c>
      <c r="Q19" s="397"/>
    </row>
    <row r="20" spans="1:17" x14ac:dyDescent="0.25">
      <c r="A20" s="375">
        <f t="shared" si="0"/>
        <v>8</v>
      </c>
      <c r="B20" s="359" t="s">
        <v>904</v>
      </c>
      <c r="C20" s="342"/>
      <c r="D20" s="359"/>
      <c r="E20" s="359"/>
      <c r="F20" s="363"/>
      <c r="G20" s="363"/>
      <c r="H20" s="363"/>
      <c r="I20" s="363"/>
      <c r="J20" s="359">
        <f t="shared" si="2"/>
        <v>0</v>
      </c>
      <c r="K20" s="359"/>
      <c r="L20" s="359"/>
      <c r="M20" s="359"/>
      <c r="N20" s="359"/>
      <c r="O20" s="376"/>
      <c r="P20" s="375">
        <f t="shared" si="1"/>
        <v>8</v>
      </c>
      <c r="Q20" s="397"/>
    </row>
    <row r="21" spans="1:17" x14ac:dyDescent="0.25">
      <c r="A21" s="375">
        <f t="shared" si="0"/>
        <v>9</v>
      </c>
      <c r="B21" s="359" t="s">
        <v>905</v>
      </c>
      <c r="C21" s="342">
        <v>283</v>
      </c>
      <c r="D21" s="359">
        <v>0</v>
      </c>
      <c r="E21" s="359">
        <v>0</v>
      </c>
      <c r="F21" s="363"/>
      <c r="G21" s="363"/>
      <c r="H21" s="363"/>
      <c r="I21" s="363"/>
      <c r="J21" s="359">
        <f t="shared" si="2"/>
        <v>0</v>
      </c>
      <c r="K21" s="359">
        <f t="shared" ref="K21:K22" si="5">SUM(D21:I21)</f>
        <v>0</v>
      </c>
      <c r="L21" s="359">
        <f>+'Order 864-2'!I24</f>
        <v>0</v>
      </c>
      <c r="M21" s="359">
        <f>IF(SUM($K$21:$L$22)&lt;0,0,SUM($K21:$L21))</f>
        <v>0</v>
      </c>
      <c r="N21" s="359">
        <f>IF(SUM($K$21:$L$22)&lt;0,SUM($K21:$L21),0)</f>
        <v>0</v>
      </c>
      <c r="O21" s="376" t="s">
        <v>247</v>
      </c>
      <c r="P21" s="375">
        <f t="shared" si="1"/>
        <v>9</v>
      </c>
      <c r="Q21" s="397"/>
    </row>
    <row r="22" spans="1:17" x14ac:dyDescent="0.25">
      <c r="A22" s="375">
        <f t="shared" si="0"/>
        <v>10</v>
      </c>
      <c r="B22" s="359" t="s">
        <v>906</v>
      </c>
      <c r="C22" s="342">
        <v>283</v>
      </c>
      <c r="D22" s="359">
        <v>0</v>
      </c>
      <c r="E22" s="359">
        <v>0</v>
      </c>
      <c r="F22" s="363"/>
      <c r="G22" s="363"/>
      <c r="H22" s="363"/>
      <c r="I22" s="363"/>
      <c r="J22" s="359">
        <f t="shared" si="2"/>
        <v>0</v>
      </c>
      <c r="K22" s="359">
        <f t="shared" si="5"/>
        <v>0</v>
      </c>
      <c r="L22" s="359">
        <f>+'Order 864-2'!I25</f>
        <v>0</v>
      </c>
      <c r="M22" s="359">
        <f>IF(SUM($K$21:$L$22)&lt;0,0,SUM($K22:$L22))</f>
        <v>0</v>
      </c>
      <c r="N22" s="359">
        <f>IF(SUM($K$21:$L$22)&lt;0,SUM($K22:$L22),0)</f>
        <v>0</v>
      </c>
      <c r="O22" s="376" t="s">
        <v>247</v>
      </c>
      <c r="P22" s="375">
        <f t="shared" si="1"/>
        <v>10</v>
      </c>
      <c r="Q22" s="397"/>
    </row>
    <row r="23" spans="1:17" x14ac:dyDescent="0.25">
      <c r="A23" s="375">
        <f>+A22+1</f>
        <v>11</v>
      </c>
      <c r="B23" s="376"/>
      <c r="C23" s="377"/>
      <c r="D23" s="378"/>
      <c r="E23" s="378"/>
      <c r="F23" s="378"/>
      <c r="G23" s="378"/>
      <c r="H23" s="378"/>
      <c r="I23" s="378"/>
      <c r="J23" s="427"/>
      <c r="K23" s="378"/>
      <c r="L23" s="378"/>
      <c r="M23" s="378"/>
      <c r="N23" s="378"/>
      <c r="O23" s="359"/>
      <c r="P23" s="375">
        <f>+P22+1</f>
        <v>11</v>
      </c>
      <c r="Q23" s="397"/>
    </row>
    <row r="24" spans="1:17" ht="15.75" thickBot="1" x14ac:dyDescent="0.3">
      <c r="A24" s="375">
        <f t="shared" si="0"/>
        <v>12</v>
      </c>
      <c r="B24" s="376" t="s">
        <v>927</v>
      </c>
      <c r="C24" s="359"/>
      <c r="D24" s="379">
        <f t="shared" ref="D24:N24" si="6">SUM(D14:D22)</f>
        <v>0</v>
      </c>
      <c r="E24" s="379">
        <f t="shared" si="6"/>
        <v>0</v>
      </c>
      <c r="F24" s="379">
        <f t="shared" si="6"/>
        <v>0</v>
      </c>
      <c r="G24" s="379">
        <f t="shared" si="6"/>
        <v>0</v>
      </c>
      <c r="H24" s="379">
        <f t="shared" si="6"/>
        <v>0</v>
      </c>
      <c r="I24" s="379">
        <f t="shared" si="6"/>
        <v>0</v>
      </c>
      <c r="J24" s="357">
        <f t="shared" si="6"/>
        <v>0</v>
      </c>
      <c r="K24" s="379">
        <f t="shared" si="6"/>
        <v>0</v>
      </c>
      <c r="L24" s="357">
        <f t="shared" si="6"/>
        <v>0</v>
      </c>
      <c r="M24" s="357">
        <f t="shared" si="6"/>
        <v>0</v>
      </c>
      <c r="N24" s="357">
        <f t="shared" si="6"/>
        <v>0</v>
      </c>
      <c r="O24" s="376" t="s">
        <v>916</v>
      </c>
      <c r="P24" s="375">
        <f t="shared" si="1"/>
        <v>12</v>
      </c>
      <c r="Q24" s="397"/>
    </row>
    <row r="25" spans="1:17" ht="15.75" thickTop="1" x14ac:dyDescent="0.25">
      <c r="A25" s="375">
        <f t="shared" si="0"/>
        <v>13</v>
      </c>
      <c r="B25" s="359"/>
      <c r="C25" s="359"/>
      <c r="D25" s="380"/>
      <c r="E25" s="380"/>
      <c r="F25" s="380"/>
      <c r="G25" s="380"/>
      <c r="H25" s="380"/>
      <c r="I25" s="380"/>
      <c r="J25" s="380"/>
      <c r="K25" s="380"/>
      <c r="L25" s="380"/>
      <c r="M25" s="380"/>
      <c r="N25" s="380"/>
      <c r="O25" s="359"/>
      <c r="P25" s="375">
        <f t="shared" si="1"/>
        <v>13</v>
      </c>
      <c r="Q25" s="397"/>
    </row>
    <row r="26" spans="1:17" x14ac:dyDescent="0.25">
      <c r="A26" s="375">
        <f t="shared" si="0"/>
        <v>14</v>
      </c>
      <c r="B26" s="359" t="s">
        <v>928</v>
      </c>
      <c r="C26" s="381"/>
      <c r="D26" s="380"/>
      <c r="E26" s="380"/>
      <c r="F26" s="380"/>
      <c r="G26" s="380"/>
      <c r="H26" s="380"/>
      <c r="I26" s="380"/>
      <c r="J26" s="380"/>
      <c r="K26" s="380"/>
      <c r="L26" s="380"/>
      <c r="M26" s="380"/>
      <c r="N26" s="380"/>
      <c r="O26" s="359"/>
      <c r="P26" s="375">
        <f t="shared" si="1"/>
        <v>14</v>
      </c>
      <c r="Q26" s="397"/>
    </row>
    <row r="27" spans="1:17" x14ac:dyDescent="0.25">
      <c r="A27" s="375">
        <f t="shared" si="0"/>
        <v>15</v>
      </c>
      <c r="B27" s="359" t="s">
        <v>420</v>
      </c>
      <c r="C27" s="375">
        <v>190</v>
      </c>
      <c r="D27" s="359">
        <v>0</v>
      </c>
      <c r="E27" s="359">
        <v>0</v>
      </c>
      <c r="F27" s="363"/>
      <c r="G27" s="363"/>
      <c r="H27" s="363"/>
      <c r="I27" s="363"/>
      <c r="J27" s="359">
        <f t="shared" ref="J27:J31" si="7">H27+I27</f>
        <v>0</v>
      </c>
      <c r="K27" s="359">
        <f>SUM(D27:I27)</f>
        <v>0</v>
      </c>
      <c r="L27" s="359">
        <f>+'Order 864-2'!I30</f>
        <v>0</v>
      </c>
      <c r="M27" s="359">
        <f>IF(SUM($K$27:$L$27)&lt;0,0,SUM($K27:$L27))</f>
        <v>0</v>
      </c>
      <c r="N27" s="359">
        <f>IF(SUM($K$27:$L$27)&lt;0,SUM($K27:$L27),0)</f>
        <v>0</v>
      </c>
      <c r="O27" s="376" t="s">
        <v>247</v>
      </c>
      <c r="P27" s="375">
        <f t="shared" si="1"/>
        <v>15</v>
      </c>
      <c r="Q27" s="397"/>
    </row>
    <row r="28" spans="1:17" x14ac:dyDescent="0.25">
      <c r="A28" s="375">
        <f t="shared" si="0"/>
        <v>16</v>
      </c>
      <c r="B28" s="359" t="s">
        <v>907</v>
      </c>
      <c r="C28" s="375"/>
      <c r="D28" s="359"/>
      <c r="E28" s="359"/>
      <c r="F28" s="363"/>
      <c r="G28" s="363"/>
      <c r="H28" s="363"/>
      <c r="I28" s="363"/>
      <c r="J28" s="359">
        <f t="shared" si="7"/>
        <v>0</v>
      </c>
      <c r="K28" s="359"/>
      <c r="L28" s="359"/>
      <c r="M28" s="359"/>
      <c r="N28" s="359"/>
      <c r="O28" s="376"/>
      <c r="P28" s="375">
        <f t="shared" si="1"/>
        <v>16</v>
      </c>
      <c r="Q28" s="397"/>
    </row>
    <row r="29" spans="1:17" x14ac:dyDescent="0.25">
      <c r="A29" s="375">
        <f t="shared" si="0"/>
        <v>17</v>
      </c>
      <c r="B29" s="359" t="s">
        <v>908</v>
      </c>
      <c r="C29" s="375">
        <v>282</v>
      </c>
      <c r="D29" s="359">
        <v>0</v>
      </c>
      <c r="E29" s="359">
        <v>0</v>
      </c>
      <c r="F29" s="363"/>
      <c r="G29" s="363"/>
      <c r="H29" s="363"/>
      <c r="I29" s="363"/>
      <c r="J29" s="359">
        <f t="shared" si="7"/>
        <v>0</v>
      </c>
      <c r="K29" s="359">
        <f t="shared" ref="K29:K31" si="8">SUM(D29:I29)</f>
        <v>0</v>
      </c>
      <c r="L29" s="359">
        <f>+'Order 864-2'!I32</f>
        <v>0</v>
      </c>
      <c r="M29" s="359">
        <f>IF(SUM($K$29:$L$31)&lt;0,0,SUM($K29:$L29))</f>
        <v>0</v>
      </c>
      <c r="N29" s="359">
        <f>IF(SUM($K$29:$L$31)&lt;0,SUM($K29:$L29),0)</f>
        <v>0</v>
      </c>
      <c r="O29" s="376" t="s">
        <v>247</v>
      </c>
      <c r="P29" s="375">
        <f t="shared" si="1"/>
        <v>17</v>
      </c>
      <c r="Q29" s="397"/>
    </row>
    <row r="30" spans="1:17" x14ac:dyDescent="0.25">
      <c r="A30" s="375">
        <f t="shared" si="0"/>
        <v>18</v>
      </c>
      <c r="B30" s="359" t="s">
        <v>909</v>
      </c>
      <c r="C30" s="375">
        <v>282</v>
      </c>
      <c r="D30" s="359">
        <v>0</v>
      </c>
      <c r="E30" s="359">
        <v>0</v>
      </c>
      <c r="F30" s="363"/>
      <c r="G30" s="363"/>
      <c r="H30" s="363"/>
      <c r="I30" s="363"/>
      <c r="J30" s="359">
        <f t="shared" si="7"/>
        <v>0</v>
      </c>
      <c r="K30" s="359">
        <f t="shared" si="8"/>
        <v>0</v>
      </c>
      <c r="L30" s="359">
        <f>+'Order 864-2'!I33</f>
        <v>0</v>
      </c>
      <c r="M30" s="359">
        <f>IF(SUM($K$29:$L$31)&lt;0,0,SUM($K30:$L30))</f>
        <v>0</v>
      </c>
      <c r="N30" s="359">
        <f>IF(SUM($K$29:$L$31)&lt;0,SUM($K30:$L30),0)</f>
        <v>0</v>
      </c>
      <c r="O30" s="376" t="s">
        <v>247</v>
      </c>
      <c r="P30" s="375">
        <f t="shared" si="1"/>
        <v>18</v>
      </c>
      <c r="Q30" s="397"/>
    </row>
    <row r="31" spans="1:17" x14ac:dyDescent="0.25">
      <c r="A31" s="375">
        <f t="shared" si="0"/>
        <v>19</v>
      </c>
      <c r="B31" s="359" t="s">
        <v>910</v>
      </c>
      <c r="C31" s="375">
        <v>282</v>
      </c>
      <c r="D31" s="359">
        <v>0</v>
      </c>
      <c r="E31" s="359">
        <v>0</v>
      </c>
      <c r="F31" s="363"/>
      <c r="G31" s="363"/>
      <c r="H31" s="363"/>
      <c r="I31" s="363"/>
      <c r="J31" s="359">
        <f t="shared" si="7"/>
        <v>0</v>
      </c>
      <c r="K31" s="359">
        <f t="shared" si="8"/>
        <v>0</v>
      </c>
      <c r="L31" s="359">
        <f>+'Order 864-2'!I34</f>
        <v>0</v>
      </c>
      <c r="M31" s="359">
        <f>IF(SUM($K$29:$L$31)&lt;0,0,SUM($K31:$L31))</f>
        <v>0</v>
      </c>
      <c r="N31" s="359">
        <f>IF(SUM($K$29:$L$31)&lt;0,SUM($K31:$L31),0)</f>
        <v>0</v>
      </c>
      <c r="O31" s="376" t="s">
        <v>247</v>
      </c>
      <c r="P31" s="375">
        <f t="shared" si="1"/>
        <v>19</v>
      </c>
      <c r="Q31" s="397"/>
    </row>
    <row r="32" spans="1:17" x14ac:dyDescent="0.25">
      <c r="A32" s="375">
        <f t="shared" si="0"/>
        <v>20</v>
      </c>
      <c r="B32" s="376" t="s">
        <v>843</v>
      </c>
      <c r="C32" s="377"/>
      <c r="D32" s="367">
        <f>SUM(D27:D31)</f>
        <v>0</v>
      </c>
      <c r="E32" s="367">
        <f t="shared" ref="E32:N32" si="9">SUM(E27:E31)</f>
        <v>0</v>
      </c>
      <c r="F32" s="367">
        <f t="shared" si="9"/>
        <v>0</v>
      </c>
      <c r="G32" s="367">
        <f t="shared" si="9"/>
        <v>0</v>
      </c>
      <c r="H32" s="367">
        <f t="shared" si="9"/>
        <v>0</v>
      </c>
      <c r="I32" s="367">
        <f t="shared" si="9"/>
        <v>0</v>
      </c>
      <c r="J32" s="367">
        <f t="shared" si="9"/>
        <v>0</v>
      </c>
      <c r="K32" s="367">
        <f t="shared" si="9"/>
        <v>0</v>
      </c>
      <c r="L32" s="367">
        <f t="shared" si="9"/>
        <v>0</v>
      </c>
      <c r="M32" s="367">
        <f t="shared" si="9"/>
        <v>0</v>
      </c>
      <c r="N32" s="367">
        <f t="shared" si="9"/>
        <v>0</v>
      </c>
      <c r="O32" s="376" t="s">
        <v>917</v>
      </c>
      <c r="P32" s="375">
        <f t="shared" si="1"/>
        <v>20</v>
      </c>
      <c r="Q32" s="397"/>
    </row>
    <row r="33" spans="1:17" x14ac:dyDescent="0.25">
      <c r="A33" s="375">
        <f t="shared" si="0"/>
        <v>21</v>
      </c>
      <c r="B33" s="359"/>
      <c r="C33" s="377"/>
      <c r="D33" s="380"/>
      <c r="E33" s="380"/>
      <c r="F33" s="380"/>
      <c r="G33" s="380"/>
      <c r="H33" s="380"/>
      <c r="I33" s="380"/>
      <c r="J33" s="359"/>
      <c r="K33" s="380"/>
      <c r="L33" s="380"/>
      <c r="M33" s="380"/>
      <c r="N33" s="380"/>
      <c r="O33" s="359"/>
      <c r="P33" s="375">
        <f t="shared" si="1"/>
        <v>21</v>
      </c>
      <c r="Q33" s="397"/>
    </row>
    <row r="34" spans="1:17" x14ac:dyDescent="0.25">
      <c r="A34" s="375">
        <f t="shared" si="0"/>
        <v>22</v>
      </c>
      <c r="B34" s="359" t="s">
        <v>929</v>
      </c>
      <c r="C34" s="382"/>
      <c r="D34" s="380"/>
      <c r="E34" s="380"/>
      <c r="F34" s="380"/>
      <c r="G34" s="380"/>
      <c r="H34" s="380"/>
      <c r="I34" s="380"/>
      <c r="J34" s="359"/>
      <c r="K34" s="380"/>
      <c r="L34" s="380"/>
      <c r="M34" s="380"/>
      <c r="N34" s="380"/>
      <c r="O34" s="359"/>
      <c r="P34" s="375">
        <f t="shared" si="1"/>
        <v>22</v>
      </c>
      <c r="Q34" s="397"/>
    </row>
    <row r="35" spans="1:17" x14ac:dyDescent="0.25">
      <c r="A35" s="375">
        <f t="shared" si="0"/>
        <v>23</v>
      </c>
      <c r="B35" s="359" t="s">
        <v>844</v>
      </c>
      <c r="C35" s="375">
        <v>282</v>
      </c>
      <c r="D35" s="359">
        <v>0</v>
      </c>
      <c r="E35" s="359">
        <v>0</v>
      </c>
      <c r="F35" s="363"/>
      <c r="G35" s="363"/>
      <c r="H35" s="363"/>
      <c r="I35" s="363"/>
      <c r="J35" s="359">
        <f t="shared" ref="J35:J37" si="10">H35+I35</f>
        <v>0</v>
      </c>
      <c r="K35" s="359">
        <f>SUM(D35:I35)</f>
        <v>0</v>
      </c>
      <c r="L35" s="359">
        <f>+'Order 864-2'!I38</f>
        <v>0</v>
      </c>
      <c r="M35" s="359">
        <f>IF(SUM($K$35:$L$35)&lt;0,0,SUM($K35:$L35))</f>
        <v>0</v>
      </c>
      <c r="N35" s="359">
        <f>IF(SUM($K$35:$L$35)&lt;0,SUM($K35:$L35),0)</f>
        <v>0</v>
      </c>
      <c r="O35" s="376" t="s">
        <v>247</v>
      </c>
      <c r="P35" s="375">
        <f t="shared" si="1"/>
        <v>23</v>
      </c>
      <c r="Q35" s="397"/>
    </row>
    <row r="36" spans="1:17" x14ac:dyDescent="0.25">
      <c r="A36" s="375">
        <f t="shared" si="0"/>
        <v>24</v>
      </c>
      <c r="B36" s="359" t="s">
        <v>845</v>
      </c>
      <c r="C36" s="375">
        <v>282</v>
      </c>
      <c r="D36" s="359">
        <v>0</v>
      </c>
      <c r="E36" s="359">
        <v>0</v>
      </c>
      <c r="F36" s="363"/>
      <c r="G36" s="363"/>
      <c r="H36" s="363"/>
      <c r="I36" s="363"/>
      <c r="J36" s="359">
        <f t="shared" si="10"/>
        <v>0</v>
      </c>
      <c r="K36" s="359">
        <f t="shared" ref="K36:K37" si="11">SUM(D36:I36)</f>
        <v>0</v>
      </c>
      <c r="L36" s="359">
        <f>+'Order 864-2'!I39</f>
        <v>0</v>
      </c>
      <c r="M36" s="359">
        <f>IF(SUM($K$36:$L$36)&lt;0,0,SUM($K36:$L36))</f>
        <v>0</v>
      </c>
      <c r="N36" s="359">
        <f>IF(SUM($K$36:$L$36)&lt;0,SUM($K36:$L36),0)</f>
        <v>0</v>
      </c>
      <c r="O36" s="376" t="s">
        <v>247</v>
      </c>
      <c r="P36" s="375">
        <f t="shared" si="1"/>
        <v>24</v>
      </c>
      <c r="Q36" s="397"/>
    </row>
    <row r="37" spans="1:17" x14ac:dyDescent="0.25">
      <c r="A37" s="375">
        <f t="shared" si="0"/>
        <v>25</v>
      </c>
      <c r="B37" s="359" t="s">
        <v>846</v>
      </c>
      <c r="C37" s="383">
        <v>282</v>
      </c>
      <c r="D37" s="359">
        <v>0</v>
      </c>
      <c r="E37" s="359">
        <v>0</v>
      </c>
      <c r="F37" s="363"/>
      <c r="G37" s="363"/>
      <c r="H37" s="363"/>
      <c r="I37" s="363"/>
      <c r="J37" s="359">
        <f t="shared" si="10"/>
        <v>0</v>
      </c>
      <c r="K37" s="359">
        <f t="shared" si="11"/>
        <v>0</v>
      </c>
      <c r="L37" s="359">
        <f>+'Order 864-2'!I40</f>
        <v>0</v>
      </c>
      <c r="M37" s="359">
        <f>IF(SUM($K$37:$L$37)&lt;0,0,SUM($K37:$L37))</f>
        <v>0</v>
      </c>
      <c r="N37" s="359">
        <f>IF(SUM($K$37:$L$37)&lt;0,SUM($K37:$L37),0)</f>
        <v>0</v>
      </c>
      <c r="O37" s="376" t="s">
        <v>247</v>
      </c>
      <c r="P37" s="375">
        <f t="shared" si="1"/>
        <v>25</v>
      </c>
      <c r="Q37" s="397"/>
    </row>
    <row r="38" spans="1:17" x14ac:dyDescent="0.25">
      <c r="A38" s="375">
        <f t="shared" si="0"/>
        <v>26</v>
      </c>
      <c r="B38" s="376" t="s">
        <v>843</v>
      </c>
      <c r="C38" s="377"/>
      <c r="D38" s="367">
        <f t="shared" ref="D38:L38" si="12">SUM(D35:D37)</f>
        <v>0</v>
      </c>
      <c r="E38" s="367">
        <f t="shared" si="12"/>
        <v>0</v>
      </c>
      <c r="F38" s="367">
        <f t="shared" si="12"/>
        <v>0</v>
      </c>
      <c r="G38" s="367">
        <f t="shared" si="12"/>
        <v>0</v>
      </c>
      <c r="H38" s="367">
        <f t="shared" si="12"/>
        <v>0</v>
      </c>
      <c r="I38" s="367">
        <f t="shared" si="12"/>
        <v>0</v>
      </c>
      <c r="J38" s="367">
        <f t="shared" ref="J38" si="13">SUM(J35:J37)</f>
        <v>0</v>
      </c>
      <c r="K38" s="367">
        <f t="shared" si="12"/>
        <v>0</v>
      </c>
      <c r="L38" s="367">
        <f t="shared" si="12"/>
        <v>0</v>
      </c>
      <c r="M38" s="367">
        <f>SUM(M35:M37)</f>
        <v>0</v>
      </c>
      <c r="N38" s="367">
        <f>SUM(N35:N37)</f>
        <v>0</v>
      </c>
      <c r="O38" s="376" t="s">
        <v>918</v>
      </c>
      <c r="P38" s="375">
        <f t="shared" si="1"/>
        <v>26</v>
      </c>
      <c r="Q38" s="397"/>
    </row>
    <row r="39" spans="1:17" x14ac:dyDescent="0.25">
      <c r="A39" s="375">
        <f t="shared" si="0"/>
        <v>27</v>
      </c>
      <c r="B39" s="359"/>
      <c r="C39" s="377"/>
      <c r="D39" s="378"/>
      <c r="E39" s="378"/>
      <c r="F39" s="378"/>
      <c r="G39" s="378"/>
      <c r="H39" s="378"/>
      <c r="I39" s="378"/>
      <c r="J39" s="378"/>
      <c r="K39" s="378"/>
      <c r="L39" s="378"/>
      <c r="M39" s="378"/>
      <c r="N39" s="378"/>
      <c r="O39" s="359"/>
      <c r="P39" s="375">
        <f t="shared" si="1"/>
        <v>27</v>
      </c>
      <c r="Q39" s="397"/>
    </row>
    <row r="40" spans="1:17" x14ac:dyDescent="0.25">
      <c r="A40" s="375">
        <f t="shared" si="0"/>
        <v>28</v>
      </c>
      <c r="B40" s="359" t="s">
        <v>929</v>
      </c>
      <c r="C40" s="382"/>
      <c r="D40" s="380"/>
      <c r="E40" s="380"/>
      <c r="F40" s="380"/>
      <c r="G40" s="380"/>
      <c r="H40" s="380"/>
      <c r="I40" s="380"/>
      <c r="J40" s="380"/>
      <c r="K40" s="380"/>
      <c r="L40" s="380"/>
      <c r="M40" s="380"/>
      <c r="N40" s="380"/>
      <c r="O40" s="359"/>
      <c r="P40" s="375">
        <f t="shared" si="1"/>
        <v>28</v>
      </c>
      <c r="Q40" s="397"/>
    </row>
    <row r="41" spans="1:17" x14ac:dyDescent="0.25">
      <c r="A41" s="375">
        <f t="shared" si="0"/>
        <v>29</v>
      </c>
      <c r="B41" s="359" t="s">
        <v>887</v>
      </c>
      <c r="C41" s="383">
        <v>282</v>
      </c>
      <c r="D41" s="384">
        <v>0</v>
      </c>
      <c r="E41" s="384">
        <v>0</v>
      </c>
      <c r="F41" s="385"/>
      <c r="G41" s="385"/>
      <c r="H41" s="385"/>
      <c r="I41" s="385"/>
      <c r="J41" s="359">
        <f t="shared" ref="J41" si="14">H41+I41</f>
        <v>0</v>
      </c>
      <c r="K41" s="396">
        <f>SUM(D41:I41)</f>
        <v>0</v>
      </c>
      <c r="L41" s="396">
        <f>+'Order 864-2'!I44</f>
        <v>0</v>
      </c>
      <c r="M41" s="359">
        <f>IF(SUM($K$41:$L$41)&lt;0,0,SUM($K41:$L41))</f>
        <v>0</v>
      </c>
      <c r="N41" s="359">
        <f>IF(SUM($K$41:$L$41)&lt;0,SUM($K41:$L41),0)</f>
        <v>0</v>
      </c>
      <c r="O41" s="376" t="s">
        <v>247</v>
      </c>
      <c r="P41" s="375">
        <f t="shared" si="1"/>
        <v>29</v>
      </c>
      <c r="Q41" s="397"/>
    </row>
    <row r="42" spans="1:17" x14ac:dyDescent="0.25">
      <c r="A42" s="375">
        <f t="shared" si="0"/>
        <v>30</v>
      </c>
      <c r="B42" s="359"/>
      <c r="C42" s="377"/>
      <c r="D42" s="386"/>
      <c r="E42" s="386"/>
      <c r="F42" s="386"/>
      <c r="G42" s="386"/>
      <c r="H42" s="386"/>
      <c r="I42" s="386"/>
      <c r="J42" s="386"/>
      <c r="K42" s="386"/>
      <c r="L42" s="386"/>
      <c r="M42" s="386"/>
      <c r="N42" s="386"/>
      <c r="O42" s="359"/>
      <c r="P42" s="375">
        <f t="shared" si="1"/>
        <v>30</v>
      </c>
      <c r="Q42" s="397"/>
    </row>
    <row r="43" spans="1:17" ht="15.75" thickBot="1" x14ac:dyDescent="0.3">
      <c r="A43" s="375">
        <f t="shared" si="0"/>
        <v>31</v>
      </c>
      <c r="B43" s="376" t="s">
        <v>931</v>
      </c>
      <c r="C43" s="377"/>
      <c r="D43" s="357">
        <f t="shared" ref="D43:N43" si="15">+D41+D38+D32</f>
        <v>0</v>
      </c>
      <c r="E43" s="357">
        <f t="shared" si="15"/>
        <v>0</v>
      </c>
      <c r="F43" s="357">
        <f t="shared" si="15"/>
        <v>0</v>
      </c>
      <c r="G43" s="357">
        <f t="shared" si="15"/>
        <v>0</v>
      </c>
      <c r="H43" s="357">
        <f t="shared" si="15"/>
        <v>0</v>
      </c>
      <c r="I43" s="357">
        <f t="shared" si="15"/>
        <v>0</v>
      </c>
      <c r="J43" s="357">
        <f t="shared" ref="J43" si="16">J32+J38+J41</f>
        <v>0</v>
      </c>
      <c r="K43" s="357">
        <f t="shared" si="15"/>
        <v>0</v>
      </c>
      <c r="L43" s="357">
        <f t="shared" si="15"/>
        <v>0</v>
      </c>
      <c r="M43" s="357">
        <f t="shared" si="15"/>
        <v>0</v>
      </c>
      <c r="N43" s="357">
        <f t="shared" si="15"/>
        <v>0</v>
      </c>
      <c r="O43" s="443" t="s">
        <v>919</v>
      </c>
      <c r="P43" s="375">
        <f t="shared" si="1"/>
        <v>31</v>
      </c>
      <c r="Q43" s="397"/>
    </row>
    <row r="44" spans="1:17" ht="15.75" thickTop="1" x14ac:dyDescent="0.25">
      <c r="A44" s="375">
        <f t="shared" si="0"/>
        <v>32</v>
      </c>
      <c r="B44" s="359"/>
      <c r="C44" s="359"/>
      <c r="D44" s="387"/>
      <c r="E44" s="387"/>
      <c r="F44" s="387"/>
      <c r="G44" s="387"/>
      <c r="H44" s="387"/>
      <c r="I44" s="387"/>
      <c r="J44" s="387"/>
      <c r="K44" s="387"/>
      <c r="L44" s="387"/>
      <c r="M44" s="387"/>
      <c r="N44" s="387"/>
      <c r="O44" s="359"/>
      <c r="P44" s="375">
        <f t="shared" si="1"/>
        <v>32</v>
      </c>
      <c r="Q44" s="397"/>
    </row>
    <row r="45" spans="1:17" ht="15.75" thickBot="1" x14ac:dyDescent="0.3">
      <c r="A45" s="375">
        <f t="shared" si="0"/>
        <v>33</v>
      </c>
      <c r="B45" s="376" t="s">
        <v>932</v>
      </c>
      <c r="C45" s="359"/>
      <c r="D45" s="357">
        <f t="shared" ref="D45:N45" si="17">D24+D43</f>
        <v>0</v>
      </c>
      <c r="E45" s="357">
        <f t="shared" si="17"/>
        <v>0</v>
      </c>
      <c r="F45" s="357">
        <f t="shared" si="17"/>
        <v>0</v>
      </c>
      <c r="G45" s="357">
        <f t="shared" si="17"/>
        <v>0</v>
      </c>
      <c r="H45" s="357">
        <f t="shared" si="17"/>
        <v>0</v>
      </c>
      <c r="I45" s="357">
        <f t="shared" si="17"/>
        <v>0</v>
      </c>
      <c r="J45" s="357">
        <f t="shared" si="17"/>
        <v>0</v>
      </c>
      <c r="K45" s="357">
        <f t="shared" si="17"/>
        <v>0</v>
      </c>
      <c r="L45" s="357">
        <f t="shared" si="17"/>
        <v>0</v>
      </c>
      <c r="M45" s="357">
        <f t="shared" si="17"/>
        <v>0</v>
      </c>
      <c r="N45" s="357">
        <f t="shared" si="17"/>
        <v>0</v>
      </c>
      <c r="O45" s="376" t="s">
        <v>920</v>
      </c>
      <c r="P45" s="375">
        <f t="shared" si="1"/>
        <v>33</v>
      </c>
      <c r="Q45" s="397"/>
    </row>
    <row r="46" spans="1:17" ht="15.75" thickTop="1" x14ac:dyDescent="0.25">
      <c r="A46" s="375"/>
      <c r="B46" s="359"/>
      <c r="C46" s="359"/>
      <c r="D46" s="359"/>
      <c r="E46" s="359"/>
      <c r="F46" s="359"/>
      <c r="G46" s="359"/>
      <c r="H46" s="359"/>
      <c r="I46" s="359"/>
      <c r="J46" s="359"/>
      <c r="K46" s="359"/>
      <c r="L46" s="359"/>
      <c r="M46" s="359">
        <f>'AF-1'!E35-M45</f>
        <v>0</v>
      </c>
      <c r="N46" s="359">
        <f>N45-'AF-1'!G35</f>
        <v>0</v>
      </c>
      <c r="O46" s="397"/>
      <c r="P46" s="397"/>
      <c r="Q46" s="397"/>
    </row>
    <row r="47" spans="1:17" x14ac:dyDescent="0.25">
      <c r="A47" s="422"/>
      <c r="B47" s="346" t="s">
        <v>847</v>
      </c>
      <c r="C47" s="388"/>
      <c r="D47" s="359"/>
      <c r="E47" s="359"/>
      <c r="F47" s="359"/>
      <c r="G47" s="359"/>
      <c r="H47" s="359"/>
      <c r="I47" s="359"/>
      <c r="J47" s="359"/>
      <c r="K47" s="359"/>
      <c r="L47" s="359"/>
      <c r="M47" s="359"/>
      <c r="N47" s="359"/>
      <c r="O47" s="397"/>
      <c r="P47" s="397"/>
      <c r="Q47" s="397"/>
    </row>
    <row r="48" spans="1:17" x14ac:dyDescent="0.25">
      <c r="A48" s="422"/>
      <c r="B48" s="456" t="s">
        <v>954</v>
      </c>
      <c r="C48" s="388"/>
      <c r="D48" s="359"/>
      <c r="E48" s="359"/>
      <c r="F48" s="359"/>
      <c r="G48" s="359"/>
      <c r="H48" s="359"/>
      <c r="I48" s="359"/>
      <c r="J48" s="359"/>
      <c r="K48" s="359"/>
      <c r="L48" s="359"/>
      <c r="M48" s="359"/>
      <c r="N48" s="359"/>
      <c r="O48" s="397"/>
      <c r="P48" s="397"/>
      <c r="Q48" s="397"/>
    </row>
    <row r="49" spans="1:17" x14ac:dyDescent="0.25">
      <c r="A49" s="422"/>
      <c r="B49" s="456" t="s">
        <v>959</v>
      </c>
      <c r="C49" s="389"/>
      <c r="D49" s="389"/>
      <c r="E49" s="389"/>
      <c r="F49" s="359"/>
      <c r="G49" s="359"/>
      <c r="H49" s="359"/>
      <c r="I49" s="359"/>
      <c r="J49" s="359"/>
      <c r="K49" s="359"/>
      <c r="L49" s="359"/>
      <c r="M49" s="359"/>
      <c r="N49" s="359"/>
      <c r="O49" s="444"/>
      <c r="P49" s="397"/>
      <c r="Q49" s="397"/>
    </row>
    <row r="50" spans="1:17" x14ac:dyDescent="0.25">
      <c r="A50" s="422"/>
      <c r="B50" s="456" t="s">
        <v>960</v>
      </c>
      <c r="C50" s="389"/>
      <c r="D50" s="389"/>
      <c r="E50" s="389"/>
      <c r="F50" s="359"/>
      <c r="G50" s="359"/>
      <c r="H50" s="359"/>
      <c r="I50" s="359"/>
      <c r="J50" s="359"/>
      <c r="K50" s="359"/>
      <c r="L50" s="359"/>
      <c r="M50" s="359"/>
      <c r="N50" s="359"/>
      <c r="O50" s="444"/>
      <c r="P50" s="397"/>
      <c r="Q50" s="397"/>
    </row>
    <row r="51" spans="1:17" x14ac:dyDescent="0.25">
      <c r="A51" s="422"/>
      <c r="B51" s="456" t="s">
        <v>930</v>
      </c>
      <c r="C51" s="389"/>
      <c r="D51" s="389"/>
      <c r="E51" s="389"/>
      <c r="F51" s="359"/>
      <c r="G51" s="359"/>
      <c r="H51" s="359"/>
      <c r="I51" s="359"/>
      <c r="J51" s="359"/>
      <c r="K51" s="359"/>
      <c r="L51" s="359"/>
      <c r="M51" s="359"/>
      <c r="N51" s="359"/>
      <c r="O51" s="444"/>
      <c r="P51" s="397"/>
      <c r="Q51" s="397"/>
    </row>
    <row r="52" spans="1:17" x14ac:dyDescent="0.25">
      <c r="A52" s="389"/>
      <c r="B52" s="456" t="s">
        <v>968</v>
      </c>
      <c r="C52" s="389"/>
      <c r="D52" s="389"/>
      <c r="E52" s="389"/>
      <c r="F52" s="389"/>
      <c r="G52" s="389"/>
      <c r="H52" s="389"/>
      <c r="I52" s="389"/>
      <c r="J52" s="389"/>
      <c r="K52" s="389"/>
      <c r="L52" s="389"/>
      <c r="M52" s="389"/>
      <c r="N52" s="389"/>
      <c r="O52" s="397"/>
      <c r="P52" s="397"/>
      <c r="Q52" s="397"/>
    </row>
    <row r="53" spans="1:17" x14ac:dyDescent="0.25">
      <c r="A53" s="389"/>
      <c r="B53" s="456" t="s">
        <v>955</v>
      </c>
      <c r="C53" s="389"/>
      <c r="D53" s="389"/>
      <c r="E53" s="389"/>
      <c r="F53" s="389"/>
      <c r="G53" s="389"/>
      <c r="H53" s="389"/>
      <c r="I53" s="389"/>
      <c r="J53" s="389"/>
      <c r="K53" s="389"/>
      <c r="L53" s="389"/>
      <c r="M53" s="389"/>
      <c r="N53" s="389"/>
      <c r="O53" s="445"/>
      <c r="P53" s="397"/>
      <c r="Q53" s="397"/>
    </row>
    <row r="54" spans="1:17" x14ac:dyDescent="0.25">
      <c r="A54" s="389"/>
      <c r="B54" s="456" t="s">
        <v>956</v>
      </c>
      <c r="C54" s="389"/>
      <c r="D54" s="389"/>
      <c r="E54" s="389"/>
      <c r="F54" s="389"/>
      <c r="G54" s="389"/>
      <c r="H54" s="389"/>
      <c r="I54" s="389"/>
      <c r="J54" s="389"/>
      <c r="K54" s="389"/>
      <c r="L54" s="389"/>
      <c r="M54" s="389"/>
      <c r="N54" s="389"/>
      <c r="O54" s="444"/>
      <c r="P54" s="397"/>
      <c r="Q54" s="397"/>
    </row>
    <row r="55" spans="1:17" x14ac:dyDescent="0.25">
      <c r="A55" s="391"/>
      <c r="B55" s="456" t="s">
        <v>961</v>
      </c>
      <c r="C55" s="391"/>
      <c r="D55" s="391"/>
      <c r="E55" s="391"/>
      <c r="F55" s="391"/>
      <c r="G55" s="391"/>
      <c r="H55" s="391"/>
      <c r="I55" s="391"/>
      <c r="J55" s="391"/>
      <c r="K55" s="391"/>
      <c r="L55" s="391"/>
      <c r="M55" s="391"/>
      <c r="N55" s="391"/>
    </row>
    <row r="56" spans="1:17" x14ac:dyDescent="0.25">
      <c r="A56" s="391"/>
      <c r="B56" s="456" t="s">
        <v>957</v>
      </c>
      <c r="C56" s="391"/>
      <c r="D56" s="391"/>
      <c r="E56" s="391"/>
      <c r="F56" s="391"/>
      <c r="G56" s="391"/>
      <c r="H56" s="391"/>
      <c r="I56" s="391"/>
      <c r="J56" s="391"/>
      <c r="K56" s="391"/>
      <c r="L56" s="391"/>
      <c r="M56" s="391"/>
      <c r="N56" s="391"/>
    </row>
    <row r="57" spans="1:17" x14ac:dyDescent="0.25">
      <c r="A57" s="391"/>
      <c r="B57" s="456" t="s">
        <v>958</v>
      </c>
      <c r="C57" s="391"/>
      <c r="D57" s="391"/>
      <c r="E57" s="391"/>
      <c r="F57" s="391"/>
      <c r="G57" s="391"/>
      <c r="H57" s="391"/>
      <c r="I57" s="391"/>
      <c r="J57" s="391"/>
      <c r="K57" s="391"/>
      <c r="L57" s="391"/>
      <c r="M57" s="391"/>
      <c r="N57" s="391"/>
    </row>
    <row r="58" spans="1:17" x14ac:dyDescent="0.25">
      <c r="A58" s="391"/>
      <c r="B58" s="456"/>
      <c r="C58" s="391"/>
      <c r="D58" s="391"/>
      <c r="E58" s="391"/>
      <c r="F58" s="391"/>
      <c r="G58" s="391"/>
      <c r="H58" s="391"/>
      <c r="I58" s="391"/>
      <c r="J58" s="391"/>
      <c r="K58" s="391"/>
      <c r="L58" s="391"/>
      <c r="M58" s="391"/>
      <c r="N58" s="391"/>
    </row>
    <row r="59" spans="1:17" x14ac:dyDescent="0.25">
      <c r="A59" s="391"/>
      <c r="B59" s="390"/>
      <c r="C59" s="359"/>
      <c r="D59" s="359"/>
      <c r="E59" s="359"/>
      <c r="F59" s="377"/>
      <c r="G59" s="377"/>
      <c r="H59" s="422" t="s">
        <v>945</v>
      </c>
      <c r="I59" s="422" t="s">
        <v>948</v>
      </c>
      <c r="J59" s="422" t="s">
        <v>949</v>
      </c>
      <c r="K59" s="422" t="s">
        <v>952</v>
      </c>
      <c r="L59" s="422" t="s">
        <v>953</v>
      </c>
      <c r="M59" s="391"/>
      <c r="N59" s="391"/>
    </row>
    <row r="60" spans="1:17" x14ac:dyDescent="0.25">
      <c r="A60" s="391"/>
      <c r="B60" s="390"/>
      <c r="C60" s="359"/>
      <c r="D60" s="359"/>
      <c r="E60" s="359"/>
      <c r="F60" s="377"/>
      <c r="G60" s="377"/>
      <c r="H60" s="412" t="s">
        <v>832</v>
      </c>
      <c r="I60" s="412" t="s">
        <v>914</v>
      </c>
      <c r="J60" s="377"/>
      <c r="M60" s="391"/>
      <c r="N60" s="391"/>
    </row>
    <row r="61" spans="1:17" ht="39" x14ac:dyDescent="0.25">
      <c r="A61" s="391"/>
      <c r="B61" s="457" t="s">
        <v>944</v>
      </c>
      <c r="C61" s="359"/>
      <c r="D61" s="458" t="s">
        <v>933</v>
      </c>
      <c r="E61" s="375"/>
      <c r="F61" s="377"/>
      <c r="G61" s="377"/>
      <c r="H61" s="459" t="s">
        <v>841</v>
      </c>
      <c r="I61" s="459" t="s">
        <v>842</v>
      </c>
      <c r="J61" s="459" t="s">
        <v>942</v>
      </c>
      <c r="K61" s="459" t="s">
        <v>950</v>
      </c>
      <c r="L61" s="459" t="s">
        <v>951</v>
      </c>
      <c r="M61" s="391"/>
      <c r="N61" s="391"/>
    </row>
    <row r="62" spans="1:17" x14ac:dyDescent="0.25">
      <c r="A62" s="391"/>
      <c r="B62" s="399" t="s">
        <v>934</v>
      </c>
      <c r="C62" s="460" t="s">
        <v>814</v>
      </c>
      <c r="D62" s="461">
        <v>0</v>
      </c>
      <c r="E62" s="462"/>
      <c r="F62" s="377"/>
      <c r="G62" s="399" t="s">
        <v>946</v>
      </c>
      <c r="H62" s="359">
        <f>M24</f>
        <v>0</v>
      </c>
      <c r="I62" s="359">
        <f>N24</f>
        <v>0</v>
      </c>
      <c r="J62" s="463">
        <f>D67-1</f>
        <v>0</v>
      </c>
      <c r="K62" s="359">
        <f>H62*J62</f>
        <v>0</v>
      </c>
      <c r="L62" s="359">
        <f>I62*J62</f>
        <v>0</v>
      </c>
      <c r="M62" s="391"/>
      <c r="N62" s="391"/>
    </row>
    <row r="63" spans="1:17" x14ac:dyDescent="0.25">
      <c r="A63" s="391"/>
      <c r="B63" s="399" t="s">
        <v>935</v>
      </c>
      <c r="C63" s="460" t="s">
        <v>815</v>
      </c>
      <c r="D63" s="461">
        <v>0</v>
      </c>
      <c r="E63" s="462"/>
      <c r="F63" s="377"/>
      <c r="G63" s="399" t="s">
        <v>947</v>
      </c>
      <c r="H63" s="359">
        <f>M43</f>
        <v>0</v>
      </c>
      <c r="I63" s="359">
        <f>N43</f>
        <v>0</v>
      </c>
      <c r="J63" s="463">
        <f>D67-1</f>
        <v>0</v>
      </c>
      <c r="K63" s="359">
        <f>H63*J63</f>
        <v>0</v>
      </c>
      <c r="L63" s="359">
        <f>I63*J63</f>
        <v>0</v>
      </c>
      <c r="M63" s="391"/>
      <c r="N63" s="391"/>
    </row>
    <row r="64" spans="1:17" x14ac:dyDescent="0.25">
      <c r="A64" s="391"/>
      <c r="B64" s="399" t="s">
        <v>936</v>
      </c>
      <c r="C64" s="460" t="s">
        <v>937</v>
      </c>
      <c r="D64" s="465">
        <f>-D63*D62</f>
        <v>0</v>
      </c>
      <c r="E64" s="462"/>
      <c r="F64" s="462"/>
      <c r="G64" s="391"/>
      <c r="H64" s="391"/>
      <c r="I64" s="391"/>
      <c r="J64" s="391"/>
      <c r="K64" s="391"/>
      <c r="L64" s="391"/>
      <c r="M64" s="391"/>
      <c r="N64" s="391"/>
    </row>
    <row r="65" spans="2:6" x14ac:dyDescent="0.25">
      <c r="B65" s="399" t="s">
        <v>938</v>
      </c>
      <c r="C65" s="460" t="s">
        <v>939</v>
      </c>
      <c r="D65" s="466">
        <f>SUM(D62:D64)</f>
        <v>0</v>
      </c>
      <c r="E65" s="464"/>
      <c r="F65" s="462"/>
    </row>
    <row r="66" spans="2:6" x14ac:dyDescent="0.25">
      <c r="B66" s="399" t="s">
        <v>940</v>
      </c>
      <c r="C66" s="460" t="s">
        <v>941</v>
      </c>
      <c r="D66" s="466">
        <f>1-D65</f>
        <v>1</v>
      </c>
      <c r="E66" s="464"/>
      <c r="F66" s="462"/>
    </row>
    <row r="67" spans="2:6" x14ac:dyDescent="0.25">
      <c r="B67" s="399" t="s">
        <v>942</v>
      </c>
      <c r="C67" s="460" t="s">
        <v>943</v>
      </c>
      <c r="D67" s="467">
        <f>1/D66</f>
        <v>1</v>
      </c>
      <c r="E67" s="463"/>
      <c r="F67" s="463"/>
    </row>
    <row r="68" spans="2:6" x14ac:dyDescent="0.25">
      <c r="B68" s="389"/>
      <c r="C68" s="399"/>
      <c r="D68" s="423"/>
      <c r="E68" s="423"/>
    </row>
    <row r="69" spans="2:6" x14ac:dyDescent="0.25">
      <c r="B69" s="390"/>
      <c r="C69" s="389"/>
      <c r="D69" s="389"/>
      <c r="E69" s="389"/>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8"/>
  <sheetViews>
    <sheetView zoomScale="80" zoomScaleNormal="80" workbookViewId="0"/>
  </sheetViews>
  <sheetFormatPr defaultColWidth="14.5703125" defaultRowHeight="15" x14ac:dyDescent="0.25"/>
  <cols>
    <col min="1" max="1" width="5.7109375" customWidth="1"/>
    <col min="2" max="2" width="48.5703125" customWidth="1"/>
    <col min="3" max="3" width="8.7109375" customWidth="1"/>
    <col min="4" max="7" width="16.5703125" customWidth="1"/>
    <col min="8" max="8" width="17.28515625" customWidth="1"/>
    <col min="9" max="9" width="16.5703125" customWidth="1"/>
    <col min="10" max="10" width="45.7109375" customWidth="1"/>
    <col min="11" max="11" width="5.7109375" customWidth="1"/>
    <col min="12" max="12" width="18.7109375" customWidth="1"/>
  </cols>
  <sheetData>
    <row r="1" spans="1:14" ht="15.75" x14ac:dyDescent="0.25">
      <c r="A1" s="330"/>
      <c r="B1" s="331" t="s">
        <v>16</v>
      </c>
      <c r="C1" s="332"/>
      <c r="D1" s="332"/>
      <c r="E1" s="332"/>
      <c r="F1" s="332"/>
      <c r="G1" s="332"/>
      <c r="H1" s="332"/>
      <c r="I1" s="332"/>
      <c r="J1" s="332"/>
      <c r="K1" s="333"/>
    </row>
    <row r="2" spans="1:14" x14ac:dyDescent="0.25">
      <c r="A2" s="333"/>
      <c r="B2" s="331" t="s">
        <v>862</v>
      </c>
      <c r="C2" s="332"/>
      <c r="D2" s="332"/>
      <c r="E2" s="332"/>
      <c r="F2" s="332"/>
      <c r="G2" s="332"/>
      <c r="H2" s="332"/>
      <c r="I2" s="332"/>
      <c r="J2" s="332"/>
      <c r="K2" s="333"/>
    </row>
    <row r="3" spans="1:14" x14ac:dyDescent="0.25">
      <c r="A3" s="333"/>
      <c r="B3" s="370" t="s">
        <v>879</v>
      </c>
      <c r="C3" s="332"/>
      <c r="D3" s="332"/>
      <c r="E3" s="332"/>
      <c r="F3" s="332"/>
      <c r="G3" s="332"/>
      <c r="H3" s="332"/>
      <c r="I3" s="332"/>
      <c r="J3" s="332"/>
      <c r="K3" s="333"/>
    </row>
    <row r="4" spans="1:14" x14ac:dyDescent="0.25">
      <c r="A4" s="333"/>
      <c r="B4" s="364" t="s">
        <v>1147</v>
      </c>
      <c r="C4" s="365"/>
      <c r="D4" s="365"/>
      <c r="E4" s="365"/>
      <c r="F4" s="365"/>
      <c r="G4" s="365"/>
      <c r="H4" s="365"/>
      <c r="I4" s="365"/>
      <c r="J4" s="365"/>
      <c r="K4" s="333"/>
    </row>
    <row r="5" spans="1:14" x14ac:dyDescent="0.25">
      <c r="A5" s="333"/>
      <c r="B5" s="593" t="s">
        <v>1</v>
      </c>
      <c r="C5" s="593"/>
      <c r="D5" s="593"/>
      <c r="E5" s="593"/>
      <c r="F5" s="593"/>
      <c r="G5" s="593"/>
      <c r="H5" s="593"/>
      <c r="I5" s="593"/>
      <c r="J5" s="593"/>
      <c r="K5" s="350"/>
      <c r="L5" s="350"/>
      <c r="M5" s="350"/>
      <c r="N5" s="350"/>
    </row>
    <row r="6" spans="1:14" x14ac:dyDescent="0.25">
      <c r="A6" s="333"/>
      <c r="B6" s="331"/>
      <c r="C6" s="332"/>
      <c r="D6" s="332"/>
      <c r="E6" s="332"/>
      <c r="F6" s="332"/>
      <c r="G6" s="332"/>
      <c r="H6" s="332"/>
      <c r="I6" s="332"/>
      <c r="J6" s="332"/>
      <c r="K6" s="333"/>
    </row>
    <row r="7" spans="1:14" x14ac:dyDescent="0.25">
      <c r="A7" s="334"/>
      <c r="B7" s="351"/>
      <c r="C7" s="352"/>
      <c r="D7" s="352"/>
      <c r="E7" s="352"/>
      <c r="F7" s="352"/>
      <c r="G7" s="352"/>
      <c r="H7" s="336" t="s">
        <v>860</v>
      </c>
      <c r="I7" s="565" t="s">
        <v>1145</v>
      </c>
      <c r="J7" s="334"/>
      <c r="K7" s="334"/>
      <c r="L7" s="334"/>
    </row>
    <row r="8" spans="1:14" x14ac:dyDescent="0.25">
      <c r="A8" s="334"/>
      <c r="B8" s="351"/>
      <c r="C8" s="352"/>
      <c r="D8" s="352"/>
      <c r="E8" s="352"/>
      <c r="F8" s="352"/>
      <c r="G8" s="352"/>
      <c r="H8" s="336" t="s">
        <v>848</v>
      </c>
      <c r="I8" s="361" t="s">
        <v>1148</v>
      </c>
      <c r="J8" s="334"/>
      <c r="K8" s="334"/>
      <c r="L8" s="334"/>
    </row>
    <row r="9" spans="1:14" x14ac:dyDescent="0.25">
      <c r="A9" s="334"/>
      <c r="B9" s="335"/>
      <c r="C9" s="335"/>
      <c r="D9" s="335"/>
      <c r="E9" s="335"/>
      <c r="F9" s="335"/>
      <c r="G9" s="335"/>
      <c r="H9" s="348" t="s">
        <v>849</v>
      </c>
      <c r="I9" s="362"/>
      <c r="J9" s="334"/>
      <c r="K9" s="334"/>
      <c r="L9" s="334"/>
    </row>
    <row r="10" spans="1:14" x14ac:dyDescent="0.25">
      <c r="A10" s="334"/>
      <c r="B10" s="335"/>
      <c r="C10" s="335"/>
      <c r="D10" s="335"/>
      <c r="E10" s="335"/>
      <c r="F10" s="335"/>
      <c r="G10" s="335"/>
      <c r="H10" s="353"/>
      <c r="I10" s="353"/>
      <c r="J10" s="334"/>
      <c r="K10" s="334"/>
      <c r="L10" s="334"/>
    </row>
    <row r="11" spans="1:14" x14ac:dyDescent="0.25">
      <c r="A11" s="337"/>
      <c r="B11" s="338" t="s">
        <v>531</v>
      </c>
      <c r="C11" s="338" t="s">
        <v>532</v>
      </c>
      <c r="D11" s="338" t="s">
        <v>533</v>
      </c>
      <c r="E11" s="338" t="s">
        <v>534</v>
      </c>
      <c r="F11" s="338" t="s">
        <v>535</v>
      </c>
      <c r="G11" s="338" t="s">
        <v>536</v>
      </c>
      <c r="H11" s="338" t="s">
        <v>537</v>
      </c>
      <c r="I11" s="338" t="s">
        <v>538</v>
      </c>
      <c r="J11" s="334"/>
      <c r="K11" s="334"/>
      <c r="L11" s="334"/>
    </row>
    <row r="12" spans="1:14" ht="15.75" thickBot="1" x14ac:dyDescent="0.3">
      <c r="A12" s="334"/>
      <c r="B12" s="337"/>
      <c r="C12" s="337"/>
      <c r="D12" s="334"/>
      <c r="E12" s="334"/>
      <c r="F12" s="334"/>
      <c r="G12" s="334"/>
      <c r="H12" s="334"/>
      <c r="I12" s="334"/>
      <c r="J12" s="334"/>
      <c r="K12" s="334"/>
      <c r="L12" s="334"/>
    </row>
    <row r="13" spans="1:14" ht="15.75" thickBot="1" x14ac:dyDescent="0.3">
      <c r="A13" s="334"/>
      <c r="B13" s="337"/>
      <c r="C13" s="337"/>
      <c r="D13" s="594" t="s">
        <v>863</v>
      </c>
      <c r="E13" s="595"/>
      <c r="F13" s="595"/>
      <c r="G13" s="595"/>
      <c r="H13" s="595"/>
      <c r="I13" s="596"/>
      <c r="J13" s="334"/>
      <c r="K13" s="334"/>
      <c r="L13" s="334"/>
    </row>
    <row r="14" spans="1:14" ht="15.75" thickBot="1" x14ac:dyDescent="0.3">
      <c r="A14" s="334"/>
      <c r="B14" s="337"/>
      <c r="C14" s="337"/>
      <c r="D14" s="446"/>
      <c r="E14" s="446"/>
      <c r="F14" s="447" t="s">
        <v>850</v>
      </c>
      <c r="G14" s="448" t="s">
        <v>851</v>
      </c>
      <c r="H14" s="447" t="s">
        <v>864</v>
      </c>
      <c r="I14" s="447" t="s">
        <v>852</v>
      </c>
      <c r="J14" s="334"/>
      <c r="K14" s="334"/>
      <c r="L14" s="334"/>
    </row>
    <row r="15" spans="1:14" ht="51.75" thickBot="1" x14ac:dyDescent="0.3">
      <c r="A15" s="339" t="s">
        <v>833</v>
      </c>
      <c r="B15" s="442" t="s">
        <v>926</v>
      </c>
      <c r="C15" s="341" t="s">
        <v>834</v>
      </c>
      <c r="D15" s="449" t="s">
        <v>911</v>
      </c>
      <c r="E15" s="449" t="s">
        <v>921</v>
      </c>
      <c r="F15" s="449" t="s">
        <v>912</v>
      </c>
      <c r="G15" s="449" t="s">
        <v>853</v>
      </c>
      <c r="H15" s="449" t="s">
        <v>854</v>
      </c>
      <c r="I15" s="449" t="s">
        <v>855</v>
      </c>
      <c r="J15" s="340" t="s">
        <v>7</v>
      </c>
      <c r="K15" s="339" t="s">
        <v>833</v>
      </c>
      <c r="L15" s="354"/>
    </row>
    <row r="16" spans="1:14" x14ac:dyDescent="0.25">
      <c r="A16" s="342">
        <v>1</v>
      </c>
      <c r="B16" s="359" t="s">
        <v>925</v>
      </c>
      <c r="C16" s="343"/>
      <c r="D16" s="345"/>
      <c r="E16" s="334"/>
      <c r="F16" s="334"/>
      <c r="G16" s="334"/>
      <c r="H16" s="334"/>
      <c r="I16" s="334"/>
      <c r="J16" s="334"/>
      <c r="K16" s="342">
        <v>1</v>
      </c>
      <c r="L16" s="354"/>
    </row>
    <row r="17" spans="1:12" x14ac:dyDescent="0.25">
      <c r="A17" s="342">
        <f t="shared" ref="A17:A48" si="0">+A16+1</f>
        <v>2</v>
      </c>
      <c r="B17" s="359" t="s">
        <v>898</v>
      </c>
      <c r="C17" s="342"/>
      <c r="D17" s="360"/>
      <c r="E17" s="360"/>
      <c r="F17" s="334"/>
      <c r="G17" s="334"/>
      <c r="H17" s="334"/>
      <c r="I17" s="334"/>
      <c r="J17" s="337"/>
      <c r="K17" s="342">
        <f t="shared" ref="K17:K48" si="1">+K16+1</f>
        <v>2</v>
      </c>
      <c r="L17" s="354"/>
    </row>
    <row r="18" spans="1:12" x14ac:dyDescent="0.25">
      <c r="A18" s="342">
        <f t="shared" si="0"/>
        <v>3</v>
      </c>
      <c r="B18" s="359" t="s">
        <v>899</v>
      </c>
      <c r="C18" s="342">
        <v>190</v>
      </c>
      <c r="D18" s="360"/>
      <c r="E18" s="360"/>
      <c r="F18" s="334">
        <f>+D18*$I$9</f>
        <v>0</v>
      </c>
      <c r="G18" s="334">
        <f>+E18-F18</f>
        <v>0</v>
      </c>
      <c r="H18" s="334">
        <f>IF(+$I$8="No",0,'Order 864-1'!K15)</f>
        <v>0</v>
      </c>
      <c r="I18" s="334">
        <f t="shared" ref="I18:I20" si="2">+G18-H18</f>
        <v>0</v>
      </c>
      <c r="J18" s="337" t="s">
        <v>247</v>
      </c>
      <c r="K18" s="342">
        <f t="shared" si="1"/>
        <v>3</v>
      </c>
      <c r="L18" s="354"/>
    </row>
    <row r="19" spans="1:12" x14ac:dyDescent="0.25">
      <c r="A19" s="342">
        <f t="shared" si="0"/>
        <v>4</v>
      </c>
      <c r="B19" s="359" t="s">
        <v>900</v>
      </c>
      <c r="C19" s="342">
        <v>190</v>
      </c>
      <c r="D19" s="360"/>
      <c r="E19" s="360"/>
      <c r="F19" s="334">
        <f>+D19*$I$9</f>
        <v>0</v>
      </c>
      <c r="G19" s="334">
        <f>+E19-F19</f>
        <v>0</v>
      </c>
      <c r="H19" s="334">
        <f>IF(+$I$8="No",0,'Order 864-1'!K16)</f>
        <v>0</v>
      </c>
      <c r="I19" s="334">
        <f t="shared" si="2"/>
        <v>0</v>
      </c>
      <c r="J19" s="337" t="s">
        <v>247</v>
      </c>
      <c r="K19" s="342">
        <f t="shared" si="1"/>
        <v>4</v>
      </c>
      <c r="L19" s="354"/>
    </row>
    <row r="20" spans="1:12" x14ac:dyDescent="0.25">
      <c r="A20" s="342">
        <f t="shared" si="0"/>
        <v>5</v>
      </c>
      <c r="B20" s="359" t="s">
        <v>901</v>
      </c>
      <c r="C20" s="342">
        <v>190</v>
      </c>
      <c r="D20" s="360"/>
      <c r="E20" s="360"/>
      <c r="F20" s="334">
        <f>+D20*$I$9</f>
        <v>0</v>
      </c>
      <c r="G20" s="334">
        <f>+E20-F20</f>
        <v>0</v>
      </c>
      <c r="H20" s="334">
        <f>IF(+$I$8="No",0,'Order 864-1'!K17)</f>
        <v>0</v>
      </c>
      <c r="I20" s="334">
        <f t="shared" si="2"/>
        <v>0</v>
      </c>
      <c r="J20" s="337" t="s">
        <v>247</v>
      </c>
      <c r="K20" s="342">
        <f t="shared" si="1"/>
        <v>5</v>
      </c>
      <c r="L20" s="354"/>
    </row>
    <row r="21" spans="1:12" x14ac:dyDescent="0.25">
      <c r="A21" s="342">
        <f t="shared" si="0"/>
        <v>6</v>
      </c>
      <c r="B21" s="359" t="s">
        <v>902</v>
      </c>
      <c r="C21" s="342"/>
      <c r="D21" s="360"/>
      <c r="E21" s="360"/>
      <c r="F21" s="334"/>
      <c r="G21" s="334"/>
      <c r="H21" s="334"/>
      <c r="I21" s="334"/>
      <c r="J21" s="337"/>
      <c r="K21" s="342">
        <f t="shared" si="1"/>
        <v>6</v>
      </c>
      <c r="L21" s="354"/>
    </row>
    <row r="22" spans="1:12" x14ac:dyDescent="0.25">
      <c r="A22" s="342">
        <f t="shared" si="0"/>
        <v>7</v>
      </c>
      <c r="B22" s="359" t="s">
        <v>903</v>
      </c>
      <c r="C22" s="342">
        <v>190</v>
      </c>
      <c r="D22" s="360"/>
      <c r="E22" s="360"/>
      <c r="F22" s="334">
        <f>+D22*$I$9</f>
        <v>0</v>
      </c>
      <c r="G22" s="334">
        <f>+E22-F22</f>
        <v>0</v>
      </c>
      <c r="H22" s="334">
        <f>IF(+$I$8="No",0,'Order 864-1'!K19)</f>
        <v>0</v>
      </c>
      <c r="I22" s="334">
        <f t="shared" ref="I22" si="3">+G22-H22</f>
        <v>0</v>
      </c>
      <c r="J22" s="337" t="s">
        <v>247</v>
      </c>
      <c r="K22" s="342">
        <f t="shared" si="1"/>
        <v>7</v>
      </c>
      <c r="L22" s="354"/>
    </row>
    <row r="23" spans="1:12" x14ac:dyDescent="0.25">
      <c r="A23" s="342">
        <f t="shared" si="0"/>
        <v>8</v>
      </c>
      <c r="B23" s="359" t="s">
        <v>904</v>
      </c>
      <c r="C23" s="342"/>
      <c r="D23" s="363"/>
      <c r="E23" s="363"/>
      <c r="F23" s="334"/>
      <c r="G23" s="334"/>
      <c r="H23" s="334"/>
      <c r="I23" s="334"/>
      <c r="J23" s="337"/>
      <c r="K23" s="342">
        <f t="shared" si="1"/>
        <v>8</v>
      </c>
      <c r="L23" s="354"/>
    </row>
    <row r="24" spans="1:12" x14ac:dyDescent="0.25">
      <c r="A24" s="342">
        <f t="shared" si="0"/>
        <v>9</v>
      </c>
      <c r="B24" s="359" t="s">
        <v>905</v>
      </c>
      <c r="C24" s="342">
        <v>283</v>
      </c>
      <c r="D24" s="363"/>
      <c r="E24" s="363"/>
      <c r="F24" s="334">
        <f>+D24*$I$9</f>
        <v>0</v>
      </c>
      <c r="G24" s="334">
        <f>+E24-F24</f>
        <v>0</v>
      </c>
      <c r="H24" s="334">
        <f>IF(+$I$8="No",0,'Order 864-1'!K21)</f>
        <v>0</v>
      </c>
      <c r="I24" s="334">
        <f t="shared" ref="I24:I25" si="4">+G24-H24</f>
        <v>0</v>
      </c>
      <c r="J24" s="337" t="s">
        <v>247</v>
      </c>
      <c r="K24" s="342">
        <f t="shared" si="1"/>
        <v>9</v>
      </c>
      <c r="L24" s="354"/>
    </row>
    <row r="25" spans="1:12" x14ac:dyDescent="0.25">
      <c r="A25" s="342">
        <f t="shared" si="0"/>
        <v>10</v>
      </c>
      <c r="B25" s="359" t="s">
        <v>906</v>
      </c>
      <c r="C25" s="342">
        <v>283</v>
      </c>
      <c r="D25" s="363"/>
      <c r="E25" s="363"/>
      <c r="F25" s="334">
        <f>+D25*$I$9</f>
        <v>0</v>
      </c>
      <c r="G25" s="334">
        <f>+E25-F25</f>
        <v>0</v>
      </c>
      <c r="H25" s="334">
        <f>IF(+$I$8="No",0,'Order 864-1'!K22)</f>
        <v>0</v>
      </c>
      <c r="I25" s="334">
        <f t="shared" si="4"/>
        <v>0</v>
      </c>
      <c r="J25" s="337" t="s">
        <v>247</v>
      </c>
      <c r="K25" s="342">
        <f t="shared" si="1"/>
        <v>10</v>
      </c>
      <c r="L25" s="354"/>
    </row>
    <row r="26" spans="1:12" x14ac:dyDescent="0.25">
      <c r="A26" s="342">
        <f t="shared" si="0"/>
        <v>11</v>
      </c>
      <c r="B26" s="376"/>
      <c r="C26" s="392"/>
      <c r="D26" s="356"/>
      <c r="E26" s="356"/>
      <c r="F26" s="356"/>
      <c r="G26" s="356"/>
      <c r="H26" s="356"/>
      <c r="I26" s="356"/>
      <c r="J26" s="359"/>
      <c r="K26" s="342">
        <f t="shared" si="1"/>
        <v>11</v>
      </c>
      <c r="L26" s="392"/>
    </row>
    <row r="27" spans="1:12" ht="15.75" thickBot="1" x14ac:dyDescent="0.3">
      <c r="A27" s="342">
        <f t="shared" si="0"/>
        <v>12</v>
      </c>
      <c r="B27" s="376" t="s">
        <v>927</v>
      </c>
      <c r="C27" s="359"/>
      <c r="D27" s="357">
        <f>SUM(D17:D25)</f>
        <v>0</v>
      </c>
      <c r="E27" s="357">
        <f t="shared" ref="E27:I27" si="5">SUM(E17:E25)</f>
        <v>0</v>
      </c>
      <c r="F27" s="357">
        <f t="shared" si="5"/>
        <v>0</v>
      </c>
      <c r="G27" s="357">
        <f t="shared" si="5"/>
        <v>0</v>
      </c>
      <c r="H27" s="357">
        <f t="shared" si="5"/>
        <v>0</v>
      </c>
      <c r="I27" s="357">
        <f t="shared" si="5"/>
        <v>0</v>
      </c>
      <c r="J27" s="376" t="s">
        <v>916</v>
      </c>
      <c r="K27" s="342">
        <f t="shared" si="1"/>
        <v>12</v>
      </c>
      <c r="L27" s="392"/>
    </row>
    <row r="28" spans="1:12" ht="15.75" thickTop="1" x14ac:dyDescent="0.25">
      <c r="A28" s="342">
        <f t="shared" si="0"/>
        <v>13</v>
      </c>
      <c r="B28" s="393"/>
      <c r="C28" s="394"/>
      <c r="D28" s="358"/>
      <c r="E28" s="358"/>
      <c r="F28" s="358"/>
      <c r="G28" s="358"/>
      <c r="H28" s="358"/>
      <c r="I28" s="358"/>
      <c r="J28" s="359"/>
      <c r="K28" s="342">
        <f t="shared" si="1"/>
        <v>13</v>
      </c>
      <c r="L28" s="392"/>
    </row>
    <row r="29" spans="1:12" x14ac:dyDescent="0.25">
      <c r="A29" s="342">
        <f t="shared" si="0"/>
        <v>14</v>
      </c>
      <c r="B29" s="359" t="s">
        <v>928</v>
      </c>
      <c r="C29" s="381"/>
      <c r="D29" s="359"/>
      <c r="E29" s="359"/>
      <c r="F29" s="359"/>
      <c r="G29" s="359"/>
      <c r="H29" s="359"/>
      <c r="I29" s="359"/>
      <c r="J29" s="359"/>
      <c r="K29" s="342">
        <f t="shared" si="1"/>
        <v>14</v>
      </c>
      <c r="L29" s="375"/>
    </row>
    <row r="30" spans="1:12" x14ac:dyDescent="0.25">
      <c r="A30" s="342">
        <f t="shared" si="0"/>
        <v>15</v>
      </c>
      <c r="B30" s="359" t="s">
        <v>420</v>
      </c>
      <c r="C30" s="375">
        <v>190</v>
      </c>
      <c r="D30" s="363"/>
      <c r="E30" s="363"/>
      <c r="F30" s="359">
        <f>+D30*$I$9</f>
        <v>0</v>
      </c>
      <c r="G30" s="359">
        <f>+E30-F30</f>
        <v>0</v>
      </c>
      <c r="H30" s="359">
        <f>IF(+$I$8="No",0,'Order 864-1'!K27)</f>
        <v>0</v>
      </c>
      <c r="I30" s="359">
        <f>+G30-H30</f>
        <v>0</v>
      </c>
      <c r="J30" s="376" t="s">
        <v>247</v>
      </c>
      <c r="K30" s="342">
        <f t="shared" si="1"/>
        <v>15</v>
      </c>
      <c r="L30" s="375"/>
    </row>
    <row r="31" spans="1:12" x14ac:dyDescent="0.25">
      <c r="A31" s="342">
        <f t="shared" si="0"/>
        <v>16</v>
      </c>
      <c r="B31" s="359" t="s">
        <v>907</v>
      </c>
      <c r="C31" s="375"/>
      <c r="D31" s="363"/>
      <c r="E31" s="363"/>
      <c r="F31" s="359"/>
      <c r="G31" s="359"/>
      <c r="H31" s="359"/>
      <c r="I31" s="359"/>
      <c r="J31" s="376"/>
      <c r="K31" s="342">
        <f t="shared" si="1"/>
        <v>16</v>
      </c>
      <c r="L31" s="375"/>
    </row>
    <row r="32" spans="1:12" x14ac:dyDescent="0.25">
      <c r="A32" s="342">
        <f t="shared" si="0"/>
        <v>17</v>
      </c>
      <c r="B32" s="359" t="s">
        <v>908</v>
      </c>
      <c r="C32" s="375">
        <v>282</v>
      </c>
      <c r="D32" s="363"/>
      <c r="E32" s="363"/>
      <c r="F32" s="359">
        <f t="shared" ref="F32:F34" si="6">+D32*$I$9</f>
        <v>0</v>
      </c>
      <c r="G32" s="359">
        <f t="shared" ref="G32:G34" si="7">+E32-F32</f>
        <v>0</v>
      </c>
      <c r="H32" s="359">
        <f>IF(+$I$8="No",0,'Order 864-1'!K29)</f>
        <v>0</v>
      </c>
      <c r="I32" s="359">
        <f t="shared" ref="I32:I34" si="8">+G32-H32</f>
        <v>0</v>
      </c>
      <c r="J32" s="376" t="s">
        <v>247</v>
      </c>
      <c r="K32" s="342">
        <f t="shared" si="1"/>
        <v>17</v>
      </c>
      <c r="L32" s="375"/>
    </row>
    <row r="33" spans="1:12" x14ac:dyDescent="0.25">
      <c r="A33" s="342">
        <f t="shared" si="0"/>
        <v>18</v>
      </c>
      <c r="B33" s="359" t="s">
        <v>909</v>
      </c>
      <c r="C33" s="375">
        <v>282</v>
      </c>
      <c r="D33" s="363"/>
      <c r="E33" s="363"/>
      <c r="F33" s="359">
        <f t="shared" si="6"/>
        <v>0</v>
      </c>
      <c r="G33" s="359">
        <f t="shared" si="7"/>
        <v>0</v>
      </c>
      <c r="H33" s="359">
        <f>IF(+$I$8="No",0,'Order 864-1'!K30)</f>
        <v>0</v>
      </c>
      <c r="I33" s="359">
        <f t="shared" si="8"/>
        <v>0</v>
      </c>
      <c r="J33" s="376" t="s">
        <v>247</v>
      </c>
      <c r="K33" s="342">
        <f t="shared" si="1"/>
        <v>18</v>
      </c>
      <c r="L33" s="375"/>
    </row>
    <row r="34" spans="1:12" x14ac:dyDescent="0.25">
      <c r="A34" s="342">
        <f t="shared" si="0"/>
        <v>19</v>
      </c>
      <c r="B34" s="359" t="s">
        <v>910</v>
      </c>
      <c r="C34" s="375">
        <v>282</v>
      </c>
      <c r="D34" s="363"/>
      <c r="E34" s="363"/>
      <c r="F34" s="359">
        <f t="shared" si="6"/>
        <v>0</v>
      </c>
      <c r="G34" s="359">
        <f t="shared" si="7"/>
        <v>0</v>
      </c>
      <c r="H34" s="359">
        <f>IF(+$I$8="No",0,'Order 864-1'!K31)</f>
        <v>0</v>
      </c>
      <c r="I34" s="359">
        <f t="shared" si="8"/>
        <v>0</v>
      </c>
      <c r="J34" s="376" t="s">
        <v>247</v>
      </c>
      <c r="K34" s="342">
        <f t="shared" si="1"/>
        <v>19</v>
      </c>
      <c r="L34" s="375"/>
    </row>
    <row r="35" spans="1:12" x14ac:dyDescent="0.25">
      <c r="A35" s="342">
        <f t="shared" si="0"/>
        <v>20</v>
      </c>
      <c r="B35" s="376" t="s">
        <v>843</v>
      </c>
      <c r="C35" s="377"/>
      <c r="D35" s="367">
        <f>SUM(D30:D34)</f>
        <v>0</v>
      </c>
      <c r="E35" s="367">
        <f t="shared" ref="E35:I35" si="9">SUM(E30:E34)</f>
        <v>0</v>
      </c>
      <c r="F35" s="367">
        <f t="shared" si="9"/>
        <v>0</v>
      </c>
      <c r="G35" s="367">
        <f t="shared" si="9"/>
        <v>0</v>
      </c>
      <c r="H35" s="367">
        <f t="shared" si="9"/>
        <v>0</v>
      </c>
      <c r="I35" s="367">
        <f t="shared" si="9"/>
        <v>0</v>
      </c>
      <c r="J35" s="376" t="s">
        <v>917</v>
      </c>
      <c r="K35" s="342">
        <f t="shared" si="1"/>
        <v>20</v>
      </c>
      <c r="L35" s="375"/>
    </row>
    <row r="36" spans="1:12" x14ac:dyDescent="0.25">
      <c r="A36" s="342">
        <f t="shared" si="0"/>
        <v>21</v>
      </c>
      <c r="B36" s="359"/>
      <c r="C36" s="377"/>
      <c r="D36" s="359"/>
      <c r="E36" s="359"/>
      <c r="F36" s="359"/>
      <c r="G36" s="359"/>
      <c r="H36" s="359"/>
      <c r="I36" s="359"/>
      <c r="J36" s="359"/>
      <c r="K36" s="342">
        <f t="shared" si="1"/>
        <v>21</v>
      </c>
      <c r="L36" s="375"/>
    </row>
    <row r="37" spans="1:12" x14ac:dyDescent="0.25">
      <c r="A37" s="342">
        <f t="shared" si="0"/>
        <v>22</v>
      </c>
      <c r="B37" s="359" t="s">
        <v>929</v>
      </c>
      <c r="C37" s="382"/>
      <c r="D37" s="359"/>
      <c r="E37" s="359"/>
      <c r="F37" s="359"/>
      <c r="G37" s="359"/>
      <c r="H37" s="359"/>
      <c r="I37" s="359"/>
      <c r="J37" s="359"/>
      <c r="K37" s="342">
        <f t="shared" si="1"/>
        <v>22</v>
      </c>
      <c r="L37" s="375"/>
    </row>
    <row r="38" spans="1:12" x14ac:dyDescent="0.25">
      <c r="A38" s="342">
        <f t="shared" si="0"/>
        <v>23</v>
      </c>
      <c r="B38" s="359" t="s">
        <v>844</v>
      </c>
      <c r="C38" s="375">
        <v>282</v>
      </c>
      <c r="D38" s="363"/>
      <c r="E38" s="363"/>
      <c r="F38" s="359">
        <f t="shared" ref="F38:F40" si="10">+D38*$I$9</f>
        <v>0</v>
      </c>
      <c r="G38" s="359">
        <f t="shared" ref="G38:G40" si="11">+E38-F38</f>
        <v>0</v>
      </c>
      <c r="H38" s="359">
        <f>IF(+$I$8="No",0,'Order 864-1'!K35)</f>
        <v>0</v>
      </c>
      <c r="I38" s="359">
        <f t="shared" ref="I38:I40" si="12">+G38-H38</f>
        <v>0</v>
      </c>
      <c r="J38" s="376" t="s">
        <v>247</v>
      </c>
      <c r="K38" s="342">
        <f t="shared" si="1"/>
        <v>23</v>
      </c>
      <c r="L38" s="375"/>
    </row>
    <row r="39" spans="1:12" x14ac:dyDescent="0.25">
      <c r="A39" s="342">
        <f t="shared" si="0"/>
        <v>24</v>
      </c>
      <c r="B39" s="359" t="s">
        <v>845</v>
      </c>
      <c r="C39" s="375">
        <v>282</v>
      </c>
      <c r="D39" s="363"/>
      <c r="E39" s="363"/>
      <c r="F39" s="359">
        <f t="shared" si="10"/>
        <v>0</v>
      </c>
      <c r="G39" s="359">
        <f t="shared" si="11"/>
        <v>0</v>
      </c>
      <c r="H39" s="359">
        <f>IF(+$I$8="No",0,'Order 864-1'!K36)</f>
        <v>0</v>
      </c>
      <c r="I39" s="359">
        <f t="shared" si="12"/>
        <v>0</v>
      </c>
      <c r="J39" s="376" t="s">
        <v>247</v>
      </c>
      <c r="K39" s="342">
        <f t="shared" si="1"/>
        <v>24</v>
      </c>
      <c r="L39" s="375"/>
    </row>
    <row r="40" spans="1:12" x14ac:dyDescent="0.25">
      <c r="A40" s="342">
        <f t="shared" si="0"/>
        <v>25</v>
      </c>
      <c r="B40" s="359" t="s">
        <v>846</v>
      </c>
      <c r="C40" s="383">
        <v>282</v>
      </c>
      <c r="D40" s="363"/>
      <c r="E40" s="363"/>
      <c r="F40" s="359">
        <f t="shared" si="10"/>
        <v>0</v>
      </c>
      <c r="G40" s="359">
        <f t="shared" si="11"/>
        <v>0</v>
      </c>
      <c r="H40" s="359">
        <f>IF(+$I$8="No",0,'Order 864-1'!K37)</f>
        <v>0</v>
      </c>
      <c r="I40" s="359">
        <f t="shared" si="12"/>
        <v>0</v>
      </c>
      <c r="J40" s="376" t="s">
        <v>247</v>
      </c>
      <c r="K40" s="342">
        <f t="shared" si="1"/>
        <v>25</v>
      </c>
      <c r="L40" s="375"/>
    </row>
    <row r="41" spans="1:12" x14ac:dyDescent="0.25">
      <c r="A41" s="342">
        <f t="shared" si="0"/>
        <v>26</v>
      </c>
      <c r="B41" s="376" t="s">
        <v>843</v>
      </c>
      <c r="C41" s="377"/>
      <c r="D41" s="367">
        <f t="shared" ref="D41:I41" si="13">SUM(D38:D40)</f>
        <v>0</v>
      </c>
      <c r="E41" s="367">
        <f t="shared" si="13"/>
        <v>0</v>
      </c>
      <c r="F41" s="367">
        <f t="shared" si="13"/>
        <v>0</v>
      </c>
      <c r="G41" s="367">
        <f t="shared" si="13"/>
        <v>0</v>
      </c>
      <c r="H41" s="367">
        <f t="shared" si="13"/>
        <v>0</v>
      </c>
      <c r="I41" s="367">
        <f t="shared" si="13"/>
        <v>0</v>
      </c>
      <c r="J41" s="376" t="s">
        <v>918</v>
      </c>
      <c r="K41" s="342">
        <f t="shared" si="1"/>
        <v>26</v>
      </c>
      <c r="L41" s="375"/>
    </row>
    <row r="42" spans="1:12" x14ac:dyDescent="0.25">
      <c r="A42" s="342">
        <f t="shared" si="0"/>
        <v>27</v>
      </c>
      <c r="B42" s="359"/>
      <c r="C42" s="377"/>
      <c r="D42" s="386"/>
      <c r="E42" s="378"/>
      <c r="F42" s="386"/>
      <c r="G42" s="386"/>
      <c r="H42" s="386"/>
      <c r="I42" s="386"/>
      <c r="J42" s="359"/>
      <c r="K42" s="342">
        <f t="shared" si="1"/>
        <v>27</v>
      </c>
      <c r="L42" s="375"/>
    </row>
    <row r="43" spans="1:12" x14ac:dyDescent="0.25">
      <c r="A43" s="342">
        <f t="shared" si="0"/>
        <v>28</v>
      </c>
      <c r="B43" s="359" t="s">
        <v>929</v>
      </c>
      <c r="C43" s="377"/>
      <c r="D43" s="377"/>
      <c r="E43" s="380"/>
      <c r="F43" s="377"/>
      <c r="G43" s="377"/>
      <c r="H43" s="377"/>
      <c r="I43" s="377"/>
      <c r="J43" s="359"/>
      <c r="K43" s="342">
        <f t="shared" si="1"/>
        <v>28</v>
      </c>
      <c r="L43" s="375"/>
    </row>
    <row r="44" spans="1:12" x14ac:dyDescent="0.25">
      <c r="A44" s="342">
        <f t="shared" si="0"/>
        <v>29</v>
      </c>
      <c r="B44" s="359" t="s">
        <v>887</v>
      </c>
      <c r="C44" s="383">
        <v>282</v>
      </c>
      <c r="D44" s="395"/>
      <c r="E44" s="395"/>
      <c r="F44" s="396">
        <f>+D44*$I$9</f>
        <v>0</v>
      </c>
      <c r="G44" s="396">
        <f>+E44-F44</f>
        <v>0</v>
      </c>
      <c r="H44" s="396">
        <f>IF(+$I$8="No",0,'Order 864-1'!K41)</f>
        <v>0</v>
      </c>
      <c r="I44" s="396">
        <f>+G44-H44</f>
        <v>0</v>
      </c>
      <c r="J44" s="376" t="s">
        <v>247</v>
      </c>
      <c r="K44" s="342">
        <f t="shared" si="1"/>
        <v>29</v>
      </c>
      <c r="L44" s="375"/>
    </row>
    <row r="45" spans="1:12" x14ac:dyDescent="0.25">
      <c r="A45" s="342">
        <f t="shared" si="0"/>
        <v>30</v>
      </c>
      <c r="B45" s="359"/>
      <c r="C45" s="377"/>
      <c r="D45" s="386"/>
      <c r="E45" s="386"/>
      <c r="F45" s="386"/>
      <c r="G45" s="386"/>
      <c r="H45" s="386"/>
      <c r="I45" s="386"/>
      <c r="J45" s="359"/>
      <c r="K45" s="342">
        <f t="shared" si="1"/>
        <v>30</v>
      </c>
      <c r="L45" s="375"/>
    </row>
    <row r="46" spans="1:12" ht="15.75" thickBot="1" x14ac:dyDescent="0.3">
      <c r="A46" s="342">
        <f t="shared" si="0"/>
        <v>31</v>
      </c>
      <c r="B46" s="376" t="s">
        <v>931</v>
      </c>
      <c r="C46" s="377"/>
      <c r="D46" s="357">
        <f t="shared" ref="D46:I46" si="14">+D44+D41+D35</f>
        <v>0</v>
      </c>
      <c r="E46" s="357">
        <f t="shared" si="14"/>
        <v>0</v>
      </c>
      <c r="F46" s="357">
        <f t="shared" si="14"/>
        <v>0</v>
      </c>
      <c r="G46" s="357">
        <f t="shared" si="14"/>
        <v>0</v>
      </c>
      <c r="H46" s="357">
        <f t="shared" si="14"/>
        <v>0</v>
      </c>
      <c r="I46" s="357">
        <f t="shared" si="14"/>
        <v>0</v>
      </c>
      <c r="J46" s="443" t="s">
        <v>919</v>
      </c>
      <c r="K46" s="342">
        <f t="shared" si="1"/>
        <v>31</v>
      </c>
      <c r="L46" s="375"/>
    </row>
    <row r="47" spans="1:12" ht="15.75" thickTop="1" x14ac:dyDescent="0.25">
      <c r="A47" s="342">
        <f t="shared" si="0"/>
        <v>32</v>
      </c>
      <c r="B47" s="359"/>
      <c r="C47" s="377"/>
      <c r="D47" s="387"/>
      <c r="E47" s="387"/>
      <c r="F47" s="387"/>
      <c r="G47" s="387"/>
      <c r="H47" s="387"/>
      <c r="I47" s="387"/>
      <c r="J47" s="359"/>
      <c r="K47" s="342">
        <f t="shared" si="1"/>
        <v>32</v>
      </c>
      <c r="L47" s="375"/>
    </row>
    <row r="48" spans="1:12" ht="15.75" thickBot="1" x14ac:dyDescent="0.3">
      <c r="A48" s="342">
        <f t="shared" si="0"/>
        <v>33</v>
      </c>
      <c r="B48" s="376" t="s">
        <v>932</v>
      </c>
      <c r="C48" s="359"/>
      <c r="D48" s="357">
        <f t="shared" ref="D48:I48" si="15">D46+D27</f>
        <v>0</v>
      </c>
      <c r="E48" s="357">
        <f t="shared" si="15"/>
        <v>0</v>
      </c>
      <c r="F48" s="357">
        <f t="shared" si="15"/>
        <v>0</v>
      </c>
      <c r="G48" s="357">
        <f t="shared" si="15"/>
        <v>0</v>
      </c>
      <c r="H48" s="357">
        <f t="shared" si="15"/>
        <v>0</v>
      </c>
      <c r="I48" s="357">
        <f t="shared" si="15"/>
        <v>0</v>
      </c>
      <c r="J48" s="376" t="s">
        <v>920</v>
      </c>
      <c r="K48" s="342">
        <f t="shared" si="1"/>
        <v>33</v>
      </c>
      <c r="L48" s="375"/>
    </row>
    <row r="49" spans="1:12" ht="15.75" thickTop="1" x14ac:dyDescent="0.25">
      <c r="A49" s="375"/>
      <c r="B49" s="359"/>
      <c r="C49" s="359"/>
      <c r="D49" s="359"/>
      <c r="E49" s="359"/>
      <c r="F49" s="359"/>
      <c r="G49" s="359"/>
      <c r="H49" s="359"/>
      <c r="I49" s="359"/>
      <c r="J49" s="359"/>
      <c r="K49" s="359"/>
      <c r="L49" s="359"/>
    </row>
    <row r="50" spans="1:12" x14ac:dyDescent="0.25">
      <c r="A50" s="375"/>
      <c r="B50" s="346" t="s">
        <v>856</v>
      </c>
      <c r="C50" s="359"/>
      <c r="D50" s="359"/>
      <c r="E50" s="359"/>
      <c r="F50" s="359"/>
      <c r="G50" s="359"/>
      <c r="H50" s="359"/>
      <c r="I50" s="359"/>
      <c r="J50" s="359"/>
      <c r="K50" s="359"/>
      <c r="L50" s="359"/>
    </row>
    <row r="51" spans="1:12" ht="16.5" x14ac:dyDescent="0.35">
      <c r="A51" s="375"/>
      <c r="B51" s="390" t="s">
        <v>897</v>
      </c>
      <c r="C51" s="359"/>
      <c r="D51" s="359"/>
      <c r="E51" s="359"/>
      <c r="F51" s="359"/>
      <c r="G51" s="359"/>
      <c r="H51" s="359"/>
      <c r="I51" s="359"/>
      <c r="J51" s="359"/>
      <c r="K51" s="359"/>
      <c r="L51" s="359"/>
    </row>
    <row r="52" spans="1:12" x14ac:dyDescent="0.25">
      <c r="A52" s="375"/>
      <c r="B52" s="390" t="s">
        <v>857</v>
      </c>
      <c r="C52" s="359"/>
      <c r="D52" s="359"/>
      <c r="E52" s="359"/>
      <c r="F52" s="359"/>
      <c r="G52" s="359"/>
      <c r="H52" s="359"/>
      <c r="I52" s="359"/>
      <c r="J52" s="359"/>
      <c r="K52" s="359"/>
      <c r="L52" s="359"/>
    </row>
    <row r="53" spans="1:12" x14ac:dyDescent="0.25">
      <c r="A53" s="375"/>
      <c r="B53" s="346" t="s">
        <v>847</v>
      </c>
      <c r="C53" s="388"/>
      <c r="D53" s="359"/>
      <c r="E53" s="359"/>
      <c r="F53" s="359"/>
      <c r="G53" s="359"/>
      <c r="H53" s="359"/>
      <c r="I53" s="359"/>
      <c r="J53" s="359"/>
      <c r="K53" s="359"/>
      <c r="L53" s="359"/>
    </row>
    <row r="54" spans="1:12" x14ac:dyDescent="0.25">
      <c r="A54" s="375"/>
      <c r="B54" s="456" t="s">
        <v>954</v>
      </c>
      <c r="C54" s="389"/>
      <c r="D54" s="389"/>
      <c r="E54" s="389"/>
      <c r="F54" s="359"/>
      <c r="G54" s="359"/>
      <c r="H54" s="359"/>
      <c r="I54" s="359"/>
      <c r="J54" s="359"/>
      <c r="K54" s="359"/>
      <c r="L54" s="359"/>
    </row>
    <row r="55" spans="1:12" x14ac:dyDescent="0.25">
      <c r="A55" s="389"/>
      <c r="B55" s="456" t="s">
        <v>959</v>
      </c>
      <c r="C55" s="389"/>
      <c r="D55" s="389"/>
      <c r="E55" s="389"/>
      <c r="F55" s="389"/>
      <c r="G55" s="389"/>
      <c r="H55" s="389"/>
      <c r="I55" s="389"/>
      <c r="J55" s="359"/>
      <c r="K55" s="359"/>
      <c r="L55" s="359"/>
    </row>
    <row r="56" spans="1:12" x14ac:dyDescent="0.25">
      <c r="A56" s="389"/>
      <c r="B56" s="456" t="s">
        <v>960</v>
      </c>
      <c r="C56" s="389"/>
      <c r="D56" s="389"/>
      <c r="E56" s="389"/>
      <c r="F56" s="389"/>
      <c r="G56" s="389"/>
      <c r="H56" s="389"/>
      <c r="I56" s="389"/>
      <c r="J56" s="359"/>
      <c r="K56" s="359"/>
      <c r="L56" s="359"/>
    </row>
    <row r="57" spans="1:12" x14ac:dyDescent="0.25">
      <c r="A57" s="389"/>
      <c r="B57" s="456" t="s">
        <v>930</v>
      </c>
      <c r="C57" s="389"/>
      <c r="D57" s="389"/>
      <c r="E57" s="389"/>
      <c r="F57" s="389"/>
      <c r="G57" s="389"/>
      <c r="H57" s="389"/>
      <c r="I57" s="389"/>
      <c r="J57" s="359"/>
      <c r="K57" s="359"/>
      <c r="L57" s="359"/>
    </row>
    <row r="58" spans="1:12" x14ac:dyDescent="0.25">
      <c r="A58" s="389"/>
      <c r="B58" s="456" t="s">
        <v>968</v>
      </c>
      <c r="C58" s="389"/>
      <c r="D58" s="389"/>
      <c r="E58" s="389"/>
      <c r="F58" s="389"/>
      <c r="G58" s="389"/>
      <c r="H58" s="389"/>
      <c r="I58" s="389"/>
      <c r="J58" s="359"/>
      <c r="K58" s="359"/>
      <c r="L58" s="359"/>
    </row>
    <row r="59" spans="1:12" x14ac:dyDescent="0.25">
      <c r="A59" s="397"/>
      <c r="B59" s="456" t="s">
        <v>955</v>
      </c>
      <c r="C59" s="397"/>
      <c r="D59" s="397"/>
      <c r="E59" s="397"/>
      <c r="F59" s="397"/>
      <c r="G59" s="397"/>
      <c r="H59" s="397"/>
      <c r="I59" s="397"/>
      <c r="J59" s="359"/>
      <c r="K59" s="359"/>
      <c r="L59" s="359"/>
    </row>
    <row r="60" spans="1:12" x14ac:dyDescent="0.25">
      <c r="A60" s="375"/>
      <c r="B60" s="456" t="s">
        <v>956</v>
      </c>
      <c r="C60" s="359"/>
      <c r="D60" s="359"/>
      <c r="E60" s="359"/>
      <c r="F60" s="359"/>
      <c r="G60" s="398"/>
      <c r="H60" s="398"/>
      <c r="I60" s="398"/>
      <c r="J60" s="377"/>
      <c r="K60" s="377"/>
      <c r="L60" s="377"/>
    </row>
    <row r="61" spans="1:12" x14ac:dyDescent="0.25">
      <c r="A61" s="375"/>
      <c r="B61" s="456" t="s">
        <v>961</v>
      </c>
      <c r="C61" s="359"/>
      <c r="D61" s="359"/>
      <c r="E61" s="359"/>
      <c r="F61" s="359"/>
      <c r="G61" s="398"/>
      <c r="H61" s="398"/>
      <c r="I61" s="398"/>
      <c r="J61" s="377"/>
      <c r="K61" s="377"/>
      <c r="L61" s="377"/>
    </row>
    <row r="62" spans="1:12" x14ac:dyDescent="0.25">
      <c r="A62" s="375"/>
      <c r="B62" s="456" t="s">
        <v>957</v>
      </c>
      <c r="C62" s="399"/>
      <c r="D62" s="400"/>
      <c r="E62" s="359"/>
      <c r="F62" s="359"/>
      <c r="G62" s="398"/>
      <c r="H62" s="398"/>
      <c r="I62" s="398"/>
      <c r="J62" s="377"/>
      <c r="K62" s="377"/>
      <c r="L62" s="377"/>
    </row>
    <row r="63" spans="1:12" x14ac:dyDescent="0.25">
      <c r="A63" s="342"/>
      <c r="B63" s="390"/>
      <c r="C63" s="359"/>
      <c r="D63" s="359"/>
      <c r="E63" s="359"/>
      <c r="F63" s="359"/>
      <c r="G63" s="398"/>
      <c r="H63" s="398"/>
      <c r="I63" s="398"/>
      <c r="J63" s="377"/>
      <c r="K63" s="377"/>
      <c r="L63" s="377"/>
    </row>
    <row r="64" spans="1:12" x14ac:dyDescent="0.25">
      <c r="A64" s="342"/>
      <c r="B64" s="344"/>
      <c r="C64" s="348"/>
      <c r="D64" s="336"/>
      <c r="E64" s="334"/>
      <c r="F64" s="334"/>
      <c r="J64" s="355"/>
      <c r="K64" s="355"/>
      <c r="L64" s="355"/>
    </row>
    <row r="65" spans="1:12" x14ac:dyDescent="0.25">
      <c r="A65" s="342"/>
      <c r="B65" s="344"/>
      <c r="C65" s="348"/>
      <c r="D65" s="349"/>
      <c r="E65" s="334"/>
      <c r="F65" s="334"/>
      <c r="J65" s="355"/>
      <c r="K65" s="355"/>
      <c r="L65" s="355"/>
    </row>
    <row r="66" spans="1:12" x14ac:dyDescent="0.25">
      <c r="A66" s="342"/>
      <c r="B66" s="347"/>
      <c r="C66" s="344"/>
      <c r="D66" s="344"/>
      <c r="E66" s="344"/>
      <c r="F66" s="344"/>
      <c r="J66" s="355"/>
      <c r="K66" s="355"/>
      <c r="L66" s="355"/>
    </row>
    <row r="67" spans="1:12" x14ac:dyDescent="0.25">
      <c r="A67" s="344"/>
      <c r="B67" s="344"/>
      <c r="C67" s="348"/>
      <c r="D67" s="336"/>
      <c r="E67" s="344"/>
      <c r="F67" s="344"/>
      <c r="J67" s="355"/>
      <c r="K67" s="355"/>
      <c r="L67" s="355"/>
    </row>
    <row r="68" spans="1:12" x14ac:dyDescent="0.25">
      <c r="A68" s="344"/>
      <c r="B68" s="344"/>
      <c r="C68" s="348"/>
      <c r="D68" s="349"/>
      <c r="E68" s="344"/>
      <c r="F68" s="344"/>
      <c r="J68" s="355"/>
      <c r="K68" s="355"/>
      <c r="L68" s="355"/>
    </row>
    <row r="69" spans="1:12" x14ac:dyDescent="0.25">
      <c r="A69" s="344"/>
      <c r="B69" s="347"/>
      <c r="C69" s="344"/>
      <c r="D69" s="344"/>
      <c r="E69" s="344"/>
      <c r="F69" s="344"/>
      <c r="J69" s="355"/>
      <c r="K69" s="355"/>
      <c r="L69" s="355"/>
    </row>
    <row r="70" spans="1:12" x14ac:dyDescent="0.25">
      <c r="J70" s="355"/>
      <c r="K70" s="355"/>
      <c r="L70" s="355"/>
    </row>
    <row r="71" spans="1:12" x14ac:dyDescent="0.25">
      <c r="J71" s="355"/>
      <c r="K71" s="355"/>
      <c r="L71" s="355"/>
    </row>
    <row r="72" spans="1:12" x14ac:dyDescent="0.25">
      <c r="J72" s="355"/>
      <c r="K72" s="355"/>
      <c r="L72" s="355"/>
    </row>
    <row r="73" spans="1:12" x14ac:dyDescent="0.25">
      <c r="J73" s="355"/>
      <c r="K73" s="355"/>
      <c r="L73" s="355"/>
    </row>
    <row r="74" spans="1:12" x14ac:dyDescent="0.25">
      <c r="J74" s="355"/>
      <c r="K74" s="355"/>
      <c r="L74" s="355"/>
    </row>
    <row r="75" spans="1:12" x14ac:dyDescent="0.25">
      <c r="J75" s="355"/>
      <c r="K75" s="355"/>
      <c r="L75" s="355"/>
    </row>
    <row r="76" spans="1:12" x14ac:dyDescent="0.25">
      <c r="J76" s="355"/>
      <c r="K76" s="355"/>
      <c r="L76" s="355"/>
    </row>
    <row r="77" spans="1:12" x14ac:dyDescent="0.25">
      <c r="J77" s="355"/>
      <c r="K77" s="355"/>
      <c r="L77" s="355"/>
    </row>
    <row r="78" spans="1:12" x14ac:dyDescent="0.25">
      <c r="J78" s="355"/>
      <c r="K78" s="355"/>
      <c r="L78" s="355"/>
    </row>
    <row r="79" spans="1:12" x14ac:dyDescent="0.25">
      <c r="J79" s="355"/>
      <c r="K79" s="355"/>
      <c r="L79" s="355"/>
    </row>
    <row r="80" spans="1:12" x14ac:dyDescent="0.25">
      <c r="J80" s="355"/>
      <c r="K80" s="355"/>
      <c r="L80" s="355"/>
    </row>
    <row r="81" spans="10:12" x14ac:dyDescent="0.25">
      <c r="J81" s="355"/>
      <c r="K81" s="355"/>
      <c r="L81" s="355"/>
    </row>
    <row r="82" spans="10:12" x14ac:dyDescent="0.25">
      <c r="J82" s="355"/>
      <c r="K82" s="355"/>
      <c r="L82" s="355"/>
    </row>
    <row r="83" spans="10:12" x14ac:dyDescent="0.25">
      <c r="J83" s="355"/>
      <c r="K83" s="355"/>
      <c r="L83" s="355"/>
    </row>
    <row r="84" spans="10:12" x14ac:dyDescent="0.25">
      <c r="J84" s="355"/>
      <c r="K84" s="355"/>
      <c r="L84" s="355"/>
    </row>
    <row r="85" spans="10:12" x14ac:dyDescent="0.25">
      <c r="J85" s="355"/>
      <c r="K85" s="355"/>
      <c r="L85" s="355"/>
    </row>
    <row r="86" spans="10:12" x14ac:dyDescent="0.25">
      <c r="J86" s="355"/>
      <c r="K86" s="355"/>
      <c r="L86" s="355"/>
    </row>
    <row r="87" spans="10:12" x14ac:dyDescent="0.25">
      <c r="J87" s="355"/>
      <c r="K87" s="355"/>
      <c r="L87" s="355"/>
    </row>
    <row r="88" spans="10:12" x14ac:dyDescent="0.25">
      <c r="J88" s="355"/>
      <c r="K88" s="355"/>
      <c r="L88" s="355"/>
    </row>
    <row r="89" spans="10:12" x14ac:dyDescent="0.25">
      <c r="J89" s="355"/>
      <c r="K89" s="355"/>
      <c r="L89" s="355"/>
    </row>
    <row r="90" spans="10:12" x14ac:dyDescent="0.25">
      <c r="J90" s="355"/>
      <c r="K90" s="355"/>
      <c r="L90" s="355"/>
    </row>
    <row r="91" spans="10:12" x14ac:dyDescent="0.25">
      <c r="J91" s="355"/>
      <c r="K91" s="355"/>
      <c r="L91" s="355"/>
    </row>
    <row r="92" spans="10:12" x14ac:dyDescent="0.25">
      <c r="J92" s="355"/>
      <c r="K92" s="355"/>
      <c r="L92" s="355"/>
    </row>
    <row r="93" spans="10:12" x14ac:dyDescent="0.25">
      <c r="J93" s="355"/>
      <c r="K93" s="355"/>
      <c r="L93" s="355"/>
    </row>
    <row r="94" spans="10:12" x14ac:dyDescent="0.25">
      <c r="J94" s="355"/>
      <c r="K94" s="355"/>
      <c r="L94" s="355"/>
    </row>
    <row r="95" spans="10:12" x14ac:dyDescent="0.25">
      <c r="J95" s="355"/>
      <c r="K95" s="355"/>
      <c r="L95" s="355"/>
    </row>
    <row r="96" spans="10:12" x14ac:dyDescent="0.25">
      <c r="J96" s="355"/>
      <c r="K96" s="355"/>
      <c r="L96" s="355"/>
    </row>
    <row r="97" spans="10:12" x14ac:dyDescent="0.25">
      <c r="J97" s="355"/>
      <c r="K97" s="355"/>
      <c r="L97" s="355"/>
    </row>
    <row r="98" spans="10:12" x14ac:dyDescent="0.25">
      <c r="J98" s="355"/>
      <c r="K98" s="355"/>
      <c r="L98" s="355"/>
    </row>
  </sheetData>
  <mergeCells count="2">
    <mergeCell ref="B5:J5"/>
    <mergeCell ref="D13:I13"/>
  </mergeCells>
  <printOptions horizontalCentered="1"/>
  <pageMargins left="0.25" right="0.25" top="0.5" bottom="0.5" header="0.25" footer="0.25"/>
  <pageSetup scale="57" orientation="landscape" r:id="rId1"/>
  <headerFooter scaleWithDoc="0">
    <oddFooter>&amp;C&amp;"Times New Roman,Regular"&amp;10&amp;A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7"/>
  <sheetViews>
    <sheetView zoomScale="80" zoomScaleNormal="80" workbookViewId="0"/>
  </sheetViews>
  <sheetFormatPr defaultColWidth="14.5703125" defaultRowHeight="15" x14ac:dyDescent="0.25"/>
  <cols>
    <col min="1" max="1" width="5.7109375" style="398" customWidth="1"/>
    <col min="2" max="2" width="49" style="398" customWidth="1"/>
    <col min="3" max="3" width="8.7109375" style="398" customWidth="1"/>
    <col min="4" max="9" width="15.7109375" style="398" customWidth="1"/>
    <col min="10" max="10" width="16.42578125" style="398" customWidth="1"/>
    <col min="11" max="11" width="17.28515625" style="398" bestFit="1" customWidth="1"/>
    <col min="12" max="12" width="19.28515625" style="398" bestFit="1" customWidth="1"/>
    <col min="13" max="14" width="15.7109375" style="398" customWidth="1"/>
    <col min="15" max="15" width="30.5703125" style="398" customWidth="1"/>
    <col min="16" max="16" width="5.7109375" style="398" customWidth="1"/>
    <col min="17" max="16384" width="14.5703125" style="398"/>
  </cols>
  <sheetData>
    <row r="1" spans="1:17" ht="15.75" x14ac:dyDescent="0.25">
      <c r="A1" s="401"/>
      <c r="B1" s="402" t="s">
        <v>16</v>
      </c>
      <c r="C1" s="403"/>
      <c r="D1" s="403"/>
      <c r="E1" s="403"/>
      <c r="F1" s="403"/>
      <c r="G1" s="403"/>
      <c r="H1" s="403"/>
      <c r="I1" s="403"/>
      <c r="J1" s="403"/>
      <c r="K1" s="403"/>
      <c r="L1" s="403"/>
      <c r="M1" s="403"/>
      <c r="N1" s="403"/>
      <c r="O1" s="403"/>
    </row>
    <row r="2" spans="1:17" x14ac:dyDescent="0.25">
      <c r="A2" s="404"/>
      <c r="B2" s="402" t="s">
        <v>865</v>
      </c>
      <c r="C2" s="403"/>
      <c r="D2" s="403"/>
      <c r="E2" s="403"/>
      <c r="F2" s="403"/>
      <c r="G2" s="403"/>
      <c r="H2" s="403"/>
      <c r="I2" s="403"/>
      <c r="J2" s="403"/>
      <c r="K2" s="403"/>
      <c r="L2" s="403"/>
      <c r="M2" s="403"/>
      <c r="N2" s="403"/>
      <c r="O2" s="403"/>
    </row>
    <row r="3" spans="1:17" x14ac:dyDescent="0.25">
      <c r="A3" s="404"/>
      <c r="B3" s="370" t="s">
        <v>879</v>
      </c>
      <c r="C3" s="403"/>
      <c r="D3" s="403"/>
      <c r="E3" s="403"/>
      <c r="F3" s="403"/>
      <c r="G3" s="403"/>
      <c r="H3" s="403"/>
      <c r="I3" s="403"/>
      <c r="J3" s="403"/>
      <c r="K3" s="403"/>
      <c r="L3" s="403"/>
      <c r="M3" s="403"/>
      <c r="N3" s="403"/>
      <c r="O3" s="403"/>
    </row>
    <row r="4" spans="1:17" x14ac:dyDescent="0.25">
      <c r="A4" s="405"/>
      <c r="B4" s="566" t="s">
        <v>1146</v>
      </c>
      <c r="C4" s="406"/>
      <c r="D4" s="406"/>
      <c r="E4" s="406"/>
      <c r="F4" s="406"/>
      <c r="G4" s="406"/>
      <c r="H4" s="406"/>
      <c r="I4" s="406"/>
      <c r="J4" s="406"/>
      <c r="K4" s="406"/>
      <c r="L4" s="406"/>
      <c r="M4" s="406"/>
      <c r="N4" s="406"/>
      <c r="O4" s="407"/>
      <c r="P4" s="408"/>
      <c r="Q4" s="408"/>
    </row>
    <row r="5" spans="1:17" x14ac:dyDescent="0.25">
      <c r="A5" s="405"/>
      <c r="B5" s="593" t="s">
        <v>1</v>
      </c>
      <c r="C5" s="593"/>
      <c r="D5" s="593"/>
      <c r="E5" s="593"/>
      <c r="F5" s="593"/>
      <c r="G5" s="593"/>
      <c r="H5" s="593"/>
      <c r="I5" s="593"/>
      <c r="J5" s="593"/>
      <c r="K5" s="593"/>
      <c r="L5" s="593"/>
      <c r="M5" s="593"/>
      <c r="N5" s="593"/>
      <c r="O5" s="593"/>
      <c r="P5" s="408"/>
      <c r="Q5" s="408"/>
    </row>
    <row r="6" spans="1:17" x14ac:dyDescent="0.25">
      <c r="A6" s="405"/>
      <c r="B6" s="370"/>
      <c r="C6" s="424"/>
      <c r="D6" s="424"/>
      <c r="E6" s="424"/>
      <c r="F6" s="424"/>
      <c r="G6" s="424"/>
      <c r="H6" s="424"/>
      <c r="I6" s="424"/>
      <c r="J6" s="424"/>
      <c r="K6" s="424"/>
      <c r="L6" s="424"/>
      <c r="M6" s="424"/>
      <c r="N6" s="424"/>
      <c r="O6" s="425"/>
      <c r="P6" s="408"/>
      <c r="Q6" s="408"/>
    </row>
    <row r="7" spans="1:17" x14ac:dyDescent="0.25">
      <c r="A7" s="359"/>
      <c r="B7" s="426"/>
      <c r="C7" s="426"/>
      <c r="D7" s="359"/>
      <c r="E7" s="359"/>
      <c r="F7" s="359"/>
      <c r="G7" s="359"/>
      <c r="H7" s="359"/>
      <c r="I7" s="359"/>
      <c r="J7" s="359"/>
      <c r="K7" s="359"/>
      <c r="L7" s="377"/>
      <c r="M7" s="400" t="s">
        <v>860</v>
      </c>
      <c r="N7" s="565" t="s">
        <v>1145</v>
      </c>
      <c r="O7" s="411"/>
      <c r="P7" s="397"/>
      <c r="Q7" s="397"/>
    </row>
    <row r="8" spans="1:17" x14ac:dyDescent="0.25">
      <c r="A8" s="359"/>
      <c r="B8" s="359"/>
      <c r="C8" s="359"/>
      <c r="D8" s="359"/>
      <c r="E8" s="359"/>
      <c r="F8" s="359"/>
      <c r="G8" s="359"/>
      <c r="H8" s="359"/>
      <c r="I8" s="359"/>
      <c r="J8" s="359"/>
      <c r="K8" s="359"/>
      <c r="L8" s="359"/>
      <c r="M8" s="359"/>
      <c r="N8" s="359"/>
      <c r="O8" s="411"/>
      <c r="P8" s="397"/>
      <c r="Q8" s="397"/>
    </row>
    <row r="9" spans="1:17" x14ac:dyDescent="0.25">
      <c r="A9" s="376"/>
      <c r="B9" s="412" t="s">
        <v>531</v>
      </c>
      <c r="C9" s="412" t="s">
        <v>532</v>
      </c>
      <c r="D9" s="412" t="s">
        <v>533</v>
      </c>
      <c r="E9" s="412" t="s">
        <v>534</v>
      </c>
      <c r="F9" s="412" t="s">
        <v>535</v>
      </c>
      <c r="G9" s="412" t="s">
        <v>536</v>
      </c>
      <c r="H9" s="412" t="s">
        <v>537</v>
      </c>
      <c r="I9" s="412" t="s">
        <v>538</v>
      </c>
      <c r="J9" s="412" t="s">
        <v>539</v>
      </c>
      <c r="K9" s="412" t="s">
        <v>540</v>
      </c>
      <c r="L9" s="412" t="s">
        <v>541</v>
      </c>
      <c r="M9" s="412" t="s">
        <v>832</v>
      </c>
      <c r="N9" s="412" t="s">
        <v>914</v>
      </c>
      <c r="O9" s="413"/>
      <c r="P9" s="414"/>
      <c r="Q9" s="414"/>
    </row>
    <row r="10" spans="1:17" ht="15.75" thickBot="1" x14ac:dyDescent="0.3">
      <c r="A10" s="359"/>
      <c r="B10" s="376"/>
      <c r="C10" s="376"/>
      <c r="D10" s="376"/>
      <c r="E10" s="376"/>
      <c r="F10" s="376"/>
      <c r="G10" s="376"/>
      <c r="H10" s="376"/>
      <c r="I10" s="376"/>
      <c r="J10" s="376"/>
      <c r="K10" s="376"/>
      <c r="L10" s="376"/>
      <c r="M10" s="376"/>
      <c r="N10" s="376"/>
      <c r="O10" s="413"/>
      <c r="P10" s="413"/>
      <c r="Q10" s="413"/>
    </row>
    <row r="11" spans="1:17" ht="25.5" customHeight="1" thickBot="1" x14ac:dyDescent="0.3">
      <c r="A11" s="359"/>
      <c r="B11" s="376"/>
      <c r="C11" s="376"/>
      <c r="D11" s="415"/>
      <c r="E11" s="415"/>
      <c r="F11" s="415"/>
      <c r="G11" s="415"/>
      <c r="H11" s="415"/>
      <c r="I11" s="415"/>
      <c r="J11" s="478" t="s">
        <v>247</v>
      </c>
      <c r="K11" s="440" t="s">
        <v>924</v>
      </c>
      <c r="L11" s="416" t="s">
        <v>866</v>
      </c>
      <c r="M11" s="416" t="s">
        <v>915</v>
      </c>
      <c r="N11" s="416" t="s">
        <v>915</v>
      </c>
      <c r="O11" s="413"/>
      <c r="P11" s="413"/>
      <c r="Q11" s="413"/>
    </row>
    <row r="12" spans="1:17" ht="64.5" thickBot="1" x14ac:dyDescent="0.3">
      <c r="A12" s="417" t="s">
        <v>833</v>
      </c>
      <c r="B12" s="442" t="s">
        <v>926</v>
      </c>
      <c r="C12" s="418" t="s">
        <v>834</v>
      </c>
      <c r="D12" s="419" t="s">
        <v>835</v>
      </c>
      <c r="E12" s="419" t="s">
        <v>836</v>
      </c>
      <c r="F12" s="419" t="s">
        <v>922</v>
      </c>
      <c r="G12" s="419" t="s">
        <v>923</v>
      </c>
      <c r="H12" s="420" t="s">
        <v>837</v>
      </c>
      <c r="I12" s="419" t="s">
        <v>838</v>
      </c>
      <c r="J12" s="419" t="s">
        <v>913</v>
      </c>
      <c r="K12" s="419" t="s">
        <v>839</v>
      </c>
      <c r="L12" s="420" t="s">
        <v>840</v>
      </c>
      <c r="M12" s="419" t="s">
        <v>841</v>
      </c>
      <c r="N12" s="419" t="s">
        <v>842</v>
      </c>
      <c r="O12" s="442" t="s">
        <v>7</v>
      </c>
      <c r="P12" s="417" t="s">
        <v>833</v>
      </c>
      <c r="Q12" s="421"/>
    </row>
    <row r="13" spans="1:17" x14ac:dyDescent="0.25">
      <c r="A13" s="375">
        <v>1</v>
      </c>
      <c r="B13" s="359" t="s">
        <v>925</v>
      </c>
      <c r="C13" s="382"/>
      <c r="D13" s="359"/>
      <c r="E13" s="359"/>
      <c r="F13" s="359"/>
      <c r="G13" s="359"/>
      <c r="H13" s="359"/>
      <c r="I13" s="359"/>
      <c r="J13" s="359"/>
      <c r="K13" s="359"/>
      <c r="L13" s="359"/>
      <c r="M13" s="359"/>
      <c r="N13" s="359"/>
      <c r="O13" s="389"/>
      <c r="P13" s="375">
        <v>1</v>
      </c>
      <c r="Q13" s="397"/>
    </row>
    <row r="14" spans="1:17" x14ac:dyDescent="0.25">
      <c r="A14" s="375">
        <f t="shared" ref="A14:A45" si="0">+A13+1</f>
        <v>2</v>
      </c>
      <c r="B14" s="359" t="s">
        <v>898</v>
      </c>
      <c r="C14" s="375"/>
      <c r="D14" s="359"/>
      <c r="E14" s="359"/>
      <c r="F14" s="363"/>
      <c r="G14" s="363"/>
      <c r="H14" s="363"/>
      <c r="I14" s="363"/>
      <c r="J14" s="359"/>
      <c r="K14" s="359"/>
      <c r="L14" s="359"/>
      <c r="M14" s="359"/>
      <c r="N14" s="359"/>
      <c r="O14" s="376"/>
      <c r="P14" s="375">
        <f t="shared" ref="P14:P45" si="1">+P13+1</f>
        <v>2</v>
      </c>
      <c r="Q14" s="397"/>
    </row>
    <row r="15" spans="1:17" x14ac:dyDescent="0.25">
      <c r="A15" s="375">
        <f t="shared" si="0"/>
        <v>3</v>
      </c>
      <c r="B15" s="359" t="s">
        <v>899</v>
      </c>
      <c r="C15" s="375">
        <v>190</v>
      </c>
      <c r="D15" s="359">
        <f>'Order 864-1'!M15</f>
        <v>0</v>
      </c>
      <c r="E15" s="359">
        <f>'Order 864-1'!N15</f>
        <v>0</v>
      </c>
      <c r="F15" s="363"/>
      <c r="G15" s="363"/>
      <c r="H15" s="363"/>
      <c r="I15" s="363"/>
      <c r="J15" s="359">
        <f>'Order 864-1'!J15+H15+I15</f>
        <v>0</v>
      </c>
      <c r="K15" s="359">
        <f t="shared" ref="K15:K17" si="2">SUM(D15:I15)</f>
        <v>0</v>
      </c>
      <c r="L15" s="359">
        <f>'Order 864-4'!I21</f>
        <v>0</v>
      </c>
      <c r="M15" s="359">
        <f>IF(SUM($K$15:$L$17)&lt;0,0,SUM($K15:$L15))</f>
        <v>0</v>
      </c>
      <c r="N15" s="359">
        <f>IF(SUM($K$15:$L$17)&lt;0,SUM($K15:$L15),0)</f>
        <v>0</v>
      </c>
      <c r="O15" s="376" t="s">
        <v>247</v>
      </c>
      <c r="P15" s="375">
        <f t="shared" si="1"/>
        <v>3</v>
      </c>
      <c r="Q15" s="397"/>
    </row>
    <row r="16" spans="1:17" x14ac:dyDescent="0.25">
      <c r="A16" s="375">
        <f t="shared" si="0"/>
        <v>4</v>
      </c>
      <c r="B16" s="359" t="s">
        <v>900</v>
      </c>
      <c r="C16" s="375">
        <v>190</v>
      </c>
      <c r="D16" s="359">
        <f>'Order 864-1'!M16</f>
        <v>0</v>
      </c>
      <c r="E16" s="359">
        <f>'Order 864-1'!N16</f>
        <v>0</v>
      </c>
      <c r="F16" s="363"/>
      <c r="G16" s="363"/>
      <c r="H16" s="363"/>
      <c r="I16" s="363"/>
      <c r="J16" s="359">
        <f>'Order 864-1'!J16+H16+I16</f>
        <v>0</v>
      </c>
      <c r="K16" s="359">
        <f t="shared" si="2"/>
        <v>0</v>
      </c>
      <c r="L16" s="359">
        <f>'Order 864-4'!I23</f>
        <v>0</v>
      </c>
      <c r="M16" s="359">
        <f>IF(SUM($K$15:$L$17)&lt;0,0,SUM($K16:$L16))</f>
        <v>0</v>
      </c>
      <c r="N16" s="359">
        <f>IF(SUM($K$15:$L$17)&lt;0,SUM($K16:$L16),0)</f>
        <v>0</v>
      </c>
      <c r="O16" s="376" t="s">
        <v>247</v>
      </c>
      <c r="P16" s="375">
        <f t="shared" si="1"/>
        <v>4</v>
      </c>
      <c r="Q16" s="397"/>
    </row>
    <row r="17" spans="1:17" x14ac:dyDescent="0.25">
      <c r="A17" s="375">
        <f t="shared" si="0"/>
        <v>5</v>
      </c>
      <c r="B17" s="359" t="s">
        <v>901</v>
      </c>
      <c r="C17" s="375">
        <v>190</v>
      </c>
      <c r="D17" s="359">
        <f>'Order 864-1'!M17</f>
        <v>0</v>
      </c>
      <c r="E17" s="359">
        <f>'Order 864-1'!N17</f>
        <v>0</v>
      </c>
      <c r="F17" s="363"/>
      <c r="G17" s="363"/>
      <c r="H17" s="363"/>
      <c r="I17" s="363"/>
      <c r="J17" s="359">
        <f>'Order 864-1'!J17+H17+I17</f>
        <v>0</v>
      </c>
      <c r="K17" s="359">
        <f t="shared" si="2"/>
        <v>0</v>
      </c>
      <c r="L17" s="359">
        <f>'Order 864-4'!I26</f>
        <v>0</v>
      </c>
      <c r="M17" s="359">
        <f>IF(SUM($K$15:$L$17)&lt;0,0,SUM($K17:$L17))</f>
        <v>0</v>
      </c>
      <c r="N17" s="359">
        <f>IF(SUM($K$15:$L$17)&lt;0,SUM($K17:$L17),0)</f>
        <v>0</v>
      </c>
      <c r="O17" s="376" t="s">
        <v>247</v>
      </c>
      <c r="P17" s="375">
        <f t="shared" si="1"/>
        <v>5</v>
      </c>
      <c r="Q17" s="397"/>
    </row>
    <row r="18" spans="1:17" x14ac:dyDescent="0.25">
      <c r="A18" s="375">
        <f t="shared" si="0"/>
        <v>6</v>
      </c>
      <c r="B18" s="359" t="s">
        <v>902</v>
      </c>
      <c r="C18" s="375"/>
      <c r="D18" s="359"/>
      <c r="E18" s="359"/>
      <c r="F18" s="363"/>
      <c r="G18" s="363"/>
      <c r="H18" s="363"/>
      <c r="I18" s="363"/>
      <c r="J18" s="359">
        <f>'Order 864-1'!J18+H18+I18</f>
        <v>0</v>
      </c>
      <c r="K18" s="359"/>
      <c r="L18" s="359"/>
      <c r="M18" s="359"/>
      <c r="N18" s="359"/>
      <c r="O18" s="376"/>
      <c r="P18" s="375">
        <f t="shared" si="1"/>
        <v>6</v>
      </c>
      <c r="Q18" s="397"/>
    </row>
    <row r="19" spans="1:17" x14ac:dyDescent="0.25">
      <c r="A19" s="375">
        <f t="shared" si="0"/>
        <v>7</v>
      </c>
      <c r="B19" s="359" t="s">
        <v>903</v>
      </c>
      <c r="C19" s="375">
        <v>190</v>
      </c>
      <c r="D19" s="359">
        <f>'Order 864-1'!M19</f>
        <v>0</v>
      </c>
      <c r="E19" s="359">
        <f>'Order 864-1'!N19</f>
        <v>0</v>
      </c>
      <c r="F19" s="363"/>
      <c r="G19" s="363"/>
      <c r="H19" s="363"/>
      <c r="I19" s="363"/>
      <c r="J19" s="359">
        <f>'Order 864-1'!J19+H19+I19</f>
        <v>0</v>
      </c>
      <c r="K19" s="359">
        <f t="shared" ref="K19" si="3">SUM(D19:I19)</f>
        <v>0</v>
      </c>
      <c r="L19" s="359">
        <f>'Order 864-4'!I23</f>
        <v>0</v>
      </c>
      <c r="M19" s="359">
        <f>IF(SUM($K$19:$L$19)&lt;0,0,SUM($K19:$L19))</f>
        <v>0</v>
      </c>
      <c r="N19" s="359">
        <f>IF(SUM($K$19:$L$19)&lt;0,SUM($K19:$L19),0)</f>
        <v>0</v>
      </c>
      <c r="O19" s="376" t="s">
        <v>247</v>
      </c>
      <c r="P19" s="375">
        <f t="shared" si="1"/>
        <v>7</v>
      </c>
      <c r="Q19" s="397"/>
    </row>
    <row r="20" spans="1:17" x14ac:dyDescent="0.25">
      <c r="A20" s="375">
        <f t="shared" si="0"/>
        <v>8</v>
      </c>
      <c r="B20" s="359" t="s">
        <v>904</v>
      </c>
      <c r="C20" s="375"/>
      <c r="D20" s="359"/>
      <c r="E20" s="359"/>
      <c r="F20" s="363"/>
      <c r="G20" s="363"/>
      <c r="H20" s="363"/>
      <c r="I20" s="363"/>
      <c r="J20" s="359">
        <f>'Order 864-1'!J20+H20+I20</f>
        <v>0</v>
      </c>
      <c r="K20" s="359"/>
      <c r="L20" s="359"/>
      <c r="M20" s="359"/>
      <c r="N20" s="359"/>
      <c r="O20" s="376"/>
      <c r="P20" s="375">
        <f t="shared" si="1"/>
        <v>8</v>
      </c>
      <c r="Q20" s="397"/>
    </row>
    <row r="21" spans="1:17" x14ac:dyDescent="0.25">
      <c r="A21" s="375">
        <f t="shared" si="0"/>
        <v>9</v>
      </c>
      <c r="B21" s="359" t="s">
        <v>905</v>
      </c>
      <c r="C21" s="375">
        <v>283</v>
      </c>
      <c r="D21" s="359">
        <f>'Order 864-1'!M21</f>
        <v>0</v>
      </c>
      <c r="E21" s="359">
        <f>'Order 864-1'!N21</f>
        <v>0</v>
      </c>
      <c r="F21" s="363"/>
      <c r="G21" s="363"/>
      <c r="H21" s="363"/>
      <c r="I21" s="363"/>
      <c r="J21" s="359">
        <f>'Order 864-1'!J21+H21+I21</f>
        <v>0</v>
      </c>
      <c r="K21" s="359">
        <f t="shared" ref="K21:K22" si="4">SUM(D21:I21)</f>
        <v>0</v>
      </c>
      <c r="L21" s="359">
        <f>'Order 864-4'!I26</f>
        <v>0</v>
      </c>
      <c r="M21" s="359">
        <f>IF(SUM($K$21:$L$22)&lt;0,0,SUM($K21:$L21))</f>
        <v>0</v>
      </c>
      <c r="N21" s="359">
        <f>IF(SUM($K$21:$L$22)&lt;0,SUM($K21:$L21),0)</f>
        <v>0</v>
      </c>
      <c r="O21" s="376" t="s">
        <v>247</v>
      </c>
      <c r="P21" s="375">
        <f t="shared" si="1"/>
        <v>9</v>
      </c>
      <c r="Q21" s="397"/>
    </row>
    <row r="22" spans="1:17" x14ac:dyDescent="0.25">
      <c r="A22" s="375">
        <f t="shared" si="0"/>
        <v>10</v>
      </c>
      <c r="B22" s="359" t="s">
        <v>906</v>
      </c>
      <c r="C22" s="375">
        <v>283</v>
      </c>
      <c r="D22" s="359">
        <f>'Order 864-1'!M22</f>
        <v>0</v>
      </c>
      <c r="E22" s="359">
        <f>'Order 864-1'!N22</f>
        <v>0</v>
      </c>
      <c r="F22" s="363"/>
      <c r="G22" s="363"/>
      <c r="H22" s="363"/>
      <c r="I22" s="363"/>
      <c r="J22" s="359">
        <f>'Order 864-1'!J22+H22+I22</f>
        <v>0</v>
      </c>
      <c r="K22" s="359">
        <f t="shared" si="4"/>
        <v>0</v>
      </c>
      <c r="L22" s="359">
        <f>'Order 864-4'!I27</f>
        <v>0</v>
      </c>
      <c r="M22" s="359">
        <f>IF(SUM($K$21:$L$22)&lt;0,0,SUM($K22:$L22))</f>
        <v>0</v>
      </c>
      <c r="N22" s="359">
        <f>IF(SUM($K$21:$L$22)&lt;0,SUM($K22:$L22),0)</f>
        <v>0</v>
      </c>
      <c r="O22" s="376" t="s">
        <v>247</v>
      </c>
      <c r="P22" s="375">
        <f t="shared" si="1"/>
        <v>10</v>
      </c>
      <c r="Q22" s="397"/>
    </row>
    <row r="23" spans="1:17" x14ac:dyDescent="0.25">
      <c r="A23" s="375">
        <f t="shared" si="0"/>
        <v>11</v>
      </c>
      <c r="B23" s="376"/>
      <c r="C23" s="377"/>
      <c r="D23" s="427"/>
      <c r="E23" s="427"/>
      <c r="F23" s="427"/>
      <c r="G23" s="427"/>
      <c r="H23" s="427"/>
      <c r="I23" s="427"/>
      <c r="J23" s="427"/>
      <c r="K23" s="427"/>
      <c r="L23" s="427"/>
      <c r="M23" s="427"/>
      <c r="N23" s="427"/>
      <c r="O23" s="359"/>
      <c r="P23" s="375">
        <f t="shared" si="1"/>
        <v>11</v>
      </c>
      <c r="Q23" s="397"/>
    </row>
    <row r="24" spans="1:17" ht="15.75" thickBot="1" x14ac:dyDescent="0.3">
      <c r="A24" s="375">
        <f t="shared" si="0"/>
        <v>12</v>
      </c>
      <c r="B24" s="376" t="s">
        <v>927</v>
      </c>
      <c r="C24" s="409"/>
      <c r="D24" s="357">
        <f>SUM(D14:D22)</f>
        <v>0</v>
      </c>
      <c r="E24" s="357">
        <f t="shared" ref="E24:L24" si="5">SUM(E14:E22)</f>
        <v>0</v>
      </c>
      <c r="F24" s="357">
        <f t="shared" si="5"/>
        <v>0</v>
      </c>
      <c r="G24" s="357">
        <f t="shared" si="5"/>
        <v>0</v>
      </c>
      <c r="H24" s="357">
        <f t="shared" si="5"/>
        <v>0</v>
      </c>
      <c r="I24" s="357">
        <f t="shared" si="5"/>
        <v>0</v>
      </c>
      <c r="J24" s="357">
        <f t="shared" ref="J24" si="6">SUM(J14:J22)</f>
        <v>0</v>
      </c>
      <c r="K24" s="357">
        <f t="shared" si="5"/>
        <v>0</v>
      </c>
      <c r="L24" s="357">
        <f t="shared" si="5"/>
        <v>0</v>
      </c>
      <c r="M24" s="357">
        <f t="shared" ref="M24:N24" si="7">SUM(M14:M22)</f>
        <v>0</v>
      </c>
      <c r="N24" s="357">
        <f t="shared" si="7"/>
        <v>0</v>
      </c>
      <c r="O24" s="376" t="s">
        <v>916</v>
      </c>
      <c r="P24" s="375">
        <f t="shared" si="1"/>
        <v>12</v>
      </c>
      <c r="Q24" s="397"/>
    </row>
    <row r="25" spans="1:17" ht="15.75" thickTop="1" x14ac:dyDescent="0.25">
      <c r="A25" s="375">
        <f t="shared" si="0"/>
        <v>13</v>
      </c>
      <c r="B25" s="359"/>
      <c r="C25" s="359"/>
      <c r="D25" s="380"/>
      <c r="E25" s="380"/>
      <c r="F25" s="380"/>
      <c r="G25" s="380"/>
      <c r="H25" s="380"/>
      <c r="I25" s="380"/>
      <c r="J25" s="380"/>
      <c r="K25" s="380"/>
      <c r="L25" s="380"/>
      <c r="M25" s="380"/>
      <c r="N25" s="380"/>
      <c r="O25" s="359"/>
      <c r="P25" s="375">
        <f t="shared" si="1"/>
        <v>13</v>
      </c>
      <c r="Q25" s="397"/>
    </row>
    <row r="26" spans="1:17" x14ac:dyDescent="0.25">
      <c r="A26" s="375">
        <f t="shared" si="0"/>
        <v>14</v>
      </c>
      <c r="B26" s="359" t="s">
        <v>928</v>
      </c>
      <c r="C26" s="381"/>
      <c r="D26" s="380"/>
      <c r="E26" s="380"/>
      <c r="F26" s="380"/>
      <c r="G26" s="380"/>
      <c r="H26" s="380"/>
      <c r="I26" s="380"/>
      <c r="J26" s="380"/>
      <c r="K26" s="380"/>
      <c r="L26" s="380"/>
      <c r="M26" s="380"/>
      <c r="N26" s="380"/>
      <c r="O26" s="359"/>
      <c r="P26" s="375">
        <f t="shared" si="1"/>
        <v>14</v>
      </c>
      <c r="Q26" s="397"/>
    </row>
    <row r="27" spans="1:17" x14ac:dyDescent="0.25">
      <c r="A27" s="375">
        <f t="shared" si="0"/>
        <v>15</v>
      </c>
      <c r="B27" s="359" t="s">
        <v>420</v>
      </c>
      <c r="C27" s="375">
        <v>190</v>
      </c>
      <c r="D27" s="359">
        <f>'Order 864-1'!M27</f>
        <v>0</v>
      </c>
      <c r="E27" s="359">
        <f>'Order 864-1'!N27</f>
        <v>0</v>
      </c>
      <c r="F27" s="363"/>
      <c r="G27" s="363"/>
      <c r="H27" s="363"/>
      <c r="I27" s="363"/>
      <c r="J27" s="359">
        <f>'Order 864-1'!J27+H27+I27</f>
        <v>0</v>
      </c>
      <c r="K27" s="359">
        <f>SUM(D27:I27)</f>
        <v>0</v>
      </c>
      <c r="L27" s="359">
        <f>'Order 864-4'!I30</f>
        <v>0</v>
      </c>
      <c r="M27" s="359">
        <f>IF(SUM($K$27:$L$27)&lt;0,0,SUM($K27:$L27))</f>
        <v>0</v>
      </c>
      <c r="N27" s="359">
        <f>IF(SUM($K$27:$L$27)&lt;0,SUM($K27:$L27),0)</f>
        <v>0</v>
      </c>
      <c r="O27" s="376" t="s">
        <v>247</v>
      </c>
      <c r="P27" s="375">
        <f t="shared" si="1"/>
        <v>15</v>
      </c>
      <c r="Q27" s="397"/>
    </row>
    <row r="28" spans="1:17" x14ac:dyDescent="0.25">
      <c r="A28" s="375">
        <f t="shared" si="0"/>
        <v>16</v>
      </c>
      <c r="B28" s="359" t="s">
        <v>907</v>
      </c>
      <c r="C28" s="375"/>
      <c r="D28" s="359"/>
      <c r="E28" s="359"/>
      <c r="F28" s="363"/>
      <c r="G28" s="363"/>
      <c r="H28" s="363"/>
      <c r="I28" s="363"/>
      <c r="J28" s="359">
        <f>'Order 864-1'!J28+H28+I28</f>
        <v>0</v>
      </c>
      <c r="K28" s="359"/>
      <c r="L28" s="359"/>
      <c r="M28" s="359"/>
      <c r="N28" s="359"/>
      <c r="O28" s="376"/>
      <c r="P28" s="375">
        <f t="shared" si="1"/>
        <v>16</v>
      </c>
      <c r="Q28" s="397"/>
    </row>
    <row r="29" spans="1:17" x14ac:dyDescent="0.25">
      <c r="A29" s="375">
        <f t="shared" si="0"/>
        <v>17</v>
      </c>
      <c r="B29" s="359" t="s">
        <v>908</v>
      </c>
      <c r="C29" s="375">
        <v>282</v>
      </c>
      <c r="D29" s="359">
        <f>'Order 864-1'!M29</f>
        <v>0</v>
      </c>
      <c r="E29" s="359">
        <f>'Order 864-1'!N29</f>
        <v>0</v>
      </c>
      <c r="F29" s="363"/>
      <c r="G29" s="363"/>
      <c r="H29" s="363"/>
      <c r="I29" s="363"/>
      <c r="J29" s="359">
        <f>'Order 864-1'!J29+H29+I29</f>
        <v>0</v>
      </c>
      <c r="K29" s="359">
        <f t="shared" ref="K29" si="8">SUM(D29:I29)</f>
        <v>0</v>
      </c>
      <c r="L29" s="359">
        <f>'Order 864-4'!I35</f>
        <v>0</v>
      </c>
      <c r="M29" s="359">
        <f>IF(SUM($K$29:$L$31)&lt;0,0,SUM($K29:$L29))</f>
        <v>0</v>
      </c>
      <c r="N29" s="359">
        <f>IF(SUM($K$29:$L$31)&lt;0,SUM($K29:$L29),0)</f>
        <v>0</v>
      </c>
      <c r="O29" s="376" t="s">
        <v>247</v>
      </c>
      <c r="P29" s="375">
        <f t="shared" si="1"/>
        <v>17</v>
      </c>
      <c r="Q29" s="397"/>
    </row>
    <row r="30" spans="1:17" x14ac:dyDescent="0.25">
      <c r="A30" s="375">
        <f t="shared" si="0"/>
        <v>18</v>
      </c>
      <c r="B30" s="359" t="s">
        <v>909</v>
      </c>
      <c r="C30" s="375">
        <v>282</v>
      </c>
      <c r="D30" s="359">
        <f>'Order 864-1'!M30</f>
        <v>0</v>
      </c>
      <c r="E30" s="359">
        <f>'Order 864-1'!N30</f>
        <v>0</v>
      </c>
      <c r="F30" s="363"/>
      <c r="G30" s="363"/>
      <c r="H30" s="363"/>
      <c r="I30" s="363"/>
      <c r="J30" s="359">
        <f>'Order 864-1'!J30+H30+I30</f>
        <v>0</v>
      </c>
      <c r="K30" s="359">
        <f>SUM(D30:I30)</f>
        <v>0</v>
      </c>
      <c r="L30" s="359">
        <f>'Order 864-4'!I36</f>
        <v>0</v>
      </c>
      <c r="M30" s="359">
        <f>IF(SUM($K$29:$L$31)&lt;0,0,SUM($K30:$L30))</f>
        <v>0</v>
      </c>
      <c r="N30" s="359">
        <f>IF(SUM($K$29:$L$31)&lt;0,SUM($K30:$L30),0)</f>
        <v>0</v>
      </c>
      <c r="O30" s="376" t="s">
        <v>247</v>
      </c>
      <c r="P30" s="375">
        <f t="shared" si="1"/>
        <v>18</v>
      </c>
      <c r="Q30" s="397"/>
    </row>
    <row r="31" spans="1:17" x14ac:dyDescent="0.25">
      <c r="A31" s="375">
        <f t="shared" si="0"/>
        <v>19</v>
      </c>
      <c r="B31" s="359" t="s">
        <v>910</v>
      </c>
      <c r="C31" s="375">
        <v>282</v>
      </c>
      <c r="D31" s="359">
        <f>'Order 864-1'!M31</f>
        <v>0</v>
      </c>
      <c r="E31" s="359">
        <f>'Order 864-1'!N31</f>
        <v>0</v>
      </c>
      <c r="F31" s="363"/>
      <c r="G31" s="363"/>
      <c r="H31" s="363"/>
      <c r="I31" s="363"/>
      <c r="J31" s="359">
        <f>'Order 864-1'!J31+H31+I31</f>
        <v>0</v>
      </c>
      <c r="K31" s="359">
        <f>SUM(D31:I31)</f>
        <v>0</v>
      </c>
      <c r="L31" s="359">
        <f>'Order 864-4'!I37</f>
        <v>0</v>
      </c>
      <c r="M31" s="359">
        <f>IF(SUM($K$29:$L$31)&lt;0,0,SUM($K31:$L31))</f>
        <v>0</v>
      </c>
      <c r="N31" s="359">
        <f>IF(SUM($K$29:$L$31)&lt;0,SUM($K31:$L31),0)</f>
        <v>0</v>
      </c>
      <c r="O31" s="376" t="s">
        <v>247</v>
      </c>
      <c r="P31" s="375">
        <f t="shared" si="1"/>
        <v>19</v>
      </c>
      <c r="Q31" s="397"/>
    </row>
    <row r="32" spans="1:17" x14ac:dyDescent="0.25">
      <c r="A32" s="375">
        <f t="shared" si="0"/>
        <v>20</v>
      </c>
      <c r="B32" s="376" t="s">
        <v>843</v>
      </c>
      <c r="C32" s="410"/>
      <c r="D32" s="367">
        <f>SUM(D27:D31)</f>
        <v>0</v>
      </c>
      <c r="E32" s="367">
        <f t="shared" ref="E32:L32" si="9">SUM(E27:E31)</f>
        <v>0</v>
      </c>
      <c r="F32" s="367">
        <f t="shared" si="9"/>
        <v>0</v>
      </c>
      <c r="G32" s="367">
        <f t="shared" si="9"/>
        <v>0</v>
      </c>
      <c r="H32" s="367">
        <f>SUM(H27:H31)</f>
        <v>0</v>
      </c>
      <c r="I32" s="367">
        <f t="shared" si="9"/>
        <v>0</v>
      </c>
      <c r="J32" s="367">
        <f t="shared" ref="J32" si="10">SUM(J27:J31)</f>
        <v>0</v>
      </c>
      <c r="K32" s="367">
        <f t="shared" si="9"/>
        <v>0</v>
      </c>
      <c r="L32" s="367">
        <f t="shared" si="9"/>
        <v>0</v>
      </c>
      <c r="M32" s="367">
        <f t="shared" ref="M32:N32" si="11">SUM(M27:M31)</f>
        <v>0</v>
      </c>
      <c r="N32" s="367">
        <f t="shared" si="11"/>
        <v>0</v>
      </c>
      <c r="O32" s="376" t="s">
        <v>917</v>
      </c>
      <c r="P32" s="375">
        <f t="shared" si="1"/>
        <v>20</v>
      </c>
      <c r="Q32" s="397"/>
    </row>
    <row r="33" spans="1:17" x14ac:dyDescent="0.25">
      <c r="A33" s="375">
        <f t="shared" si="0"/>
        <v>21</v>
      </c>
      <c r="B33" s="359"/>
      <c r="C33" s="377"/>
      <c r="D33" s="359"/>
      <c r="E33" s="359"/>
      <c r="F33" s="359"/>
      <c r="G33" s="359"/>
      <c r="H33" s="359"/>
      <c r="I33" s="359"/>
      <c r="J33" s="359"/>
      <c r="K33" s="359"/>
      <c r="L33" s="359"/>
      <c r="M33" s="359"/>
      <c r="N33" s="359"/>
      <c r="O33" s="359"/>
      <c r="P33" s="375">
        <f t="shared" si="1"/>
        <v>21</v>
      </c>
      <c r="Q33" s="397"/>
    </row>
    <row r="34" spans="1:17" x14ac:dyDescent="0.25">
      <c r="A34" s="375">
        <f t="shared" si="0"/>
        <v>22</v>
      </c>
      <c r="B34" s="359" t="s">
        <v>929</v>
      </c>
      <c r="C34" s="382"/>
      <c r="D34" s="359"/>
      <c r="E34" s="359"/>
      <c r="F34" s="359"/>
      <c r="G34" s="359"/>
      <c r="H34" s="359"/>
      <c r="I34" s="359"/>
      <c r="J34" s="359"/>
      <c r="K34" s="359"/>
      <c r="L34" s="359"/>
      <c r="M34" s="359"/>
      <c r="N34" s="359"/>
      <c r="O34" s="359"/>
      <c r="P34" s="375">
        <f t="shared" si="1"/>
        <v>22</v>
      </c>
      <c r="Q34" s="397"/>
    </row>
    <row r="35" spans="1:17" x14ac:dyDescent="0.25">
      <c r="A35" s="375">
        <f t="shared" si="0"/>
        <v>23</v>
      </c>
      <c r="B35" s="359" t="s">
        <v>844</v>
      </c>
      <c r="C35" s="375">
        <v>282</v>
      </c>
      <c r="D35" s="359">
        <f>'Order 864-1'!M35</f>
        <v>0</v>
      </c>
      <c r="E35" s="359">
        <f>'Order 864-1'!N35</f>
        <v>0</v>
      </c>
      <c r="F35" s="363"/>
      <c r="G35" s="363"/>
      <c r="H35" s="363"/>
      <c r="I35" s="363"/>
      <c r="J35" s="359">
        <f>'Order 864-1'!J35+H35+I35</f>
        <v>0</v>
      </c>
      <c r="K35" s="359">
        <f t="shared" ref="K35:K37" si="12">SUM(D35:I35)</f>
        <v>0</v>
      </c>
      <c r="L35" s="359">
        <f>'Order 864-4'!I38</f>
        <v>0</v>
      </c>
      <c r="M35" s="359">
        <f>IF(SUM($K$35:$L$35)&lt;0,0,SUM($K35:$L35))</f>
        <v>0</v>
      </c>
      <c r="N35" s="359">
        <f>IF(SUM($K$35:$L$35)&lt;0,SUM($K35:$L35),0)</f>
        <v>0</v>
      </c>
      <c r="O35" s="376" t="s">
        <v>247</v>
      </c>
      <c r="P35" s="375">
        <f t="shared" si="1"/>
        <v>23</v>
      </c>
      <c r="Q35" s="397"/>
    </row>
    <row r="36" spans="1:17" x14ac:dyDescent="0.25">
      <c r="A36" s="375">
        <f t="shared" si="0"/>
        <v>24</v>
      </c>
      <c r="B36" s="359" t="s">
        <v>845</v>
      </c>
      <c r="C36" s="375">
        <v>282</v>
      </c>
      <c r="D36" s="359">
        <f>'Order 864-1'!M36</f>
        <v>0</v>
      </c>
      <c r="E36" s="359">
        <f>'Order 864-1'!N36</f>
        <v>0</v>
      </c>
      <c r="F36" s="363"/>
      <c r="G36" s="363"/>
      <c r="H36" s="363"/>
      <c r="I36" s="363"/>
      <c r="J36" s="359">
        <f>'Order 864-1'!J36+H36+I36</f>
        <v>0</v>
      </c>
      <c r="K36" s="359">
        <f t="shared" si="12"/>
        <v>0</v>
      </c>
      <c r="L36" s="359">
        <f>'Order 864-4'!I39</f>
        <v>0</v>
      </c>
      <c r="M36" s="359">
        <f>IF(SUM($K$36:$L$36)&lt;0,0,SUM($K36:$L36))</f>
        <v>0</v>
      </c>
      <c r="N36" s="359">
        <f>IF(SUM($K$36:$L$36)&lt;0,SUM($K36:$L36),0)</f>
        <v>0</v>
      </c>
      <c r="O36" s="376" t="s">
        <v>247</v>
      </c>
      <c r="P36" s="375">
        <f t="shared" si="1"/>
        <v>24</v>
      </c>
      <c r="Q36" s="397"/>
    </row>
    <row r="37" spans="1:17" x14ac:dyDescent="0.25">
      <c r="A37" s="375">
        <f t="shared" si="0"/>
        <v>25</v>
      </c>
      <c r="B37" s="359" t="s">
        <v>846</v>
      </c>
      <c r="C37" s="383">
        <v>282</v>
      </c>
      <c r="D37" s="359">
        <f>'Order 864-1'!M37</f>
        <v>0</v>
      </c>
      <c r="E37" s="359">
        <f>'Order 864-1'!N37</f>
        <v>0</v>
      </c>
      <c r="F37" s="363"/>
      <c r="G37" s="363"/>
      <c r="H37" s="363"/>
      <c r="I37" s="363"/>
      <c r="J37" s="359">
        <f>'Order 864-1'!J37+H37+I37</f>
        <v>0</v>
      </c>
      <c r="K37" s="359">
        <f t="shared" si="12"/>
        <v>0</v>
      </c>
      <c r="L37" s="359">
        <f>'Order 864-4'!I40</f>
        <v>0</v>
      </c>
      <c r="M37" s="359">
        <f>IF(SUM($K$37:$L$37)&lt;0,0,SUM($K37:$L37))</f>
        <v>0</v>
      </c>
      <c r="N37" s="359">
        <f>IF(SUM($K$37:$L$37)&lt;0,SUM($K37:$L37),0)</f>
        <v>0</v>
      </c>
      <c r="O37" s="376" t="s">
        <v>247</v>
      </c>
      <c r="P37" s="375">
        <f t="shared" si="1"/>
        <v>25</v>
      </c>
      <c r="Q37" s="397"/>
    </row>
    <row r="38" spans="1:17" x14ac:dyDescent="0.25">
      <c r="A38" s="375">
        <f t="shared" si="0"/>
        <v>26</v>
      </c>
      <c r="B38" s="376" t="s">
        <v>843</v>
      </c>
      <c r="C38" s="410"/>
      <c r="D38" s="367">
        <f t="shared" ref="D38:L38" si="13">SUM(D35:D37)</f>
        <v>0</v>
      </c>
      <c r="E38" s="367">
        <f t="shared" si="13"/>
        <v>0</v>
      </c>
      <c r="F38" s="367">
        <f t="shared" si="13"/>
        <v>0</v>
      </c>
      <c r="G38" s="367">
        <f t="shared" si="13"/>
        <v>0</v>
      </c>
      <c r="H38" s="367">
        <f t="shared" si="13"/>
        <v>0</v>
      </c>
      <c r="I38" s="367">
        <f t="shared" si="13"/>
        <v>0</v>
      </c>
      <c r="J38" s="367">
        <f t="shared" ref="J38" si="14">SUM(J35:J37)</f>
        <v>0</v>
      </c>
      <c r="K38" s="367">
        <f t="shared" si="13"/>
        <v>0</v>
      </c>
      <c r="L38" s="367">
        <f t="shared" si="13"/>
        <v>0</v>
      </c>
      <c r="M38" s="367">
        <f>SUM(M35:M37)</f>
        <v>0</v>
      </c>
      <c r="N38" s="367">
        <f>SUM(N35:N37)</f>
        <v>0</v>
      </c>
      <c r="O38" s="376" t="s">
        <v>918</v>
      </c>
      <c r="P38" s="375">
        <f t="shared" si="1"/>
        <v>26</v>
      </c>
      <c r="Q38" s="397"/>
    </row>
    <row r="39" spans="1:17" x14ac:dyDescent="0.25">
      <c r="A39" s="375">
        <f t="shared" si="0"/>
        <v>27</v>
      </c>
      <c r="B39" s="359"/>
      <c r="C39" s="377"/>
      <c r="D39" s="378"/>
      <c r="E39" s="378"/>
      <c r="F39" s="378"/>
      <c r="G39" s="378"/>
      <c r="H39" s="378"/>
      <c r="I39" s="378"/>
      <c r="J39" s="378"/>
      <c r="K39" s="378"/>
      <c r="L39" s="378"/>
      <c r="M39" s="378"/>
      <c r="N39" s="378"/>
      <c r="O39" s="359"/>
      <c r="P39" s="375">
        <f t="shared" si="1"/>
        <v>27</v>
      </c>
      <c r="Q39" s="397"/>
    </row>
    <row r="40" spans="1:17" x14ac:dyDescent="0.25">
      <c r="A40" s="375">
        <f t="shared" si="0"/>
        <v>28</v>
      </c>
      <c r="B40" s="359" t="s">
        <v>929</v>
      </c>
      <c r="C40" s="377"/>
      <c r="D40" s="380"/>
      <c r="E40" s="380"/>
      <c r="F40" s="380"/>
      <c r="G40" s="380"/>
      <c r="H40" s="380"/>
      <c r="I40" s="380"/>
      <c r="J40" s="380"/>
      <c r="K40" s="380"/>
      <c r="L40" s="380"/>
      <c r="M40" s="380"/>
      <c r="N40" s="380"/>
      <c r="O40" s="359"/>
      <c r="P40" s="375">
        <f t="shared" si="1"/>
        <v>28</v>
      </c>
      <c r="Q40" s="397"/>
    </row>
    <row r="41" spans="1:17" x14ac:dyDescent="0.25">
      <c r="A41" s="375">
        <f t="shared" si="0"/>
        <v>29</v>
      </c>
      <c r="B41" s="359" t="s">
        <v>887</v>
      </c>
      <c r="C41" s="383">
        <v>282</v>
      </c>
      <c r="D41" s="396">
        <f>'Order 864-1'!M41</f>
        <v>0</v>
      </c>
      <c r="E41" s="396">
        <f>'Order 864-1'!N41</f>
        <v>0</v>
      </c>
      <c r="F41" s="428"/>
      <c r="G41" s="428"/>
      <c r="H41" s="428"/>
      <c r="I41" s="428">
        <v>0</v>
      </c>
      <c r="J41" s="359">
        <f>'Order 864-1'!J41+H41+I41</f>
        <v>0</v>
      </c>
      <c r="K41" s="359">
        <f t="shared" ref="K41" si="15">SUM(D41:I41)</f>
        <v>0</v>
      </c>
      <c r="L41" s="359">
        <f>'Order 864-4'!I44</f>
        <v>0</v>
      </c>
      <c r="M41" s="359">
        <f>IF(SUM($K$41:$L$41)&lt;0,0,SUM($K41:$L41))</f>
        <v>0</v>
      </c>
      <c r="N41" s="359">
        <f>IF(SUM($K$41:$L$41)&lt;0,SUM($K41:$L41),0)</f>
        <v>0</v>
      </c>
      <c r="O41" s="376" t="s">
        <v>247</v>
      </c>
      <c r="P41" s="375">
        <f t="shared" si="1"/>
        <v>29</v>
      </c>
      <c r="Q41" s="397"/>
    </row>
    <row r="42" spans="1:17" x14ac:dyDescent="0.25">
      <c r="A42" s="375">
        <f t="shared" si="0"/>
        <v>30</v>
      </c>
      <c r="B42" s="359"/>
      <c r="C42" s="377"/>
      <c r="D42" s="386"/>
      <c r="E42" s="386"/>
      <c r="F42" s="386"/>
      <c r="G42" s="386"/>
      <c r="H42" s="386"/>
      <c r="I42" s="386"/>
      <c r="J42" s="386"/>
      <c r="K42" s="386"/>
      <c r="L42" s="386"/>
      <c r="M42" s="386"/>
      <c r="N42" s="386"/>
      <c r="O42" s="359"/>
      <c r="P42" s="375">
        <f t="shared" si="1"/>
        <v>30</v>
      </c>
      <c r="Q42" s="397"/>
    </row>
    <row r="43" spans="1:17" ht="15.75" thickBot="1" x14ac:dyDescent="0.3">
      <c r="A43" s="375">
        <f t="shared" si="0"/>
        <v>31</v>
      </c>
      <c r="B43" s="376" t="s">
        <v>931</v>
      </c>
      <c r="C43" s="410"/>
      <c r="D43" s="357">
        <f t="shared" ref="D43:L43" si="16">D32+D38+D41</f>
        <v>0</v>
      </c>
      <c r="E43" s="357">
        <f t="shared" si="16"/>
        <v>0</v>
      </c>
      <c r="F43" s="357">
        <f t="shared" si="16"/>
        <v>0</v>
      </c>
      <c r="G43" s="357">
        <f t="shared" si="16"/>
        <v>0</v>
      </c>
      <c r="H43" s="357">
        <f t="shared" si="16"/>
        <v>0</v>
      </c>
      <c r="I43" s="357">
        <f t="shared" si="16"/>
        <v>0</v>
      </c>
      <c r="J43" s="357">
        <f t="shared" si="16"/>
        <v>0</v>
      </c>
      <c r="K43" s="357">
        <f>K32+K38+K41</f>
        <v>0</v>
      </c>
      <c r="L43" s="357">
        <f t="shared" si="16"/>
        <v>0</v>
      </c>
      <c r="M43" s="357">
        <f t="shared" ref="M43:N43" si="17">+M41+M38+M32</f>
        <v>0</v>
      </c>
      <c r="N43" s="357">
        <f t="shared" si="17"/>
        <v>0</v>
      </c>
      <c r="O43" s="443" t="s">
        <v>919</v>
      </c>
      <c r="P43" s="375">
        <f t="shared" si="1"/>
        <v>31</v>
      </c>
      <c r="Q43" s="397"/>
    </row>
    <row r="44" spans="1:17" ht="15.75" thickTop="1" x14ac:dyDescent="0.25">
      <c r="A44" s="375">
        <f t="shared" si="0"/>
        <v>32</v>
      </c>
      <c r="B44" s="359"/>
      <c r="C44" s="359"/>
      <c r="D44" s="387"/>
      <c r="E44" s="387"/>
      <c r="F44" s="387"/>
      <c r="G44" s="387"/>
      <c r="H44" s="387"/>
      <c r="I44" s="387"/>
      <c r="J44" s="387"/>
      <c r="K44" s="387"/>
      <c r="L44" s="387"/>
      <c r="M44" s="387"/>
      <c r="N44" s="387"/>
      <c r="O44" s="359"/>
      <c r="P44" s="375">
        <f t="shared" si="1"/>
        <v>32</v>
      </c>
      <c r="Q44" s="397"/>
    </row>
    <row r="45" spans="1:17" ht="15.75" thickBot="1" x14ac:dyDescent="0.3">
      <c r="A45" s="375">
        <f t="shared" si="0"/>
        <v>33</v>
      </c>
      <c r="B45" s="376" t="s">
        <v>932</v>
      </c>
      <c r="C45" s="409"/>
      <c r="D45" s="357">
        <f t="shared" ref="D45:N45" si="18">D24+D43</f>
        <v>0</v>
      </c>
      <c r="E45" s="357">
        <f t="shared" si="18"/>
        <v>0</v>
      </c>
      <c r="F45" s="357">
        <f t="shared" si="18"/>
        <v>0</v>
      </c>
      <c r="G45" s="357">
        <f t="shared" si="18"/>
        <v>0</v>
      </c>
      <c r="H45" s="357">
        <f t="shared" si="18"/>
        <v>0</v>
      </c>
      <c r="I45" s="357">
        <f t="shared" si="18"/>
        <v>0</v>
      </c>
      <c r="J45" s="357">
        <f t="shared" si="18"/>
        <v>0</v>
      </c>
      <c r="K45" s="357">
        <f t="shared" si="18"/>
        <v>0</v>
      </c>
      <c r="L45" s="357">
        <f t="shared" si="18"/>
        <v>0</v>
      </c>
      <c r="M45" s="357">
        <f t="shared" si="18"/>
        <v>0</v>
      </c>
      <c r="N45" s="357">
        <f t="shared" si="18"/>
        <v>0</v>
      </c>
      <c r="O45" s="376" t="s">
        <v>920</v>
      </c>
      <c r="P45" s="375">
        <f t="shared" si="1"/>
        <v>33</v>
      </c>
      <c r="Q45" s="397"/>
    </row>
    <row r="46" spans="1:17" ht="15.75" thickTop="1" x14ac:dyDescent="0.25">
      <c r="A46" s="422"/>
      <c r="B46" s="359"/>
      <c r="C46" s="359"/>
      <c r="D46" s="359"/>
      <c r="E46" s="359"/>
      <c r="F46" s="359"/>
      <c r="G46" s="359"/>
      <c r="H46" s="359"/>
      <c r="I46" s="359"/>
      <c r="J46" s="359"/>
      <c r="K46" s="359"/>
      <c r="L46" s="359"/>
      <c r="M46" s="359">
        <f>'AF-2'!E35-M45</f>
        <v>0</v>
      </c>
      <c r="N46" s="359">
        <f>N45-'AF-2'!G35</f>
        <v>0</v>
      </c>
      <c r="O46" s="397"/>
      <c r="P46" s="397"/>
      <c r="Q46" s="397"/>
    </row>
    <row r="47" spans="1:17" x14ac:dyDescent="0.25">
      <c r="A47" s="422"/>
      <c r="B47" s="346" t="s">
        <v>847</v>
      </c>
      <c r="C47" s="388"/>
      <c r="D47" s="359"/>
      <c r="E47" s="359"/>
      <c r="F47" s="359"/>
      <c r="G47" s="359"/>
      <c r="H47" s="359"/>
      <c r="I47" s="359"/>
      <c r="J47" s="359"/>
      <c r="K47" s="359"/>
      <c r="L47" s="359"/>
      <c r="M47" s="359"/>
      <c r="N47" s="359"/>
      <c r="O47" s="397"/>
      <c r="P47" s="397"/>
      <c r="Q47" s="397"/>
    </row>
    <row r="48" spans="1:17" x14ac:dyDescent="0.25">
      <c r="A48" s="422"/>
      <c r="B48" s="456" t="s">
        <v>954</v>
      </c>
      <c r="C48" s="388"/>
      <c r="D48" s="359"/>
      <c r="E48" s="359"/>
      <c r="F48" s="359"/>
      <c r="G48" s="359"/>
      <c r="H48" s="359"/>
      <c r="I48" s="359"/>
      <c r="J48" s="359"/>
      <c r="K48" s="359"/>
      <c r="L48" s="359"/>
      <c r="M48" s="359"/>
      <c r="N48" s="359"/>
      <c r="O48" s="397"/>
      <c r="P48" s="397"/>
      <c r="Q48" s="397"/>
    </row>
    <row r="49" spans="1:17" x14ac:dyDescent="0.25">
      <c r="A49" s="422"/>
      <c r="B49" s="456" t="s">
        <v>959</v>
      </c>
      <c r="C49" s="389"/>
      <c r="D49" s="389"/>
      <c r="E49" s="389"/>
      <c r="F49" s="359"/>
      <c r="G49" s="359"/>
      <c r="H49" s="359"/>
      <c r="I49" s="359"/>
      <c r="J49" s="359"/>
      <c r="K49" s="359"/>
      <c r="L49" s="359"/>
      <c r="M49" s="359"/>
      <c r="N49" s="359"/>
      <c r="O49" s="397"/>
      <c r="P49" s="397"/>
      <c r="Q49" s="397"/>
    </row>
    <row r="50" spans="1:17" x14ac:dyDescent="0.25">
      <c r="A50" s="422"/>
      <c r="B50" s="456" t="s">
        <v>960</v>
      </c>
      <c r="C50" s="359"/>
      <c r="D50" s="359"/>
      <c r="E50" s="359"/>
      <c r="F50" s="359"/>
      <c r="G50" s="359"/>
      <c r="H50" s="359"/>
      <c r="I50" s="359"/>
      <c r="J50" s="359"/>
      <c r="K50" s="359"/>
      <c r="L50" s="359"/>
      <c r="M50" s="359"/>
      <c r="P50" s="397"/>
      <c r="Q50" s="397"/>
    </row>
    <row r="51" spans="1:17" x14ac:dyDescent="0.25">
      <c r="A51" s="422"/>
      <c r="B51" s="456" t="s">
        <v>930</v>
      </c>
      <c r="C51" s="359"/>
      <c r="D51" s="450"/>
      <c r="E51" s="359"/>
      <c r="F51" s="359"/>
      <c r="G51" s="359"/>
      <c r="H51" s="359"/>
      <c r="I51" s="359"/>
      <c r="J51" s="359"/>
      <c r="K51" s="359"/>
      <c r="L51" s="359"/>
      <c r="M51" s="359"/>
      <c r="P51" s="397"/>
      <c r="Q51" s="397"/>
    </row>
    <row r="52" spans="1:17" x14ac:dyDescent="0.25">
      <c r="A52" s="422"/>
      <c r="B52" s="456" t="s">
        <v>968</v>
      </c>
      <c r="C52" s="399"/>
      <c r="D52" s="429"/>
      <c r="E52" s="400"/>
      <c r="F52" s="359"/>
      <c r="G52" s="359"/>
      <c r="H52" s="359"/>
      <c r="I52" s="359"/>
      <c r="J52" s="359"/>
      <c r="K52" s="359"/>
      <c r="L52" s="359"/>
      <c r="M52" s="359"/>
      <c r="P52" s="397"/>
      <c r="Q52" s="397"/>
    </row>
    <row r="53" spans="1:17" x14ac:dyDescent="0.25">
      <c r="B53" s="456" t="s">
        <v>955</v>
      </c>
      <c r="C53" s="399"/>
      <c r="D53" s="400"/>
      <c r="E53" s="400"/>
    </row>
    <row r="54" spans="1:17" x14ac:dyDescent="0.25">
      <c r="B54" s="456" t="s">
        <v>956</v>
      </c>
      <c r="C54" s="399"/>
      <c r="D54" s="423"/>
      <c r="E54" s="423"/>
    </row>
    <row r="55" spans="1:17" x14ac:dyDescent="0.25">
      <c r="B55" s="456" t="s">
        <v>961</v>
      </c>
      <c r="C55" s="389"/>
      <c r="D55" s="389"/>
      <c r="E55" s="389"/>
    </row>
    <row r="56" spans="1:17" x14ac:dyDescent="0.25">
      <c r="B56" s="456" t="s">
        <v>957</v>
      </c>
    </row>
    <row r="57" spans="1:17" x14ac:dyDescent="0.25">
      <c r="B57" s="456" t="s">
        <v>958</v>
      </c>
    </row>
    <row r="59" spans="1:17" x14ac:dyDescent="0.25">
      <c r="B59" s="390"/>
      <c r="C59" s="359"/>
      <c r="D59" s="359"/>
      <c r="E59" s="359"/>
      <c r="F59" s="377"/>
      <c r="G59" s="377"/>
      <c r="H59" s="422" t="s">
        <v>945</v>
      </c>
      <c r="I59" s="422" t="s">
        <v>948</v>
      </c>
      <c r="J59" s="422" t="s">
        <v>949</v>
      </c>
      <c r="K59" s="422" t="s">
        <v>952</v>
      </c>
      <c r="L59" s="422" t="s">
        <v>953</v>
      </c>
    </row>
    <row r="60" spans="1:17" x14ac:dyDescent="0.25">
      <c r="B60" s="390"/>
      <c r="C60" s="359"/>
      <c r="D60" s="359"/>
      <c r="E60" s="359"/>
      <c r="F60" s="377"/>
      <c r="G60" s="377"/>
      <c r="H60" s="412" t="s">
        <v>832</v>
      </c>
      <c r="I60" s="412" t="s">
        <v>914</v>
      </c>
      <c r="J60" s="377"/>
    </row>
    <row r="61" spans="1:17" ht="39" x14ac:dyDescent="0.25">
      <c r="B61" s="457" t="s">
        <v>944</v>
      </c>
      <c r="C61" s="359"/>
      <c r="D61" s="458" t="s">
        <v>933</v>
      </c>
      <c r="E61" s="375"/>
      <c r="F61" s="377"/>
      <c r="G61" s="377"/>
      <c r="H61" s="459" t="s">
        <v>841</v>
      </c>
      <c r="I61" s="459" t="s">
        <v>842</v>
      </c>
      <c r="J61" s="459" t="s">
        <v>942</v>
      </c>
      <c r="K61" s="459" t="s">
        <v>950</v>
      </c>
      <c r="L61" s="459" t="s">
        <v>951</v>
      </c>
    </row>
    <row r="62" spans="1:17" x14ac:dyDescent="0.25">
      <c r="B62" s="399" t="s">
        <v>934</v>
      </c>
      <c r="C62" s="460" t="s">
        <v>814</v>
      </c>
      <c r="D62" s="461"/>
      <c r="E62" s="462"/>
      <c r="F62" s="377"/>
      <c r="G62" s="399" t="s">
        <v>946</v>
      </c>
      <c r="H62" s="359">
        <f>M24</f>
        <v>0</v>
      </c>
      <c r="I62" s="359">
        <f>N24</f>
        <v>0</v>
      </c>
      <c r="J62" s="463">
        <f>D67-1</f>
        <v>0</v>
      </c>
      <c r="K62" s="359">
        <f>H62*J62</f>
        <v>0</v>
      </c>
      <c r="L62" s="359">
        <f>I62*J62</f>
        <v>0</v>
      </c>
    </row>
    <row r="63" spans="1:17" x14ac:dyDescent="0.25">
      <c r="B63" s="399" t="s">
        <v>935</v>
      </c>
      <c r="C63" s="460" t="s">
        <v>815</v>
      </c>
      <c r="D63" s="461"/>
      <c r="E63" s="462"/>
      <c r="F63" s="377"/>
      <c r="G63" s="399" t="s">
        <v>947</v>
      </c>
      <c r="H63" s="359">
        <f>M43</f>
        <v>0</v>
      </c>
      <c r="I63" s="359">
        <f>N43</f>
        <v>0</v>
      </c>
      <c r="J63" s="463">
        <f>D67-1</f>
        <v>0</v>
      </c>
      <c r="K63" s="359">
        <f>H63*J63</f>
        <v>0</v>
      </c>
      <c r="L63" s="359">
        <f>I63*J63</f>
        <v>0</v>
      </c>
    </row>
    <row r="64" spans="1:17" x14ac:dyDescent="0.25">
      <c r="B64" s="399" t="s">
        <v>936</v>
      </c>
      <c r="C64" s="460" t="s">
        <v>937</v>
      </c>
      <c r="D64" s="465">
        <f>-D63*D62</f>
        <v>0</v>
      </c>
      <c r="E64" s="462"/>
      <c r="F64" s="462"/>
      <c r="G64" s="391"/>
      <c r="H64" s="391"/>
      <c r="I64" s="391"/>
      <c r="J64" s="391"/>
      <c r="K64" s="391"/>
      <c r="L64" s="391"/>
    </row>
    <row r="65" spans="2:6" x14ac:dyDescent="0.25">
      <c r="B65" s="399" t="s">
        <v>938</v>
      </c>
      <c r="C65" s="460" t="s">
        <v>939</v>
      </c>
      <c r="D65" s="466">
        <f>SUM(D62:D64)</f>
        <v>0</v>
      </c>
      <c r="E65" s="464"/>
      <c r="F65" s="462"/>
    </row>
    <row r="66" spans="2:6" x14ac:dyDescent="0.25">
      <c r="B66" s="399" t="s">
        <v>940</v>
      </c>
      <c r="C66" s="460" t="s">
        <v>941</v>
      </c>
      <c r="D66" s="466">
        <f>1-D65</f>
        <v>1</v>
      </c>
      <c r="E66" s="464"/>
      <c r="F66" s="462"/>
    </row>
    <row r="67" spans="2:6" x14ac:dyDescent="0.25">
      <c r="B67" s="399" t="s">
        <v>942</v>
      </c>
      <c r="C67" s="460" t="s">
        <v>943</v>
      </c>
      <c r="D67" s="467">
        <f>1/D66</f>
        <v>1</v>
      </c>
      <c r="E67" s="463"/>
      <c r="F67" s="463"/>
    </row>
  </sheetData>
  <mergeCells count="1">
    <mergeCell ref="B5:O5"/>
  </mergeCells>
  <printOptions horizontalCentered="1"/>
  <pageMargins left="0.25" right="0.25" top="0.5" bottom="0.5" header="0.5" footer="0.25"/>
  <pageSetup scale="48" orientation="landscape" r:id="rId1"/>
  <headerFooter scaleWithDoc="0">
    <oddFooter>&amp;C&amp;"Times New Roman,Regular"&amp;10&amp;A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2"/>
  <sheetViews>
    <sheetView zoomScale="80" zoomScaleNormal="80" workbookViewId="0"/>
  </sheetViews>
  <sheetFormatPr defaultColWidth="14.5703125" defaultRowHeight="15" x14ac:dyDescent="0.25"/>
  <cols>
    <col min="1" max="1" width="5.7109375" style="398" customWidth="1"/>
    <col min="2" max="2" width="45.7109375" style="398" customWidth="1"/>
    <col min="3" max="3" width="8.7109375" style="398" customWidth="1"/>
    <col min="4" max="7" width="16.5703125" style="398" customWidth="1"/>
    <col min="8" max="8" width="19.28515625" style="398" bestFit="1" customWidth="1"/>
    <col min="9" max="9" width="16.5703125" style="398" customWidth="1"/>
    <col min="10" max="10" width="45.7109375" style="398" customWidth="1"/>
    <col min="11" max="11" width="5.7109375" style="398" customWidth="1"/>
    <col min="12" max="12" width="15.7109375" style="398" customWidth="1"/>
    <col min="13" max="16384" width="14.5703125" style="398"/>
  </cols>
  <sheetData>
    <row r="1" spans="1:12" x14ac:dyDescent="0.25">
      <c r="A1" s="404"/>
      <c r="B1" s="402" t="s">
        <v>16</v>
      </c>
      <c r="C1" s="403"/>
      <c r="D1" s="403"/>
      <c r="E1" s="403"/>
      <c r="F1" s="403"/>
      <c r="G1" s="403"/>
      <c r="H1" s="403"/>
      <c r="I1" s="403"/>
      <c r="J1" s="403"/>
      <c r="K1" s="404"/>
    </row>
    <row r="2" spans="1:12" x14ac:dyDescent="0.25">
      <c r="A2" s="404"/>
      <c r="B2" s="402" t="s">
        <v>867</v>
      </c>
      <c r="C2" s="403"/>
      <c r="D2" s="403"/>
      <c r="E2" s="403"/>
      <c r="F2" s="403"/>
      <c r="G2" s="403"/>
      <c r="H2" s="403"/>
      <c r="I2" s="403"/>
      <c r="J2" s="403"/>
      <c r="K2" s="404"/>
    </row>
    <row r="3" spans="1:12" x14ac:dyDescent="0.25">
      <c r="A3" s="404"/>
      <c r="B3" s="370" t="s">
        <v>879</v>
      </c>
      <c r="C3" s="403"/>
      <c r="D3" s="403"/>
      <c r="E3" s="403"/>
      <c r="F3" s="403"/>
      <c r="G3" s="403"/>
      <c r="H3" s="403"/>
      <c r="I3" s="403"/>
      <c r="J3" s="403"/>
      <c r="K3" s="404"/>
    </row>
    <row r="4" spans="1:12" x14ac:dyDescent="0.25">
      <c r="A4" s="409"/>
      <c r="B4" s="430" t="s">
        <v>1149</v>
      </c>
      <c r="C4" s="431"/>
      <c r="D4" s="431"/>
      <c r="E4" s="431"/>
      <c r="F4" s="431"/>
      <c r="G4" s="431"/>
      <c r="H4" s="431"/>
      <c r="I4" s="431"/>
      <c r="J4" s="431"/>
      <c r="K4" s="432"/>
      <c r="L4" s="408"/>
    </row>
    <row r="5" spans="1:12" x14ac:dyDescent="0.25">
      <c r="A5" s="409"/>
      <c r="B5" s="593" t="s">
        <v>1</v>
      </c>
      <c r="C5" s="593"/>
      <c r="D5" s="593"/>
      <c r="E5" s="593"/>
      <c r="F5" s="593"/>
      <c r="G5" s="593"/>
      <c r="H5" s="593"/>
      <c r="I5" s="593"/>
      <c r="J5" s="593"/>
      <c r="K5" s="432"/>
      <c r="L5" s="408"/>
    </row>
    <row r="6" spans="1:12" x14ac:dyDescent="0.25">
      <c r="A6" s="359"/>
      <c r="B6" s="433"/>
      <c r="C6" s="376"/>
      <c r="D6" s="376"/>
      <c r="E6" s="376"/>
      <c r="F6" s="376"/>
      <c r="G6" s="376"/>
      <c r="H6" s="376"/>
      <c r="I6" s="376"/>
      <c r="J6" s="411"/>
      <c r="K6" s="411"/>
      <c r="L6" s="397"/>
    </row>
    <row r="7" spans="1:12" x14ac:dyDescent="0.25">
      <c r="A7" s="359"/>
      <c r="B7" s="433"/>
      <c r="C7" s="376"/>
      <c r="D7" s="376"/>
      <c r="E7" s="376"/>
      <c r="F7" s="376"/>
      <c r="G7" s="376"/>
      <c r="H7" s="400" t="s">
        <v>860</v>
      </c>
      <c r="I7" s="565" t="s">
        <v>1145</v>
      </c>
      <c r="J7" s="411"/>
      <c r="K7" s="411"/>
      <c r="L7" s="397"/>
    </row>
    <row r="8" spans="1:12" x14ac:dyDescent="0.25">
      <c r="A8" s="359"/>
      <c r="B8" s="433"/>
      <c r="C8" s="376"/>
      <c r="D8" s="376"/>
      <c r="E8" s="376"/>
      <c r="F8" s="376"/>
      <c r="G8" s="376"/>
      <c r="H8" s="400" t="s">
        <v>848</v>
      </c>
      <c r="I8" s="434" t="s">
        <v>1148</v>
      </c>
      <c r="J8" s="411"/>
      <c r="K8" s="411"/>
      <c r="L8" s="397"/>
    </row>
    <row r="9" spans="1:12" x14ac:dyDescent="0.25">
      <c r="A9" s="359"/>
      <c r="B9" s="359"/>
      <c r="C9" s="359"/>
      <c r="D9" s="359"/>
      <c r="E9" s="359"/>
      <c r="F9" s="359"/>
      <c r="G9" s="359"/>
      <c r="H9" s="399" t="s">
        <v>849</v>
      </c>
      <c r="I9" s="435"/>
      <c r="J9" s="411"/>
      <c r="K9" s="411"/>
      <c r="L9" s="397"/>
    </row>
    <row r="10" spans="1:12" x14ac:dyDescent="0.25">
      <c r="A10" s="359"/>
      <c r="B10" s="359"/>
      <c r="C10" s="359"/>
      <c r="D10" s="359"/>
      <c r="E10" s="359"/>
      <c r="F10" s="359"/>
      <c r="G10" s="359"/>
      <c r="H10" s="399"/>
      <c r="I10" s="399"/>
      <c r="J10" s="411"/>
      <c r="K10" s="411"/>
      <c r="L10" s="397"/>
    </row>
    <row r="11" spans="1:12" x14ac:dyDescent="0.25">
      <c r="A11" s="376"/>
      <c r="B11" s="412" t="s">
        <v>531</v>
      </c>
      <c r="C11" s="412" t="s">
        <v>532</v>
      </c>
      <c r="D11" s="412" t="s">
        <v>533</v>
      </c>
      <c r="E11" s="412" t="s">
        <v>534</v>
      </c>
      <c r="F11" s="412" t="s">
        <v>535</v>
      </c>
      <c r="G11" s="412" t="s">
        <v>536</v>
      </c>
      <c r="H11" s="412" t="s">
        <v>537</v>
      </c>
      <c r="I11" s="412" t="s">
        <v>538</v>
      </c>
      <c r="J11" s="411"/>
      <c r="K11" s="411"/>
      <c r="L11" s="397"/>
    </row>
    <row r="12" spans="1:12" ht="15.75" thickBot="1" x14ac:dyDescent="0.3">
      <c r="A12" s="359"/>
      <c r="B12" s="376"/>
      <c r="C12" s="376"/>
      <c r="D12" s="359"/>
      <c r="E12" s="359"/>
      <c r="F12" s="359"/>
      <c r="G12" s="359"/>
      <c r="H12" s="359"/>
      <c r="I12" s="359"/>
      <c r="J12" s="411"/>
      <c r="K12" s="411"/>
      <c r="L12" s="397"/>
    </row>
    <row r="13" spans="1:12" ht="15.75" thickBot="1" x14ac:dyDescent="0.3">
      <c r="A13" s="359"/>
      <c r="B13" s="376"/>
      <c r="C13" s="376"/>
      <c r="D13" s="597" t="s">
        <v>858</v>
      </c>
      <c r="E13" s="598"/>
      <c r="F13" s="598"/>
      <c r="G13" s="598"/>
      <c r="H13" s="598"/>
      <c r="I13" s="599"/>
      <c r="J13" s="411"/>
      <c r="K13" s="411"/>
      <c r="L13" s="397"/>
    </row>
    <row r="14" spans="1:12" ht="15.75" thickBot="1" x14ac:dyDescent="0.3">
      <c r="A14" s="359"/>
      <c r="B14" s="376"/>
      <c r="C14" s="376"/>
      <c r="D14" s="415"/>
      <c r="E14" s="415"/>
      <c r="F14" s="436" t="s">
        <v>850</v>
      </c>
      <c r="G14" s="437" t="s">
        <v>851</v>
      </c>
      <c r="H14" s="436" t="s">
        <v>868</v>
      </c>
      <c r="I14" s="436" t="s">
        <v>852</v>
      </c>
      <c r="J14" s="411"/>
      <c r="K14" s="411"/>
      <c r="L14" s="397"/>
    </row>
    <row r="15" spans="1:12" ht="51.75" thickBot="1" x14ac:dyDescent="0.3">
      <c r="A15" s="417" t="s">
        <v>833</v>
      </c>
      <c r="B15" s="442" t="s">
        <v>926</v>
      </c>
      <c r="C15" s="418" t="s">
        <v>834</v>
      </c>
      <c r="D15" s="419" t="s">
        <v>911</v>
      </c>
      <c r="E15" s="419" t="s">
        <v>921</v>
      </c>
      <c r="F15" s="419" t="s">
        <v>912</v>
      </c>
      <c r="G15" s="419" t="s">
        <v>853</v>
      </c>
      <c r="H15" s="419" t="s">
        <v>854</v>
      </c>
      <c r="I15" s="419" t="s">
        <v>855</v>
      </c>
      <c r="J15" s="442" t="s">
        <v>7</v>
      </c>
      <c r="K15" s="417" t="s">
        <v>833</v>
      </c>
      <c r="L15" s="392"/>
    </row>
    <row r="16" spans="1:12" x14ac:dyDescent="0.25">
      <c r="A16" s="375">
        <v>1</v>
      </c>
      <c r="B16" s="359" t="s">
        <v>925</v>
      </c>
      <c r="C16" s="382"/>
      <c r="D16" s="359"/>
      <c r="E16" s="359"/>
      <c r="F16" s="359"/>
      <c r="G16" s="359"/>
      <c r="H16" s="359"/>
      <c r="I16" s="359"/>
      <c r="J16" s="359"/>
      <c r="K16" s="375">
        <v>1</v>
      </c>
      <c r="L16" s="397"/>
    </row>
    <row r="17" spans="1:12" x14ac:dyDescent="0.25">
      <c r="A17" s="375">
        <f t="shared" ref="A17:A48" si="0">+A16+1</f>
        <v>2</v>
      </c>
      <c r="B17" s="359" t="s">
        <v>898</v>
      </c>
      <c r="C17" s="375"/>
      <c r="D17" s="363"/>
      <c r="E17" s="363"/>
      <c r="F17" s="359"/>
      <c r="G17" s="359"/>
      <c r="H17" s="359"/>
      <c r="I17" s="359"/>
      <c r="J17" s="376"/>
      <c r="K17" s="375">
        <f t="shared" ref="K17:K48" si="1">+K16+1</f>
        <v>2</v>
      </c>
      <c r="L17" s="397"/>
    </row>
    <row r="18" spans="1:12" x14ac:dyDescent="0.25">
      <c r="A18" s="375">
        <f t="shared" si="0"/>
        <v>3</v>
      </c>
      <c r="B18" s="359" t="s">
        <v>899</v>
      </c>
      <c r="C18" s="375">
        <v>190</v>
      </c>
      <c r="D18" s="363"/>
      <c r="E18" s="363"/>
      <c r="F18" s="359">
        <f t="shared" ref="F18:F20" si="2">+D18*$I$9</f>
        <v>0</v>
      </c>
      <c r="G18" s="359">
        <f t="shared" ref="G18:G20" si="3">+E18-F18</f>
        <v>0</v>
      </c>
      <c r="H18" s="359">
        <f>IF(+$I$8="No",0,'Order 864-3'!K15)</f>
        <v>0</v>
      </c>
      <c r="I18" s="359">
        <f t="shared" ref="I18:I20" si="4">+G18-H18</f>
        <v>0</v>
      </c>
      <c r="J18" s="376" t="s">
        <v>247</v>
      </c>
      <c r="K18" s="375">
        <f t="shared" si="1"/>
        <v>3</v>
      </c>
      <c r="L18" s="397"/>
    </row>
    <row r="19" spans="1:12" x14ac:dyDescent="0.25">
      <c r="A19" s="375">
        <f t="shared" si="0"/>
        <v>4</v>
      </c>
      <c r="B19" s="359" t="s">
        <v>900</v>
      </c>
      <c r="C19" s="375">
        <v>190</v>
      </c>
      <c r="D19" s="363"/>
      <c r="E19" s="363"/>
      <c r="F19" s="359">
        <f t="shared" si="2"/>
        <v>0</v>
      </c>
      <c r="G19" s="359">
        <f t="shared" si="3"/>
        <v>0</v>
      </c>
      <c r="H19" s="359">
        <f>IF(+$I$8="No",0,'Order 864-3'!K16)</f>
        <v>0</v>
      </c>
      <c r="I19" s="359">
        <f t="shared" si="4"/>
        <v>0</v>
      </c>
      <c r="J19" s="376" t="s">
        <v>247</v>
      </c>
      <c r="K19" s="375">
        <f t="shared" si="1"/>
        <v>4</v>
      </c>
      <c r="L19" s="397"/>
    </row>
    <row r="20" spans="1:12" x14ac:dyDescent="0.25">
      <c r="A20" s="375">
        <f t="shared" si="0"/>
        <v>5</v>
      </c>
      <c r="B20" s="359" t="s">
        <v>901</v>
      </c>
      <c r="C20" s="375">
        <v>190</v>
      </c>
      <c r="D20" s="363"/>
      <c r="E20" s="363"/>
      <c r="F20" s="359">
        <f t="shared" si="2"/>
        <v>0</v>
      </c>
      <c r="G20" s="359">
        <f t="shared" si="3"/>
        <v>0</v>
      </c>
      <c r="H20" s="359">
        <f>IF(+$I$8="No",0,'Order 864-3'!K17)</f>
        <v>0</v>
      </c>
      <c r="I20" s="359">
        <f t="shared" si="4"/>
        <v>0</v>
      </c>
      <c r="J20" s="376" t="s">
        <v>247</v>
      </c>
      <c r="K20" s="375">
        <f t="shared" si="1"/>
        <v>5</v>
      </c>
      <c r="L20" s="397"/>
    </row>
    <row r="21" spans="1:12" x14ac:dyDescent="0.25">
      <c r="A21" s="375">
        <f t="shared" si="0"/>
        <v>6</v>
      </c>
      <c r="B21" s="359" t="s">
        <v>902</v>
      </c>
      <c r="C21" s="375"/>
      <c r="D21" s="363"/>
      <c r="E21" s="363"/>
      <c r="F21" s="359"/>
      <c r="G21" s="359"/>
      <c r="H21" s="359"/>
      <c r="I21" s="359"/>
      <c r="J21" s="376"/>
      <c r="K21" s="375">
        <f t="shared" si="1"/>
        <v>6</v>
      </c>
      <c r="L21" s="397"/>
    </row>
    <row r="22" spans="1:12" x14ac:dyDescent="0.25">
      <c r="A22" s="375">
        <f t="shared" si="0"/>
        <v>7</v>
      </c>
      <c r="B22" s="359" t="s">
        <v>903</v>
      </c>
      <c r="C22" s="375">
        <v>190</v>
      </c>
      <c r="D22" s="363"/>
      <c r="E22" s="363"/>
      <c r="F22" s="359">
        <f t="shared" ref="F22" si="5">+D22*$I$9</f>
        <v>0</v>
      </c>
      <c r="G22" s="359">
        <f t="shared" ref="G22" si="6">+E22-F22</f>
        <v>0</v>
      </c>
      <c r="H22" s="359">
        <f>IF(+$I$8="No",0,'Order 864-3'!K19)</f>
        <v>0</v>
      </c>
      <c r="I22" s="359">
        <f t="shared" ref="I22" si="7">+G22-H22</f>
        <v>0</v>
      </c>
      <c r="J22" s="376" t="s">
        <v>247</v>
      </c>
      <c r="K22" s="375">
        <f t="shared" si="1"/>
        <v>7</v>
      </c>
      <c r="L22" s="397"/>
    </row>
    <row r="23" spans="1:12" x14ac:dyDescent="0.25">
      <c r="A23" s="375">
        <f t="shared" si="0"/>
        <v>8</v>
      </c>
      <c r="B23" s="359" t="s">
        <v>904</v>
      </c>
      <c r="C23" s="375"/>
      <c r="D23" s="363"/>
      <c r="E23" s="363"/>
      <c r="F23" s="359"/>
      <c r="G23" s="359"/>
      <c r="H23" s="359"/>
      <c r="I23" s="359"/>
      <c r="J23" s="376"/>
      <c r="K23" s="375">
        <f t="shared" si="1"/>
        <v>8</v>
      </c>
      <c r="L23" s="397"/>
    </row>
    <row r="24" spans="1:12" x14ac:dyDescent="0.25">
      <c r="A24" s="375">
        <f t="shared" si="0"/>
        <v>9</v>
      </c>
      <c r="B24" s="359" t="s">
        <v>905</v>
      </c>
      <c r="C24" s="375">
        <v>283</v>
      </c>
      <c r="D24" s="363"/>
      <c r="E24" s="363"/>
      <c r="F24" s="359">
        <f t="shared" ref="F24:F25" si="8">+D24*$I$9</f>
        <v>0</v>
      </c>
      <c r="G24" s="359">
        <f t="shared" ref="G24:G25" si="9">+E24-F24</f>
        <v>0</v>
      </c>
      <c r="H24" s="359">
        <f>IF(+$I$8="No",0,'Order 864-3'!K21)</f>
        <v>0</v>
      </c>
      <c r="I24" s="359">
        <f t="shared" ref="I24:I25" si="10">+G24-H24</f>
        <v>0</v>
      </c>
      <c r="J24" s="376" t="s">
        <v>247</v>
      </c>
      <c r="K24" s="375">
        <f t="shared" si="1"/>
        <v>9</v>
      </c>
      <c r="L24" s="397"/>
    </row>
    <row r="25" spans="1:12" x14ac:dyDescent="0.25">
      <c r="A25" s="375">
        <f t="shared" si="0"/>
        <v>10</v>
      </c>
      <c r="B25" s="359" t="s">
        <v>906</v>
      </c>
      <c r="C25" s="375">
        <v>283</v>
      </c>
      <c r="D25" s="395"/>
      <c r="E25" s="395"/>
      <c r="F25" s="396">
        <f t="shared" si="8"/>
        <v>0</v>
      </c>
      <c r="G25" s="396">
        <f t="shared" si="9"/>
        <v>0</v>
      </c>
      <c r="H25" s="396">
        <f>IF(+$I$8="No",0,'Order 864-3'!K22)</f>
        <v>0</v>
      </c>
      <c r="I25" s="396">
        <f t="shared" si="10"/>
        <v>0</v>
      </c>
      <c r="J25" s="376" t="s">
        <v>247</v>
      </c>
      <c r="K25" s="375">
        <f t="shared" si="1"/>
        <v>10</v>
      </c>
      <c r="L25" s="397"/>
    </row>
    <row r="26" spans="1:12" x14ac:dyDescent="0.25">
      <c r="A26" s="375">
        <f t="shared" si="0"/>
        <v>11</v>
      </c>
      <c r="B26" s="376"/>
      <c r="C26" s="377"/>
      <c r="D26" s="359"/>
      <c r="E26" s="359"/>
      <c r="F26" s="359"/>
      <c r="G26" s="359"/>
      <c r="H26" s="359"/>
      <c r="I26" s="359"/>
      <c r="J26" s="359"/>
      <c r="K26" s="375">
        <f t="shared" si="1"/>
        <v>11</v>
      </c>
      <c r="L26" s="397"/>
    </row>
    <row r="27" spans="1:12" ht="15.75" thickBot="1" x14ac:dyDescent="0.3">
      <c r="A27" s="375">
        <f t="shared" si="0"/>
        <v>12</v>
      </c>
      <c r="B27" s="376" t="s">
        <v>927</v>
      </c>
      <c r="C27" s="377"/>
      <c r="D27" s="357">
        <f>SUM(D17:D25)</f>
        <v>0</v>
      </c>
      <c r="E27" s="357">
        <f t="shared" ref="E27:I27" si="11">SUM(E17:E25)</f>
        <v>0</v>
      </c>
      <c r="F27" s="357">
        <f t="shared" si="11"/>
        <v>0</v>
      </c>
      <c r="G27" s="357">
        <f t="shared" si="11"/>
        <v>0</v>
      </c>
      <c r="H27" s="357">
        <f t="shared" si="11"/>
        <v>0</v>
      </c>
      <c r="I27" s="357">
        <f t="shared" si="11"/>
        <v>0</v>
      </c>
      <c r="J27" s="376" t="s">
        <v>916</v>
      </c>
      <c r="K27" s="375">
        <f t="shared" si="1"/>
        <v>12</v>
      </c>
      <c r="L27" s="397"/>
    </row>
    <row r="28" spans="1:12" ht="15.75" thickTop="1" x14ac:dyDescent="0.25">
      <c r="A28" s="375">
        <f t="shared" si="0"/>
        <v>13</v>
      </c>
      <c r="B28" s="393"/>
      <c r="C28" s="377"/>
      <c r="D28" s="380"/>
      <c r="E28" s="380"/>
      <c r="F28" s="380"/>
      <c r="G28" s="380"/>
      <c r="H28" s="380"/>
      <c r="I28" s="380"/>
      <c r="J28" s="359"/>
      <c r="K28" s="375">
        <f t="shared" si="1"/>
        <v>13</v>
      </c>
      <c r="L28" s="397"/>
    </row>
    <row r="29" spans="1:12" x14ac:dyDescent="0.25">
      <c r="A29" s="375">
        <f t="shared" si="0"/>
        <v>14</v>
      </c>
      <c r="B29" s="359" t="s">
        <v>928</v>
      </c>
      <c r="C29" s="381"/>
      <c r="D29" s="359"/>
      <c r="E29" s="359"/>
      <c r="F29" s="359"/>
      <c r="G29" s="359"/>
      <c r="H29" s="359"/>
      <c r="I29" s="359"/>
      <c r="J29" s="359"/>
      <c r="K29" s="375">
        <f t="shared" si="1"/>
        <v>14</v>
      </c>
      <c r="L29" s="397"/>
    </row>
    <row r="30" spans="1:12" x14ac:dyDescent="0.25">
      <c r="A30" s="375">
        <f t="shared" si="0"/>
        <v>15</v>
      </c>
      <c r="B30" s="359" t="s">
        <v>420</v>
      </c>
      <c r="C30" s="375">
        <v>190</v>
      </c>
      <c r="D30" s="438"/>
      <c r="E30" s="363"/>
      <c r="F30" s="359">
        <f>+D30*$I$9</f>
        <v>0</v>
      </c>
      <c r="G30" s="359">
        <f>+E30-F30</f>
        <v>0</v>
      </c>
      <c r="H30" s="359">
        <f>IF(+$I$8="No",0,'Order 864-3'!K27)</f>
        <v>0</v>
      </c>
      <c r="I30" s="359">
        <f>+G30-H30</f>
        <v>0</v>
      </c>
      <c r="J30" s="376" t="s">
        <v>247</v>
      </c>
      <c r="K30" s="375">
        <f t="shared" si="1"/>
        <v>15</v>
      </c>
      <c r="L30" s="397"/>
    </row>
    <row r="31" spans="1:12" x14ac:dyDescent="0.25">
      <c r="A31" s="375">
        <f t="shared" si="0"/>
        <v>16</v>
      </c>
      <c r="B31" s="359" t="s">
        <v>907</v>
      </c>
      <c r="C31" s="375"/>
      <c r="D31" s="438"/>
      <c r="E31" s="363"/>
      <c r="F31" s="359"/>
      <c r="G31" s="359"/>
      <c r="H31" s="359"/>
      <c r="I31" s="359"/>
      <c r="J31" s="376"/>
      <c r="K31" s="375">
        <f t="shared" si="1"/>
        <v>16</v>
      </c>
      <c r="L31" s="397"/>
    </row>
    <row r="32" spans="1:12" x14ac:dyDescent="0.25">
      <c r="A32" s="375">
        <f t="shared" si="0"/>
        <v>17</v>
      </c>
      <c r="B32" s="359" t="s">
        <v>908</v>
      </c>
      <c r="C32" s="375">
        <v>282</v>
      </c>
      <c r="D32" s="438"/>
      <c r="E32" s="363"/>
      <c r="F32" s="359">
        <f t="shared" ref="F32:F34" si="12">+D32*$I$9</f>
        <v>0</v>
      </c>
      <c r="G32" s="359">
        <f t="shared" ref="G32:G34" si="13">+E32-F32</f>
        <v>0</v>
      </c>
      <c r="H32" s="359">
        <f>IF(+$I$8="No",0,'Order 864-3'!K29)</f>
        <v>0</v>
      </c>
      <c r="I32" s="359">
        <f t="shared" ref="I32:I34" si="14">+G32-H32</f>
        <v>0</v>
      </c>
      <c r="J32" s="376" t="s">
        <v>247</v>
      </c>
      <c r="K32" s="375">
        <f t="shared" si="1"/>
        <v>17</v>
      </c>
      <c r="L32" s="397"/>
    </row>
    <row r="33" spans="1:12" x14ac:dyDescent="0.25">
      <c r="A33" s="375">
        <f t="shared" si="0"/>
        <v>18</v>
      </c>
      <c r="B33" s="359" t="s">
        <v>909</v>
      </c>
      <c r="C33" s="375">
        <v>282</v>
      </c>
      <c r="D33" s="438"/>
      <c r="E33" s="363"/>
      <c r="F33" s="359">
        <f t="shared" si="12"/>
        <v>0</v>
      </c>
      <c r="G33" s="359">
        <f t="shared" si="13"/>
        <v>0</v>
      </c>
      <c r="H33" s="359">
        <f>IF(+$I$8="No",0,'Order 864-3'!K30)</f>
        <v>0</v>
      </c>
      <c r="I33" s="359">
        <f t="shared" si="14"/>
        <v>0</v>
      </c>
      <c r="J33" s="376" t="s">
        <v>247</v>
      </c>
      <c r="K33" s="375">
        <f t="shared" si="1"/>
        <v>18</v>
      </c>
      <c r="L33" s="397"/>
    </row>
    <row r="34" spans="1:12" x14ac:dyDescent="0.25">
      <c r="A34" s="375">
        <f t="shared" si="0"/>
        <v>19</v>
      </c>
      <c r="B34" s="359" t="s">
        <v>910</v>
      </c>
      <c r="C34" s="375">
        <v>282</v>
      </c>
      <c r="D34" s="438"/>
      <c r="E34" s="363"/>
      <c r="F34" s="359">
        <f t="shared" si="12"/>
        <v>0</v>
      </c>
      <c r="G34" s="359">
        <f t="shared" si="13"/>
        <v>0</v>
      </c>
      <c r="H34" s="359">
        <f>IF(+$I$8="No",0,'Order 864-3'!K31)</f>
        <v>0</v>
      </c>
      <c r="I34" s="359">
        <f t="shared" si="14"/>
        <v>0</v>
      </c>
      <c r="J34" s="376" t="s">
        <v>247</v>
      </c>
      <c r="K34" s="375">
        <f t="shared" si="1"/>
        <v>19</v>
      </c>
      <c r="L34" s="397"/>
    </row>
    <row r="35" spans="1:12" x14ac:dyDescent="0.25">
      <c r="A35" s="375">
        <f t="shared" si="0"/>
        <v>20</v>
      </c>
      <c r="B35" s="376" t="s">
        <v>843</v>
      </c>
      <c r="C35" s="377"/>
      <c r="D35" s="367">
        <f>SUM(D30:D34)</f>
        <v>0</v>
      </c>
      <c r="E35" s="367">
        <f t="shared" ref="E35:H35" si="15">SUM(E30:E34)</f>
        <v>0</v>
      </c>
      <c r="F35" s="367">
        <f t="shared" si="15"/>
        <v>0</v>
      </c>
      <c r="G35" s="367">
        <f t="shared" si="15"/>
        <v>0</v>
      </c>
      <c r="H35" s="367">
        <f t="shared" si="15"/>
        <v>0</v>
      </c>
      <c r="I35" s="367">
        <f>SUM(I30:I34)</f>
        <v>0</v>
      </c>
      <c r="J35" s="376" t="s">
        <v>917</v>
      </c>
      <c r="K35" s="375">
        <f t="shared" si="1"/>
        <v>20</v>
      </c>
      <c r="L35" s="397"/>
    </row>
    <row r="36" spans="1:12" x14ac:dyDescent="0.25">
      <c r="A36" s="375">
        <f t="shared" si="0"/>
        <v>21</v>
      </c>
      <c r="B36" s="359"/>
      <c r="C36" s="377"/>
      <c r="D36" s="359"/>
      <c r="E36" s="359"/>
      <c r="F36" s="359"/>
      <c r="G36" s="359"/>
      <c r="H36" s="359"/>
      <c r="I36" s="359"/>
      <c r="J36" s="359"/>
      <c r="K36" s="375">
        <f t="shared" si="1"/>
        <v>21</v>
      </c>
      <c r="L36" s="397"/>
    </row>
    <row r="37" spans="1:12" x14ac:dyDescent="0.25">
      <c r="A37" s="375">
        <f t="shared" si="0"/>
        <v>22</v>
      </c>
      <c r="B37" s="359" t="s">
        <v>929</v>
      </c>
      <c r="C37" s="382"/>
      <c r="D37" s="359"/>
      <c r="E37" s="359"/>
      <c r="F37" s="359"/>
      <c r="G37" s="359"/>
      <c r="H37" s="359"/>
      <c r="I37" s="359"/>
      <c r="J37" s="359"/>
      <c r="K37" s="375">
        <f t="shared" si="1"/>
        <v>22</v>
      </c>
      <c r="L37" s="397"/>
    </row>
    <row r="38" spans="1:12" x14ac:dyDescent="0.25">
      <c r="A38" s="375">
        <f t="shared" si="0"/>
        <v>23</v>
      </c>
      <c r="B38" s="359" t="s">
        <v>844</v>
      </c>
      <c r="C38" s="375">
        <v>282</v>
      </c>
      <c r="D38" s="363"/>
      <c r="E38" s="363"/>
      <c r="F38" s="359">
        <f t="shared" ref="F38:F40" si="16">+D38*$I$9</f>
        <v>0</v>
      </c>
      <c r="G38" s="359">
        <f t="shared" ref="G38:G40" si="17">+E38-F38</f>
        <v>0</v>
      </c>
      <c r="H38" s="359">
        <f>IF(+$I$8="No",0,'Order 864-3'!K35)</f>
        <v>0</v>
      </c>
      <c r="I38" s="359">
        <f t="shared" ref="I38:I40" si="18">+G38-H38</f>
        <v>0</v>
      </c>
      <c r="J38" s="376" t="s">
        <v>247</v>
      </c>
      <c r="K38" s="375">
        <f t="shared" si="1"/>
        <v>23</v>
      </c>
      <c r="L38" s="397"/>
    </row>
    <row r="39" spans="1:12" x14ac:dyDescent="0.25">
      <c r="A39" s="375">
        <f t="shared" si="0"/>
        <v>24</v>
      </c>
      <c r="B39" s="359" t="s">
        <v>845</v>
      </c>
      <c r="C39" s="375">
        <v>282</v>
      </c>
      <c r="D39" s="363"/>
      <c r="E39" s="363"/>
      <c r="F39" s="359">
        <f t="shared" si="16"/>
        <v>0</v>
      </c>
      <c r="G39" s="359">
        <f t="shared" si="17"/>
        <v>0</v>
      </c>
      <c r="H39" s="359">
        <f>IF(+$I$8="No",0,'Order 864-3'!K36)</f>
        <v>0</v>
      </c>
      <c r="I39" s="359">
        <f t="shared" si="18"/>
        <v>0</v>
      </c>
      <c r="J39" s="376" t="s">
        <v>247</v>
      </c>
      <c r="K39" s="375">
        <f t="shared" si="1"/>
        <v>24</v>
      </c>
      <c r="L39" s="397"/>
    </row>
    <row r="40" spans="1:12" x14ac:dyDescent="0.25">
      <c r="A40" s="375">
        <f t="shared" si="0"/>
        <v>25</v>
      </c>
      <c r="B40" s="359" t="s">
        <v>846</v>
      </c>
      <c r="C40" s="383">
        <v>282</v>
      </c>
      <c r="D40" s="363"/>
      <c r="E40" s="363"/>
      <c r="F40" s="359">
        <f t="shared" si="16"/>
        <v>0</v>
      </c>
      <c r="G40" s="359">
        <f t="shared" si="17"/>
        <v>0</v>
      </c>
      <c r="H40" s="359">
        <f>IF(+$I$8="No",0,'Order 864-3'!K37)</f>
        <v>0</v>
      </c>
      <c r="I40" s="359">
        <f t="shared" si="18"/>
        <v>0</v>
      </c>
      <c r="J40" s="376" t="s">
        <v>247</v>
      </c>
      <c r="K40" s="375">
        <f t="shared" si="1"/>
        <v>25</v>
      </c>
      <c r="L40" s="397"/>
    </row>
    <row r="41" spans="1:12" x14ac:dyDescent="0.25">
      <c r="A41" s="375">
        <f t="shared" si="0"/>
        <v>26</v>
      </c>
      <c r="B41" s="376" t="s">
        <v>843</v>
      </c>
      <c r="C41" s="377"/>
      <c r="D41" s="367">
        <f t="shared" ref="D41:I41" si="19">SUM(D38:D40)</f>
        <v>0</v>
      </c>
      <c r="E41" s="367">
        <f t="shared" si="19"/>
        <v>0</v>
      </c>
      <c r="F41" s="367">
        <f t="shared" si="19"/>
        <v>0</v>
      </c>
      <c r="G41" s="367">
        <f t="shared" si="19"/>
        <v>0</v>
      </c>
      <c r="H41" s="367">
        <f t="shared" si="19"/>
        <v>0</v>
      </c>
      <c r="I41" s="367">
        <f t="shared" si="19"/>
        <v>0</v>
      </c>
      <c r="J41" s="376" t="s">
        <v>918</v>
      </c>
      <c r="K41" s="375">
        <f t="shared" si="1"/>
        <v>26</v>
      </c>
      <c r="L41" s="397"/>
    </row>
    <row r="42" spans="1:12" x14ac:dyDescent="0.25">
      <c r="A42" s="375">
        <f t="shared" si="0"/>
        <v>27</v>
      </c>
      <c r="B42" s="393"/>
      <c r="C42" s="377"/>
      <c r="D42" s="427"/>
      <c r="E42" s="427"/>
      <c r="F42" s="427"/>
      <c r="G42" s="427"/>
      <c r="H42" s="427"/>
      <c r="I42" s="427"/>
      <c r="J42" s="359"/>
      <c r="K42" s="375">
        <f t="shared" si="1"/>
        <v>27</v>
      </c>
      <c r="L42" s="397"/>
    </row>
    <row r="43" spans="1:12" x14ac:dyDescent="0.25">
      <c r="A43" s="375">
        <f t="shared" si="0"/>
        <v>28</v>
      </c>
      <c r="B43" s="359" t="s">
        <v>929</v>
      </c>
      <c r="C43" s="377"/>
      <c r="D43" s="359"/>
      <c r="E43" s="359"/>
      <c r="F43" s="359"/>
      <c r="G43" s="359"/>
      <c r="H43" s="359"/>
      <c r="I43" s="359"/>
      <c r="J43" s="359"/>
      <c r="K43" s="375">
        <f t="shared" si="1"/>
        <v>28</v>
      </c>
      <c r="L43" s="397"/>
    </row>
    <row r="44" spans="1:12" x14ac:dyDescent="0.25">
      <c r="A44" s="375">
        <f t="shared" si="0"/>
        <v>29</v>
      </c>
      <c r="B44" s="359" t="s">
        <v>887</v>
      </c>
      <c r="C44" s="383">
        <v>282</v>
      </c>
      <c r="D44" s="439"/>
      <c r="E44" s="439"/>
      <c r="F44" s="384">
        <f t="shared" ref="F44" si="20">+D44*$I$9</f>
        <v>0</v>
      </c>
      <c r="G44" s="384">
        <f>+E44-F44</f>
        <v>0</v>
      </c>
      <c r="H44" s="384">
        <f>IF(+$I$8="No",0,'Order 864-3'!K41)</f>
        <v>0</v>
      </c>
      <c r="I44" s="384">
        <f>+G44-H44</f>
        <v>0</v>
      </c>
      <c r="J44" s="376" t="s">
        <v>247</v>
      </c>
      <c r="K44" s="375">
        <f t="shared" si="1"/>
        <v>29</v>
      </c>
      <c r="L44" s="397"/>
    </row>
    <row r="45" spans="1:12" x14ac:dyDescent="0.25">
      <c r="A45" s="375">
        <f t="shared" si="0"/>
        <v>30</v>
      </c>
      <c r="B45" s="359"/>
      <c r="C45" s="377"/>
      <c r="D45" s="386"/>
      <c r="E45" s="386"/>
      <c r="F45" s="386"/>
      <c r="G45" s="386"/>
      <c r="H45" s="386"/>
      <c r="I45" s="386"/>
      <c r="J45" s="359"/>
      <c r="K45" s="375">
        <f t="shared" si="1"/>
        <v>30</v>
      </c>
      <c r="L45" s="397"/>
    </row>
    <row r="46" spans="1:12" ht="15.75" thickBot="1" x14ac:dyDescent="0.3">
      <c r="A46" s="375">
        <f t="shared" si="0"/>
        <v>31</v>
      </c>
      <c r="B46" s="376" t="s">
        <v>931</v>
      </c>
      <c r="C46" s="377"/>
      <c r="D46" s="379">
        <f t="shared" ref="D46:I46" si="21">D35+D41+D44</f>
        <v>0</v>
      </c>
      <c r="E46" s="379">
        <f t="shared" si="21"/>
        <v>0</v>
      </c>
      <c r="F46" s="379">
        <f t="shared" si="21"/>
        <v>0</v>
      </c>
      <c r="G46" s="379">
        <f t="shared" si="21"/>
        <v>0</v>
      </c>
      <c r="H46" s="379">
        <f t="shared" si="21"/>
        <v>0</v>
      </c>
      <c r="I46" s="379">
        <f t="shared" si="21"/>
        <v>0</v>
      </c>
      <c r="J46" s="443" t="s">
        <v>919</v>
      </c>
      <c r="K46" s="375">
        <f t="shared" si="1"/>
        <v>31</v>
      </c>
      <c r="L46" s="397"/>
    </row>
    <row r="47" spans="1:12" ht="15.75" thickTop="1" x14ac:dyDescent="0.25">
      <c r="A47" s="375">
        <f t="shared" si="0"/>
        <v>32</v>
      </c>
      <c r="B47" s="359"/>
      <c r="C47" s="377"/>
      <c r="D47" s="359"/>
      <c r="E47" s="359"/>
      <c r="F47" s="359"/>
      <c r="G47" s="359"/>
      <c r="H47" s="359"/>
      <c r="I47" s="359"/>
      <c r="J47" s="359"/>
      <c r="K47" s="375">
        <f t="shared" si="1"/>
        <v>32</v>
      </c>
      <c r="L47" s="397"/>
    </row>
    <row r="48" spans="1:12" ht="15.75" thickBot="1" x14ac:dyDescent="0.3">
      <c r="A48" s="375">
        <f t="shared" si="0"/>
        <v>33</v>
      </c>
      <c r="B48" s="376" t="s">
        <v>932</v>
      </c>
      <c r="C48" s="359"/>
      <c r="D48" s="379">
        <f t="shared" ref="D48:I48" si="22">D27+D46</f>
        <v>0</v>
      </c>
      <c r="E48" s="379">
        <f t="shared" si="22"/>
        <v>0</v>
      </c>
      <c r="F48" s="379">
        <f t="shared" si="22"/>
        <v>0</v>
      </c>
      <c r="G48" s="379">
        <f t="shared" si="22"/>
        <v>0</v>
      </c>
      <c r="H48" s="379">
        <f t="shared" si="22"/>
        <v>0</v>
      </c>
      <c r="I48" s="379">
        <f t="shared" si="22"/>
        <v>0</v>
      </c>
      <c r="J48" s="376" t="s">
        <v>920</v>
      </c>
      <c r="K48" s="375">
        <f t="shared" si="1"/>
        <v>33</v>
      </c>
      <c r="L48" s="397"/>
    </row>
    <row r="49" spans="1:12" ht="15.75" thickTop="1" x14ac:dyDescent="0.25">
      <c r="A49" s="422"/>
      <c r="B49" s="359"/>
      <c r="C49" s="359"/>
      <c r="D49" s="359"/>
      <c r="E49" s="359"/>
      <c r="F49" s="359"/>
      <c r="G49" s="359"/>
      <c r="H49" s="359"/>
      <c r="I49" s="359"/>
      <c r="J49" s="397"/>
      <c r="K49" s="397"/>
      <c r="L49" s="397"/>
    </row>
    <row r="50" spans="1:12" x14ac:dyDescent="0.25">
      <c r="A50" s="422"/>
      <c r="B50" s="346" t="s">
        <v>856</v>
      </c>
      <c r="C50" s="359"/>
      <c r="D50" s="359"/>
      <c r="E50" s="359"/>
      <c r="F50" s="359"/>
      <c r="G50" s="359"/>
      <c r="H50" s="359"/>
      <c r="I50" s="359"/>
      <c r="J50" s="397"/>
      <c r="K50" s="397"/>
      <c r="L50" s="397"/>
    </row>
    <row r="51" spans="1:12" ht="16.5" x14ac:dyDescent="0.35">
      <c r="A51" s="422"/>
      <c r="B51" s="390" t="s">
        <v>897</v>
      </c>
      <c r="C51" s="359"/>
      <c r="D51" s="359"/>
      <c r="E51" s="359"/>
      <c r="F51" s="359"/>
      <c r="G51" s="359"/>
      <c r="H51" s="359"/>
      <c r="I51" s="359"/>
      <c r="J51" s="397"/>
      <c r="K51" s="397"/>
      <c r="L51" s="397"/>
    </row>
    <row r="52" spans="1:12" x14ac:dyDescent="0.25">
      <c r="A52" s="422"/>
      <c r="B52" s="390" t="s">
        <v>857</v>
      </c>
      <c r="C52" s="359"/>
      <c r="D52" s="359"/>
      <c r="E52" s="359"/>
      <c r="F52" s="359"/>
      <c r="G52" s="359"/>
      <c r="H52" s="359"/>
      <c r="I52" s="359"/>
      <c r="J52" s="397"/>
      <c r="K52" s="397"/>
      <c r="L52" s="397"/>
    </row>
    <row r="53" spans="1:12" x14ac:dyDescent="0.25">
      <c r="A53" s="422"/>
      <c r="B53" s="346" t="s">
        <v>847</v>
      </c>
      <c r="C53" s="388"/>
      <c r="D53" s="359"/>
      <c r="E53" s="359"/>
      <c r="F53" s="359"/>
      <c r="G53" s="359"/>
      <c r="H53" s="359"/>
      <c r="I53" s="359"/>
      <c r="J53" s="397"/>
      <c r="K53" s="397"/>
      <c r="L53" s="397"/>
    </row>
    <row r="54" spans="1:12" x14ac:dyDescent="0.25">
      <c r="A54" s="422"/>
      <c r="B54" s="456" t="s">
        <v>954</v>
      </c>
      <c r="C54" s="389"/>
      <c r="D54" s="389"/>
      <c r="E54" s="389"/>
      <c r="F54" s="359"/>
      <c r="G54" s="359"/>
      <c r="H54" s="359"/>
      <c r="I54" s="359"/>
      <c r="J54" s="397"/>
      <c r="K54" s="397"/>
      <c r="L54" s="397"/>
    </row>
    <row r="55" spans="1:12" x14ac:dyDescent="0.25">
      <c r="A55" s="422"/>
      <c r="B55" s="456" t="s">
        <v>959</v>
      </c>
      <c r="C55" s="389"/>
      <c r="D55" s="389"/>
      <c r="E55" s="389"/>
      <c r="F55" s="359"/>
      <c r="G55" s="359"/>
      <c r="H55" s="359"/>
      <c r="I55" s="359"/>
      <c r="J55" s="397"/>
      <c r="K55" s="397"/>
      <c r="L55" s="397"/>
    </row>
    <row r="56" spans="1:12" x14ac:dyDescent="0.25">
      <c r="A56" s="422"/>
      <c r="B56" s="456" t="s">
        <v>960</v>
      </c>
      <c r="C56" s="359"/>
      <c r="D56" s="359"/>
      <c r="E56" s="359"/>
      <c r="F56" s="389"/>
      <c r="G56" s="389"/>
      <c r="H56" s="359"/>
      <c r="I56" s="359"/>
      <c r="J56" s="397"/>
      <c r="K56" s="397"/>
      <c r="L56" s="397"/>
    </row>
    <row r="57" spans="1:12" x14ac:dyDescent="0.25">
      <c r="A57" s="389"/>
      <c r="B57" s="456" t="s">
        <v>930</v>
      </c>
      <c r="C57" s="389"/>
      <c r="D57" s="389"/>
      <c r="E57" s="389"/>
      <c r="F57" s="389"/>
      <c r="G57" s="389"/>
      <c r="H57" s="389"/>
      <c r="I57" s="389"/>
      <c r="J57" s="397"/>
      <c r="K57" s="397"/>
      <c r="L57" s="397"/>
    </row>
    <row r="58" spans="1:12" x14ac:dyDescent="0.25">
      <c r="A58" s="389"/>
      <c r="B58" s="456" t="s">
        <v>968</v>
      </c>
      <c r="C58" s="389"/>
      <c r="D58" s="389"/>
      <c r="E58" s="389"/>
      <c r="F58" s="389"/>
      <c r="G58" s="389"/>
      <c r="H58" s="389"/>
      <c r="I58" s="389"/>
      <c r="J58" s="397"/>
      <c r="K58" s="397"/>
      <c r="L58" s="397"/>
    </row>
    <row r="59" spans="1:12" x14ac:dyDescent="0.25">
      <c r="A59" s="389"/>
      <c r="B59" s="456" t="s">
        <v>955</v>
      </c>
      <c r="C59" s="389"/>
      <c r="D59" s="389"/>
      <c r="E59" s="389"/>
      <c r="F59" s="389"/>
      <c r="G59" s="389"/>
      <c r="H59" s="389"/>
      <c r="I59" s="389"/>
      <c r="J59" s="397"/>
      <c r="K59" s="397"/>
      <c r="L59" s="397"/>
    </row>
    <row r="60" spans="1:12" x14ac:dyDescent="0.25">
      <c r="A60" s="389"/>
      <c r="B60" s="456" t="s">
        <v>956</v>
      </c>
      <c r="C60" s="389"/>
      <c r="D60" s="389"/>
      <c r="E60" s="389"/>
      <c r="F60" s="389"/>
      <c r="G60" s="389"/>
      <c r="H60" s="389"/>
      <c r="I60" s="389"/>
      <c r="J60" s="397"/>
      <c r="K60" s="397"/>
      <c r="L60" s="397"/>
    </row>
    <row r="61" spans="1:12" x14ac:dyDescent="0.25">
      <c r="A61" s="389"/>
      <c r="B61" s="456" t="s">
        <v>961</v>
      </c>
      <c r="C61" s="397"/>
      <c r="D61" s="397"/>
      <c r="E61" s="397"/>
      <c r="F61" s="389"/>
      <c r="G61" s="389"/>
      <c r="H61" s="389"/>
      <c r="I61" s="389"/>
      <c r="J61" s="397"/>
      <c r="K61" s="397"/>
      <c r="L61" s="397"/>
    </row>
    <row r="62" spans="1:12" x14ac:dyDescent="0.25">
      <c r="A62" s="389"/>
      <c r="B62" s="456" t="s">
        <v>957</v>
      </c>
      <c r="C62" s="389"/>
      <c r="D62" s="389"/>
      <c r="E62" s="389"/>
      <c r="F62" s="389"/>
      <c r="G62" s="389"/>
      <c r="H62" s="389"/>
      <c r="I62" s="389"/>
      <c r="J62" s="397"/>
      <c r="K62" s="397"/>
      <c r="L62" s="397"/>
    </row>
  </sheetData>
  <mergeCells count="2">
    <mergeCell ref="B5:J5"/>
    <mergeCell ref="D13:I13"/>
  </mergeCells>
  <printOptions horizontalCentered="1"/>
  <pageMargins left="0.25" right="0.25" top="0.5" bottom="0.5" header="0.25" footer="0.25"/>
  <pageSetup scale="57" orientation="landscape" r:id="rId1"/>
  <headerFooter scaleWithDoc="0">
    <oddFooter>&amp;C&amp;"Times New Roman,Regular"&amp;10&amp;A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0000"/>
    <pageSetUpPr fitToPage="1"/>
  </sheetPr>
  <dimension ref="A1:Q45"/>
  <sheetViews>
    <sheetView zoomScale="80" zoomScaleNormal="80" workbookViewId="0"/>
  </sheetViews>
  <sheetFormatPr defaultColWidth="9.28515625" defaultRowHeight="15.75" x14ac:dyDescent="0.25"/>
  <cols>
    <col min="1" max="1" width="5.28515625" style="206" customWidth="1"/>
    <col min="2" max="2" width="12.5703125" style="3" customWidth="1"/>
    <col min="3" max="3" width="20" style="3" customWidth="1"/>
    <col min="4" max="7" width="21.5703125" style="3" customWidth="1"/>
    <col min="8" max="8" width="22.7109375" style="3" bestFit="1" customWidth="1"/>
    <col min="9" max="13" width="21.5703125" style="3" customWidth="1"/>
    <col min="14" max="14" width="5.28515625" style="206" customWidth="1"/>
    <col min="15" max="15" width="13.5703125" style="3" customWidth="1"/>
    <col min="16" max="16" width="12.5703125" style="3" customWidth="1"/>
    <col min="17" max="16384" width="9.28515625" style="3"/>
  </cols>
  <sheetData>
    <row r="1" spans="1:14" x14ac:dyDescent="0.25">
      <c r="I1" s="248"/>
    </row>
    <row r="2" spans="1:14" x14ac:dyDescent="0.25">
      <c r="B2" s="601" t="s">
        <v>16</v>
      </c>
      <c r="C2" s="601"/>
      <c r="D2" s="601"/>
      <c r="E2" s="601"/>
      <c r="F2" s="601"/>
      <c r="G2" s="601"/>
      <c r="H2" s="601"/>
      <c r="I2" s="601"/>
      <c r="J2" s="601"/>
      <c r="K2" s="601"/>
      <c r="L2" s="601"/>
      <c r="M2" s="601"/>
      <c r="N2" s="249"/>
    </row>
    <row r="3" spans="1:14" x14ac:dyDescent="0.25">
      <c r="B3" s="602" t="s">
        <v>988</v>
      </c>
      <c r="C3" s="602"/>
      <c r="D3" s="602"/>
      <c r="E3" s="602"/>
      <c r="F3" s="602"/>
      <c r="G3" s="602"/>
      <c r="H3" s="602"/>
      <c r="I3" s="602"/>
      <c r="J3" s="602"/>
      <c r="K3" s="602"/>
      <c r="L3" s="602"/>
      <c r="M3" s="602"/>
      <c r="N3" s="249"/>
    </row>
    <row r="4" spans="1:14" x14ac:dyDescent="0.25">
      <c r="B4" s="602" t="s">
        <v>1150</v>
      </c>
      <c r="C4" s="602"/>
      <c r="D4" s="602"/>
      <c r="E4" s="602"/>
      <c r="F4" s="602"/>
      <c r="G4" s="602"/>
      <c r="H4" s="602"/>
      <c r="I4" s="602"/>
      <c r="J4" s="602"/>
      <c r="K4" s="602"/>
      <c r="L4" s="602"/>
      <c r="M4" s="602"/>
      <c r="N4" s="249"/>
    </row>
    <row r="5" spans="1:14" x14ac:dyDescent="0.25">
      <c r="B5" s="600" t="s">
        <v>1</v>
      </c>
      <c r="C5" s="600"/>
      <c r="D5" s="600"/>
      <c r="E5" s="600"/>
      <c r="F5" s="600"/>
      <c r="G5" s="600"/>
      <c r="H5" s="600"/>
      <c r="I5" s="600"/>
      <c r="J5" s="600"/>
      <c r="K5" s="600"/>
      <c r="L5" s="600"/>
      <c r="M5" s="600"/>
      <c r="N5" s="249"/>
    </row>
    <row r="6" spans="1:14" x14ac:dyDescent="0.25">
      <c r="A6" s="249"/>
      <c r="B6" s="249"/>
      <c r="C6" s="249"/>
      <c r="D6" s="249"/>
      <c r="E6" s="249"/>
      <c r="F6" s="249"/>
      <c r="G6" s="249"/>
      <c r="H6" s="249"/>
      <c r="I6" s="249"/>
      <c r="J6" s="249"/>
      <c r="K6" s="249"/>
      <c r="L6" s="249"/>
      <c r="M6" s="249"/>
      <c r="N6" s="249"/>
    </row>
    <row r="7" spans="1:14" x14ac:dyDescent="0.25">
      <c r="A7" s="2" t="s">
        <v>2</v>
      </c>
      <c r="B7" s="205"/>
      <c r="E7" s="39"/>
      <c r="F7" s="176"/>
      <c r="G7" s="176"/>
      <c r="N7" s="2" t="s">
        <v>2</v>
      </c>
    </row>
    <row r="8" spans="1:14" x14ac:dyDescent="0.25">
      <c r="A8" s="2" t="s">
        <v>18</v>
      </c>
      <c r="B8" s="205"/>
      <c r="E8" s="39"/>
      <c r="F8" s="176"/>
      <c r="G8" s="176"/>
      <c r="N8" s="2" t="s">
        <v>18</v>
      </c>
    </row>
    <row r="9" spans="1:14" x14ac:dyDescent="0.25">
      <c r="A9" s="250"/>
      <c r="B9" s="205"/>
      <c r="E9" s="39"/>
      <c r="F9" s="42" t="s">
        <v>7</v>
      </c>
      <c r="G9" s="42"/>
      <c r="H9" s="316"/>
      <c r="N9" s="250"/>
    </row>
    <row r="10" spans="1:14" ht="18.75" x14ac:dyDescent="0.25">
      <c r="A10" s="2">
        <v>1</v>
      </c>
      <c r="B10" s="39" t="s">
        <v>493</v>
      </c>
      <c r="C10" s="34"/>
      <c r="E10" s="82">
        <v>0</v>
      </c>
      <c r="F10" s="39" t="s">
        <v>1029</v>
      </c>
      <c r="G10" s="39"/>
      <c r="H10" s="38"/>
      <c r="I10" s="38"/>
      <c r="N10" s="2">
        <f>A10</f>
        <v>1</v>
      </c>
    </row>
    <row r="11" spans="1:14" x14ac:dyDescent="0.25">
      <c r="A11" s="2">
        <f>A10+1</f>
        <v>2</v>
      </c>
      <c r="B11" s="3" t="s">
        <v>343</v>
      </c>
      <c r="D11" s="167">
        <v>0</v>
      </c>
      <c r="E11" s="4">
        <f>E10*D11</f>
        <v>0</v>
      </c>
      <c r="F11" s="3" t="s">
        <v>544</v>
      </c>
      <c r="H11" s="38"/>
      <c r="I11" s="251"/>
      <c r="J11" s="251"/>
      <c r="N11" s="2">
        <f>N10+1</f>
        <v>2</v>
      </c>
    </row>
    <row r="12" spans="1:14" ht="16.5" thickBot="1" x14ac:dyDescent="0.3">
      <c r="A12" s="2">
        <f t="shared" ref="A12:A35" si="0">A11+1</f>
        <v>3</v>
      </c>
      <c r="B12" s="3" t="s">
        <v>344</v>
      </c>
      <c r="D12" s="167">
        <v>0</v>
      </c>
      <c r="E12" s="327">
        <f>E10*D12</f>
        <v>0</v>
      </c>
      <c r="F12" s="252" t="s">
        <v>545</v>
      </c>
      <c r="G12" s="252"/>
      <c r="H12" s="2"/>
      <c r="I12" s="251"/>
      <c r="J12" s="251"/>
      <c r="N12" s="2">
        <f t="shared" ref="N12:N35" si="1">N11+1</f>
        <v>3</v>
      </c>
    </row>
    <row r="13" spans="1:14" ht="16.5" thickTop="1" x14ac:dyDescent="0.25">
      <c r="A13" s="2">
        <f t="shared" si="0"/>
        <v>4</v>
      </c>
      <c r="B13" s="3" t="s">
        <v>382</v>
      </c>
      <c r="E13" s="55">
        <f>E10+E11+E12</f>
        <v>0</v>
      </c>
      <c r="F13" s="252" t="s">
        <v>707</v>
      </c>
      <c r="G13" s="252"/>
      <c r="H13" s="2"/>
      <c r="I13" s="251"/>
      <c r="J13" s="251"/>
      <c r="N13" s="2">
        <f t="shared" si="1"/>
        <v>4</v>
      </c>
    </row>
    <row r="14" spans="1:14" x14ac:dyDescent="0.25">
      <c r="A14" s="2">
        <f t="shared" si="0"/>
        <v>5</v>
      </c>
      <c r="E14" s="207"/>
      <c r="I14" s="251"/>
      <c r="J14" s="251"/>
      <c r="N14" s="2">
        <f t="shared" si="1"/>
        <v>5</v>
      </c>
    </row>
    <row r="15" spans="1:14" x14ac:dyDescent="0.25">
      <c r="A15" s="2">
        <f t="shared" si="0"/>
        <v>6</v>
      </c>
      <c r="C15" s="253" t="s">
        <v>531</v>
      </c>
      <c r="D15" s="253" t="s">
        <v>532</v>
      </c>
      <c r="E15" s="253" t="s">
        <v>533</v>
      </c>
      <c r="F15" s="253" t="s">
        <v>534</v>
      </c>
      <c r="G15" s="253" t="s">
        <v>535</v>
      </c>
      <c r="H15" s="253" t="s">
        <v>536</v>
      </c>
      <c r="I15" s="253" t="s">
        <v>537</v>
      </c>
      <c r="J15" s="253" t="s">
        <v>538</v>
      </c>
      <c r="K15" s="253" t="s">
        <v>539</v>
      </c>
      <c r="L15" s="253" t="s">
        <v>540</v>
      </c>
      <c r="M15" s="253" t="s">
        <v>541</v>
      </c>
      <c r="N15" s="2">
        <f t="shared" si="1"/>
        <v>6</v>
      </c>
    </row>
    <row r="16" spans="1:14" x14ac:dyDescent="0.25">
      <c r="A16" s="2">
        <f t="shared" si="0"/>
        <v>7</v>
      </c>
      <c r="B16" s="207" t="s">
        <v>296</v>
      </c>
      <c r="C16" s="2"/>
      <c r="D16" s="2" t="s">
        <v>546</v>
      </c>
      <c r="E16" s="2"/>
      <c r="F16" s="2" t="s">
        <v>547</v>
      </c>
      <c r="G16" s="2"/>
      <c r="H16" s="41" t="s">
        <v>548</v>
      </c>
      <c r="I16" s="41" t="s">
        <v>549</v>
      </c>
      <c r="J16" s="2"/>
      <c r="K16" s="2" t="s">
        <v>550</v>
      </c>
      <c r="L16" s="2" t="s">
        <v>551</v>
      </c>
      <c r="M16" s="41" t="s">
        <v>552</v>
      </c>
      <c r="N16" s="2">
        <f t="shared" si="1"/>
        <v>7</v>
      </c>
    </row>
    <row r="17" spans="1:17" x14ac:dyDescent="0.25">
      <c r="A17" s="2">
        <f t="shared" si="0"/>
        <v>8</v>
      </c>
      <c r="B17" s="207"/>
      <c r="C17" s="2"/>
      <c r="D17" s="2"/>
      <c r="E17" s="2"/>
      <c r="F17" s="2"/>
      <c r="G17" s="2"/>
      <c r="H17" s="41"/>
      <c r="I17" s="41"/>
      <c r="J17" s="2"/>
      <c r="K17" s="2"/>
      <c r="L17" s="2"/>
      <c r="M17" s="41"/>
      <c r="N17" s="2">
        <f t="shared" si="1"/>
        <v>8</v>
      </c>
    </row>
    <row r="18" spans="1:17" x14ac:dyDescent="0.25">
      <c r="A18" s="2">
        <f t="shared" si="0"/>
        <v>9</v>
      </c>
      <c r="C18" s="253"/>
      <c r="H18" s="249"/>
      <c r="K18" s="165" t="s">
        <v>297</v>
      </c>
      <c r="M18" s="165" t="s">
        <v>297</v>
      </c>
      <c r="N18" s="2">
        <f t="shared" si="1"/>
        <v>9</v>
      </c>
    </row>
    <row r="19" spans="1:17" x14ac:dyDescent="0.25">
      <c r="A19" s="2">
        <f t="shared" si="0"/>
        <v>10</v>
      </c>
      <c r="C19" s="253"/>
      <c r="F19" s="249"/>
      <c r="G19" s="249"/>
      <c r="H19" s="165"/>
      <c r="I19" s="165" t="s">
        <v>298</v>
      </c>
      <c r="J19" s="165"/>
      <c r="K19" s="165" t="s">
        <v>388</v>
      </c>
      <c r="M19" s="165" t="s">
        <v>388</v>
      </c>
      <c r="N19" s="2">
        <f t="shared" si="1"/>
        <v>10</v>
      </c>
    </row>
    <row r="20" spans="1:17" x14ac:dyDescent="0.25">
      <c r="A20" s="2">
        <f t="shared" si="0"/>
        <v>11</v>
      </c>
      <c r="C20" s="165"/>
      <c r="D20" s="165" t="s">
        <v>298</v>
      </c>
      <c r="E20" s="165" t="s">
        <v>298</v>
      </c>
      <c r="F20" s="165" t="s">
        <v>384</v>
      </c>
      <c r="G20" s="165"/>
      <c r="H20" s="165" t="s">
        <v>390</v>
      </c>
      <c r="I20" s="165" t="s">
        <v>388</v>
      </c>
      <c r="J20" s="165" t="s">
        <v>298</v>
      </c>
      <c r="K20" s="165" t="s">
        <v>389</v>
      </c>
      <c r="M20" s="165" t="s">
        <v>389</v>
      </c>
      <c r="N20" s="2">
        <f t="shared" si="1"/>
        <v>11</v>
      </c>
    </row>
    <row r="21" spans="1:17" x14ac:dyDescent="0.25">
      <c r="A21" s="2">
        <f t="shared" si="0"/>
        <v>12</v>
      </c>
      <c r="C21" s="165"/>
      <c r="D21" s="165" t="s">
        <v>518</v>
      </c>
      <c r="E21" s="165" t="s">
        <v>518</v>
      </c>
      <c r="F21" s="165" t="s">
        <v>518</v>
      </c>
      <c r="G21" s="165" t="s">
        <v>512</v>
      </c>
      <c r="H21" s="165" t="s">
        <v>518</v>
      </c>
      <c r="I21" s="165" t="s">
        <v>389</v>
      </c>
      <c r="J21" s="165" t="s">
        <v>300</v>
      </c>
      <c r="K21" s="165" t="s">
        <v>299</v>
      </c>
      <c r="L21" s="165"/>
      <c r="M21" s="165" t="s">
        <v>299</v>
      </c>
      <c r="N21" s="2">
        <f t="shared" si="1"/>
        <v>12</v>
      </c>
    </row>
    <row r="22" spans="1:17" ht="18.75" x14ac:dyDescent="0.25">
      <c r="A22" s="2">
        <f t="shared" si="0"/>
        <v>13</v>
      </c>
      <c r="B22" s="176" t="s">
        <v>17</v>
      </c>
      <c r="C22" s="176" t="s">
        <v>74</v>
      </c>
      <c r="D22" s="176" t="s">
        <v>383</v>
      </c>
      <c r="E22" s="176" t="s">
        <v>498</v>
      </c>
      <c r="F22" s="176" t="s">
        <v>499</v>
      </c>
      <c r="G22" s="176" t="s">
        <v>513</v>
      </c>
      <c r="H22" s="176" t="s">
        <v>302</v>
      </c>
      <c r="I22" s="176" t="s">
        <v>299</v>
      </c>
      <c r="J22" s="176" t="s">
        <v>514</v>
      </c>
      <c r="K22" s="176" t="s">
        <v>494</v>
      </c>
      <c r="L22" s="266" t="s">
        <v>300</v>
      </c>
      <c r="M22" s="176" t="s">
        <v>303</v>
      </c>
      <c r="N22" s="2">
        <f t="shared" si="1"/>
        <v>13</v>
      </c>
    </row>
    <row r="23" spans="1:17" x14ac:dyDescent="0.25">
      <c r="A23" s="2">
        <f t="shared" si="0"/>
        <v>14</v>
      </c>
      <c r="B23" s="39" t="s">
        <v>304</v>
      </c>
      <c r="C23" s="254" t="str">
        <f>RIGHT(B4,4)</f>
        <v>xxxx</v>
      </c>
      <c r="D23" s="126">
        <f t="shared" ref="D23:D34" si="2">$E$13/12</f>
        <v>0</v>
      </c>
      <c r="E23" s="127">
        <v>0</v>
      </c>
      <c r="F23" s="128">
        <f t="shared" ref="F23:F34" si="3">$F$35/12</f>
        <v>0</v>
      </c>
      <c r="G23" s="128">
        <f>$G$35/12</f>
        <v>0</v>
      </c>
      <c r="H23" s="9">
        <f>SUM(E23:G23)</f>
        <v>0</v>
      </c>
      <c r="I23" s="128">
        <f>D23-H23</f>
        <v>0</v>
      </c>
      <c r="J23" s="129">
        <v>0</v>
      </c>
      <c r="K23" s="130">
        <f>I23</f>
        <v>0</v>
      </c>
      <c r="L23" s="126">
        <f>(I23/2)*J23</f>
        <v>0</v>
      </c>
      <c r="M23" s="126">
        <f t="shared" ref="M23:M34" si="4">K23+L23</f>
        <v>0</v>
      </c>
      <c r="N23" s="2">
        <f t="shared" si="1"/>
        <v>14</v>
      </c>
      <c r="O23" s="104"/>
    </row>
    <row r="24" spans="1:17" x14ac:dyDescent="0.25">
      <c r="A24" s="2">
        <f t="shared" si="0"/>
        <v>15</v>
      </c>
      <c r="B24" s="39" t="s">
        <v>305</v>
      </c>
      <c r="C24" s="254" t="str">
        <f>C23</f>
        <v>xxxx</v>
      </c>
      <c r="D24" s="131">
        <f t="shared" si="2"/>
        <v>0</v>
      </c>
      <c r="E24" s="132">
        <v>0</v>
      </c>
      <c r="F24" s="104">
        <f t="shared" si="3"/>
        <v>0</v>
      </c>
      <c r="G24" s="104">
        <f>$G$35/12</f>
        <v>0</v>
      </c>
      <c r="H24" s="6">
        <f>SUM(E24:G24)</f>
        <v>0</v>
      </c>
      <c r="I24" s="104">
        <f t="shared" ref="I24:I34" si="5">D24-H24</f>
        <v>0</v>
      </c>
      <c r="J24" s="129">
        <v>0</v>
      </c>
      <c r="K24" s="133">
        <f>M23+I24</f>
        <v>0</v>
      </c>
      <c r="L24" s="131">
        <f t="shared" ref="L24:L34" si="6">(M23+K24)/2*J24</f>
        <v>0</v>
      </c>
      <c r="M24" s="131">
        <f t="shared" si="4"/>
        <v>0</v>
      </c>
      <c r="N24" s="2">
        <f t="shared" si="1"/>
        <v>15</v>
      </c>
      <c r="O24" s="145"/>
    </row>
    <row r="25" spans="1:17" x14ac:dyDescent="0.25">
      <c r="A25" s="2">
        <f t="shared" si="0"/>
        <v>16</v>
      </c>
      <c r="B25" s="39" t="s">
        <v>345</v>
      </c>
      <c r="C25" s="254" t="str">
        <f>C23</f>
        <v>xxxx</v>
      </c>
      <c r="D25" s="131">
        <f t="shared" si="2"/>
        <v>0</v>
      </c>
      <c r="E25" s="132">
        <v>0</v>
      </c>
      <c r="F25" s="104">
        <f t="shared" si="3"/>
        <v>0</v>
      </c>
      <c r="G25" s="104">
        <f t="shared" ref="G25:G34" si="7">$G$35/12</f>
        <v>0</v>
      </c>
      <c r="H25" s="6">
        <f t="shared" ref="H25:H33" si="8">SUM(E25:G25)</f>
        <v>0</v>
      </c>
      <c r="I25" s="104">
        <f t="shared" si="5"/>
        <v>0</v>
      </c>
      <c r="J25" s="129">
        <v>0</v>
      </c>
      <c r="K25" s="133">
        <f>M24+I25</f>
        <v>0</v>
      </c>
      <c r="L25" s="131">
        <f>(M24+K25)/2*J25</f>
        <v>0</v>
      </c>
      <c r="M25" s="131">
        <f t="shared" si="4"/>
        <v>0</v>
      </c>
      <c r="N25" s="2">
        <f t="shared" si="1"/>
        <v>16</v>
      </c>
      <c r="O25" s="145"/>
    </row>
    <row r="26" spans="1:17" x14ac:dyDescent="0.25">
      <c r="A26" s="2">
        <f t="shared" si="0"/>
        <v>17</v>
      </c>
      <c r="B26" s="39" t="s">
        <v>346</v>
      </c>
      <c r="C26" s="254" t="str">
        <f>C23</f>
        <v>xxxx</v>
      </c>
      <c r="D26" s="131">
        <f t="shared" si="2"/>
        <v>0</v>
      </c>
      <c r="E26" s="132">
        <v>0</v>
      </c>
      <c r="F26" s="104">
        <f t="shared" si="3"/>
        <v>0</v>
      </c>
      <c r="G26" s="104">
        <f t="shared" si="7"/>
        <v>0</v>
      </c>
      <c r="H26" s="6">
        <f t="shared" si="8"/>
        <v>0</v>
      </c>
      <c r="I26" s="104">
        <f>D26-H26</f>
        <v>0</v>
      </c>
      <c r="J26" s="129">
        <v>0</v>
      </c>
      <c r="K26" s="133">
        <f>M25+I26</f>
        <v>0</v>
      </c>
      <c r="L26" s="131">
        <f>(M25+K26)/2*J26</f>
        <v>0</v>
      </c>
      <c r="M26" s="131">
        <f t="shared" si="4"/>
        <v>0</v>
      </c>
      <c r="N26" s="2">
        <f t="shared" si="1"/>
        <v>17</v>
      </c>
      <c r="O26" s="145"/>
      <c r="Q26" s="255"/>
    </row>
    <row r="27" spans="1:17" x14ac:dyDescent="0.25">
      <c r="A27" s="2">
        <f t="shared" si="0"/>
        <v>18</v>
      </c>
      <c r="B27" s="39" t="s">
        <v>347</v>
      </c>
      <c r="C27" s="254" t="str">
        <f>C23</f>
        <v>xxxx</v>
      </c>
      <c r="D27" s="131">
        <f t="shared" si="2"/>
        <v>0</v>
      </c>
      <c r="E27" s="132">
        <v>0</v>
      </c>
      <c r="F27" s="104">
        <f t="shared" si="3"/>
        <v>0</v>
      </c>
      <c r="G27" s="104">
        <f t="shared" si="7"/>
        <v>0</v>
      </c>
      <c r="H27" s="6">
        <f t="shared" si="8"/>
        <v>0</v>
      </c>
      <c r="I27" s="104">
        <f t="shared" si="5"/>
        <v>0</v>
      </c>
      <c r="J27" s="129">
        <v>0</v>
      </c>
      <c r="K27" s="133">
        <f t="shared" ref="K27:K34" si="9">M26+I27</f>
        <v>0</v>
      </c>
      <c r="L27" s="131">
        <f t="shared" si="6"/>
        <v>0</v>
      </c>
      <c r="M27" s="131">
        <f t="shared" si="4"/>
        <v>0</v>
      </c>
      <c r="N27" s="2">
        <f t="shared" si="1"/>
        <v>18</v>
      </c>
      <c r="O27" s="145"/>
    </row>
    <row r="28" spans="1:17" x14ac:dyDescent="0.25">
      <c r="A28" s="2">
        <f t="shared" si="0"/>
        <v>19</v>
      </c>
      <c r="B28" s="39" t="s">
        <v>348</v>
      </c>
      <c r="C28" s="254" t="str">
        <f>C23</f>
        <v>xxxx</v>
      </c>
      <c r="D28" s="131">
        <f t="shared" si="2"/>
        <v>0</v>
      </c>
      <c r="E28" s="132">
        <v>0</v>
      </c>
      <c r="F28" s="104">
        <f t="shared" si="3"/>
        <v>0</v>
      </c>
      <c r="G28" s="104">
        <f t="shared" si="7"/>
        <v>0</v>
      </c>
      <c r="H28" s="6">
        <f t="shared" si="8"/>
        <v>0</v>
      </c>
      <c r="I28" s="104">
        <f t="shared" si="5"/>
        <v>0</v>
      </c>
      <c r="J28" s="129">
        <v>0</v>
      </c>
      <c r="K28" s="133">
        <f t="shared" si="9"/>
        <v>0</v>
      </c>
      <c r="L28" s="131">
        <f>(M27+K28)/2*J28</f>
        <v>0</v>
      </c>
      <c r="M28" s="131">
        <f t="shared" si="4"/>
        <v>0</v>
      </c>
      <c r="N28" s="2">
        <f t="shared" si="1"/>
        <v>19</v>
      </c>
      <c r="O28" s="145"/>
    </row>
    <row r="29" spans="1:17" x14ac:dyDescent="0.25">
      <c r="A29" s="2">
        <f t="shared" si="0"/>
        <v>20</v>
      </c>
      <c r="B29" s="39" t="s">
        <v>349</v>
      </c>
      <c r="C29" s="254" t="str">
        <f>C23</f>
        <v>xxxx</v>
      </c>
      <c r="D29" s="131">
        <f t="shared" si="2"/>
        <v>0</v>
      </c>
      <c r="E29" s="132">
        <v>0</v>
      </c>
      <c r="F29" s="104">
        <f t="shared" si="3"/>
        <v>0</v>
      </c>
      <c r="G29" s="104">
        <f t="shared" si="7"/>
        <v>0</v>
      </c>
      <c r="H29" s="6">
        <f t="shared" si="8"/>
        <v>0</v>
      </c>
      <c r="I29" s="104">
        <f t="shared" si="5"/>
        <v>0</v>
      </c>
      <c r="J29" s="129">
        <v>0</v>
      </c>
      <c r="K29" s="133">
        <f t="shared" si="9"/>
        <v>0</v>
      </c>
      <c r="L29" s="131">
        <f t="shared" si="6"/>
        <v>0</v>
      </c>
      <c r="M29" s="131">
        <f t="shared" si="4"/>
        <v>0</v>
      </c>
      <c r="N29" s="2">
        <f t="shared" si="1"/>
        <v>20</v>
      </c>
      <c r="O29" s="145"/>
    </row>
    <row r="30" spans="1:17" x14ac:dyDescent="0.25">
      <c r="A30" s="2">
        <f t="shared" si="0"/>
        <v>21</v>
      </c>
      <c r="B30" s="39" t="s">
        <v>350</v>
      </c>
      <c r="C30" s="254" t="str">
        <f>C23</f>
        <v>xxxx</v>
      </c>
      <c r="D30" s="131">
        <f t="shared" si="2"/>
        <v>0</v>
      </c>
      <c r="E30" s="132">
        <v>0</v>
      </c>
      <c r="F30" s="104">
        <f t="shared" si="3"/>
        <v>0</v>
      </c>
      <c r="G30" s="104">
        <f t="shared" si="7"/>
        <v>0</v>
      </c>
      <c r="H30" s="6">
        <f t="shared" si="8"/>
        <v>0</v>
      </c>
      <c r="I30" s="104">
        <f t="shared" si="5"/>
        <v>0</v>
      </c>
      <c r="J30" s="129">
        <v>0</v>
      </c>
      <c r="K30" s="133">
        <f t="shared" si="9"/>
        <v>0</v>
      </c>
      <c r="L30" s="131">
        <f t="shared" si="6"/>
        <v>0</v>
      </c>
      <c r="M30" s="131">
        <f t="shared" si="4"/>
        <v>0</v>
      </c>
      <c r="N30" s="2">
        <f t="shared" si="1"/>
        <v>21</v>
      </c>
      <c r="O30" s="145"/>
    </row>
    <row r="31" spans="1:17" x14ac:dyDescent="0.25">
      <c r="A31" s="2">
        <f t="shared" si="0"/>
        <v>22</v>
      </c>
      <c r="B31" s="39" t="s">
        <v>351</v>
      </c>
      <c r="C31" s="254" t="str">
        <f>C23</f>
        <v>xxxx</v>
      </c>
      <c r="D31" s="131">
        <f t="shared" si="2"/>
        <v>0</v>
      </c>
      <c r="E31" s="132">
        <v>0</v>
      </c>
      <c r="F31" s="104">
        <f t="shared" si="3"/>
        <v>0</v>
      </c>
      <c r="G31" s="104">
        <f t="shared" si="7"/>
        <v>0</v>
      </c>
      <c r="H31" s="6">
        <f t="shared" si="8"/>
        <v>0</v>
      </c>
      <c r="I31" s="104">
        <f t="shared" si="5"/>
        <v>0</v>
      </c>
      <c r="J31" s="129">
        <v>0</v>
      </c>
      <c r="K31" s="133">
        <f t="shared" si="9"/>
        <v>0</v>
      </c>
      <c r="L31" s="131">
        <f t="shared" si="6"/>
        <v>0</v>
      </c>
      <c r="M31" s="131">
        <f t="shared" si="4"/>
        <v>0</v>
      </c>
      <c r="N31" s="2">
        <f t="shared" si="1"/>
        <v>22</v>
      </c>
      <c r="O31" s="145"/>
    </row>
    <row r="32" spans="1:17" x14ac:dyDescent="0.25">
      <c r="A32" s="2">
        <f t="shared" si="0"/>
        <v>23</v>
      </c>
      <c r="B32" s="39" t="s">
        <v>352</v>
      </c>
      <c r="C32" s="254" t="str">
        <f>C23</f>
        <v>xxxx</v>
      </c>
      <c r="D32" s="131">
        <f t="shared" si="2"/>
        <v>0</v>
      </c>
      <c r="E32" s="132">
        <v>0</v>
      </c>
      <c r="F32" s="104">
        <f t="shared" si="3"/>
        <v>0</v>
      </c>
      <c r="G32" s="104">
        <f t="shared" si="7"/>
        <v>0</v>
      </c>
      <c r="H32" s="6">
        <f t="shared" si="8"/>
        <v>0</v>
      </c>
      <c r="I32" s="104">
        <f t="shared" si="5"/>
        <v>0</v>
      </c>
      <c r="J32" s="129">
        <v>0</v>
      </c>
      <c r="K32" s="133">
        <f t="shared" si="9"/>
        <v>0</v>
      </c>
      <c r="L32" s="131">
        <f t="shared" si="6"/>
        <v>0</v>
      </c>
      <c r="M32" s="131">
        <f t="shared" si="4"/>
        <v>0</v>
      </c>
      <c r="N32" s="2">
        <f t="shared" si="1"/>
        <v>23</v>
      </c>
      <c r="O32" s="145"/>
    </row>
    <row r="33" spans="1:15" x14ac:dyDescent="0.25">
      <c r="A33" s="2">
        <f t="shared" si="0"/>
        <v>24</v>
      </c>
      <c r="B33" s="39" t="s">
        <v>353</v>
      </c>
      <c r="C33" s="254" t="str">
        <f>C23</f>
        <v>xxxx</v>
      </c>
      <c r="D33" s="131">
        <f t="shared" si="2"/>
        <v>0</v>
      </c>
      <c r="E33" s="132">
        <v>0</v>
      </c>
      <c r="F33" s="104">
        <f t="shared" si="3"/>
        <v>0</v>
      </c>
      <c r="G33" s="104">
        <f t="shared" si="7"/>
        <v>0</v>
      </c>
      <c r="H33" s="6">
        <f t="shared" si="8"/>
        <v>0</v>
      </c>
      <c r="I33" s="104">
        <f t="shared" si="5"/>
        <v>0</v>
      </c>
      <c r="J33" s="129">
        <v>0</v>
      </c>
      <c r="K33" s="133">
        <f t="shared" si="9"/>
        <v>0</v>
      </c>
      <c r="L33" s="6">
        <f t="shared" si="6"/>
        <v>0</v>
      </c>
      <c r="M33" s="6">
        <f t="shared" si="4"/>
        <v>0</v>
      </c>
      <c r="N33" s="2">
        <f t="shared" si="1"/>
        <v>24</v>
      </c>
      <c r="O33" s="145"/>
    </row>
    <row r="34" spans="1:15" x14ac:dyDescent="0.25">
      <c r="A34" s="2">
        <f t="shared" si="0"/>
        <v>25</v>
      </c>
      <c r="B34" s="317" t="s">
        <v>354</v>
      </c>
      <c r="C34" s="318" t="str">
        <f>C23</f>
        <v>xxxx</v>
      </c>
      <c r="D34" s="319">
        <f t="shared" si="2"/>
        <v>0</v>
      </c>
      <c r="E34" s="320">
        <v>0</v>
      </c>
      <c r="F34" s="321">
        <f t="shared" si="3"/>
        <v>0</v>
      </c>
      <c r="G34" s="321">
        <f t="shared" si="7"/>
        <v>0</v>
      </c>
      <c r="H34" s="31">
        <f>SUM(E34:G34)</f>
        <v>0</v>
      </c>
      <c r="I34" s="321">
        <f t="shared" si="5"/>
        <v>0</v>
      </c>
      <c r="J34" s="129">
        <v>0</v>
      </c>
      <c r="K34" s="322">
        <f t="shared" si="9"/>
        <v>0</v>
      </c>
      <c r="L34" s="31">
        <f t="shared" si="6"/>
        <v>0</v>
      </c>
      <c r="M34" s="31">
        <f t="shared" si="4"/>
        <v>0</v>
      </c>
      <c r="N34" s="2">
        <f t="shared" si="1"/>
        <v>25</v>
      </c>
      <c r="O34" s="145"/>
    </row>
    <row r="35" spans="1:15" ht="16.5" thickBot="1" x14ac:dyDescent="0.3">
      <c r="A35" s="2">
        <f t="shared" si="0"/>
        <v>26</v>
      </c>
      <c r="D35" s="147">
        <f>SUM(D23:D34)</f>
        <v>0</v>
      </c>
      <c r="E35" s="136">
        <f>SUM(E23:E34)</f>
        <v>0</v>
      </c>
      <c r="F35" s="137">
        <v>0</v>
      </c>
      <c r="G35" s="137">
        <v>0</v>
      </c>
      <c r="H35" s="136">
        <f>SUM(H23:H34)</f>
        <v>0</v>
      </c>
      <c r="I35" s="136">
        <f>SUM(I23:I34)</f>
        <v>0</v>
      </c>
      <c r="J35" s="138"/>
      <c r="K35" s="139"/>
      <c r="L35" s="18">
        <f>SUM(L23:L34)</f>
        <v>0</v>
      </c>
      <c r="M35" s="328"/>
      <c r="N35" s="2">
        <f t="shared" si="1"/>
        <v>26</v>
      </c>
    </row>
    <row r="36" spans="1:15" ht="16.5" thickTop="1" x14ac:dyDescent="0.25">
      <c r="D36" s="155"/>
      <c r="E36" s="155"/>
      <c r="F36" s="155"/>
      <c r="G36" s="155"/>
      <c r="H36" s="155"/>
      <c r="I36" s="155"/>
      <c r="J36" s="155"/>
      <c r="K36" s="155"/>
      <c r="L36" s="329"/>
      <c r="M36" s="329"/>
    </row>
    <row r="37" spans="1:15" x14ac:dyDescent="0.25">
      <c r="B37" s="45"/>
      <c r="F37" s="257"/>
      <c r="G37" s="257"/>
    </row>
    <row r="38" spans="1:15" ht="18.75" x14ac:dyDescent="0.25">
      <c r="A38" s="174">
        <v>1</v>
      </c>
      <c r="B38" s="3" t="s">
        <v>495</v>
      </c>
      <c r="F38" s="257"/>
      <c r="G38" s="257"/>
    </row>
    <row r="39" spans="1:15" ht="18.75" x14ac:dyDescent="0.25">
      <c r="A39" s="174">
        <v>2</v>
      </c>
      <c r="B39" s="3" t="s">
        <v>496</v>
      </c>
    </row>
    <row r="40" spans="1:15" ht="18.75" x14ac:dyDescent="0.25">
      <c r="A40" s="174">
        <v>3</v>
      </c>
      <c r="B40" s="3" t="s">
        <v>521</v>
      </c>
    </row>
    <row r="41" spans="1:15" ht="18.75" x14ac:dyDescent="0.25">
      <c r="A41" s="174">
        <v>4</v>
      </c>
      <c r="B41" s="3" t="s">
        <v>523</v>
      </c>
    </row>
    <row r="42" spans="1:15" ht="18.75" x14ac:dyDescent="0.25">
      <c r="A42" s="174"/>
      <c r="B42" s="3" t="s">
        <v>522</v>
      </c>
    </row>
    <row r="43" spans="1:15" ht="18.75" x14ac:dyDescent="0.25">
      <c r="A43" s="174">
        <v>5</v>
      </c>
      <c r="B43" s="3" t="s">
        <v>497</v>
      </c>
      <c r="C43" s="246"/>
    </row>
    <row r="44" spans="1:15" ht="18.75" x14ac:dyDescent="0.25">
      <c r="A44" s="174">
        <v>6</v>
      </c>
      <c r="B44" s="3" t="s">
        <v>515</v>
      </c>
    </row>
    <row r="45" spans="1:15" ht="18.75" x14ac:dyDescent="0.25">
      <c r="A45" s="174">
        <v>7</v>
      </c>
      <c r="B45" s="3" t="s">
        <v>516</v>
      </c>
    </row>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0000"/>
    <pageSetUpPr fitToPage="1"/>
  </sheetPr>
  <dimension ref="A1:M35"/>
  <sheetViews>
    <sheetView zoomScale="80" zoomScaleNormal="80" workbookViewId="0"/>
  </sheetViews>
  <sheetFormatPr defaultColWidth="9.28515625" defaultRowHeight="15.75" x14ac:dyDescent="0.25"/>
  <cols>
    <col min="1" max="1" width="5.28515625" style="206" customWidth="1"/>
    <col min="2" max="3" width="19.5703125" style="3" customWidth="1"/>
    <col min="4" max="5" width="20.7109375" style="3" customWidth="1"/>
    <col min="6" max="6" width="35.5703125" style="3" customWidth="1"/>
    <col min="7" max="7" width="20.7109375" style="3" customWidth="1"/>
    <col min="8" max="8" width="35.28515625" style="3" customWidth="1"/>
    <col min="9" max="9" width="5.28515625" style="206" customWidth="1"/>
    <col min="10" max="10" width="8.7109375" style="3" customWidth="1"/>
    <col min="11" max="11" width="9" style="3" customWidth="1"/>
    <col min="12" max="12" width="14" style="3" customWidth="1"/>
    <col min="13" max="13" width="13.28515625" style="3" customWidth="1"/>
    <col min="14" max="14" width="12.7109375" style="3" customWidth="1"/>
    <col min="15" max="15" width="13.5703125" style="3" customWidth="1"/>
    <col min="16" max="16" width="12.5703125" style="3" customWidth="1"/>
    <col min="17" max="16384" width="9.28515625" style="3"/>
  </cols>
  <sheetData>
    <row r="1" spans="1:13" x14ac:dyDescent="0.25">
      <c r="M1" s="155"/>
    </row>
    <row r="2" spans="1:13" x14ac:dyDescent="0.25">
      <c r="B2" s="584" t="s">
        <v>16</v>
      </c>
      <c r="C2" s="584"/>
      <c r="D2" s="584"/>
      <c r="E2" s="584"/>
      <c r="F2" s="584"/>
      <c r="G2" s="584"/>
      <c r="H2" s="584"/>
      <c r="I2" s="165"/>
      <c r="J2" s="165"/>
      <c r="M2" s="155"/>
    </row>
    <row r="3" spans="1:13" x14ac:dyDescent="0.25">
      <c r="B3" s="582" t="s">
        <v>1151</v>
      </c>
      <c r="C3" s="582"/>
      <c r="D3" s="582"/>
      <c r="E3" s="582"/>
      <c r="F3" s="582"/>
      <c r="G3" s="582"/>
      <c r="H3" s="582"/>
      <c r="I3" s="165"/>
      <c r="J3" s="165"/>
      <c r="M3" s="155"/>
    </row>
    <row r="4" spans="1:13" x14ac:dyDescent="0.25">
      <c r="B4" s="586" t="str">
        <f>'True-Up'!B4</f>
        <v>For 12-Month True-Up Period January 1, xxxx Through December 31, xxxx</v>
      </c>
      <c r="C4" s="586"/>
      <c r="D4" s="586"/>
      <c r="E4" s="586"/>
      <c r="F4" s="586"/>
      <c r="G4" s="586"/>
      <c r="H4" s="586"/>
      <c r="I4" s="165"/>
      <c r="J4" s="165"/>
      <c r="M4" s="155"/>
    </row>
    <row r="5" spans="1:13" x14ac:dyDescent="0.25">
      <c r="B5" s="580" t="s">
        <v>1</v>
      </c>
      <c r="C5" s="580"/>
      <c r="D5" s="580"/>
      <c r="E5" s="580"/>
      <c r="F5" s="580"/>
      <c r="G5" s="580"/>
      <c r="H5" s="580"/>
      <c r="I5" s="165"/>
      <c r="J5" s="165"/>
    </row>
    <row r="6" spans="1:13" x14ac:dyDescent="0.25">
      <c r="A6" s="165"/>
      <c r="B6" s="165"/>
      <c r="C6" s="165"/>
      <c r="D6" s="165"/>
      <c r="E6" s="165"/>
      <c r="F6" s="165"/>
      <c r="G6" s="165"/>
      <c r="H6" s="165"/>
      <c r="I6" s="165"/>
      <c r="J6" s="165"/>
    </row>
    <row r="7" spans="1:13" x14ac:dyDescent="0.25">
      <c r="A7" s="2" t="s">
        <v>2</v>
      </c>
      <c r="B7" s="165"/>
      <c r="C7" s="165"/>
      <c r="D7" s="165"/>
      <c r="E7" s="165"/>
      <c r="F7" s="165"/>
      <c r="G7" s="165"/>
      <c r="H7" s="165"/>
      <c r="I7" s="2" t="s">
        <v>2</v>
      </c>
      <c r="J7" s="165"/>
    </row>
    <row r="8" spans="1:13" x14ac:dyDescent="0.25">
      <c r="A8" s="2" t="s">
        <v>18</v>
      </c>
      <c r="E8" s="251"/>
      <c r="I8" s="2" t="s">
        <v>18</v>
      </c>
      <c r="J8" s="250"/>
    </row>
    <row r="9" spans="1:13" x14ac:dyDescent="0.25">
      <c r="A9" s="250"/>
      <c r="E9" s="251"/>
      <c r="I9" s="250"/>
      <c r="J9" s="250"/>
    </row>
    <row r="10" spans="1:13" x14ac:dyDescent="0.25">
      <c r="A10" s="206">
        <v>1</v>
      </c>
      <c r="C10" s="253" t="s">
        <v>531</v>
      </c>
      <c r="D10" s="253" t="s">
        <v>532</v>
      </c>
      <c r="E10" s="253" t="s">
        <v>533</v>
      </c>
      <c r="F10" s="253" t="s">
        <v>534</v>
      </c>
      <c r="G10" s="253" t="s">
        <v>535</v>
      </c>
      <c r="H10" s="253" t="s">
        <v>536</v>
      </c>
      <c r="I10" s="206">
        <f>A10</f>
        <v>1</v>
      </c>
      <c r="J10" s="206"/>
    </row>
    <row r="11" spans="1:13" x14ac:dyDescent="0.25">
      <c r="A11" s="206">
        <f>A10+1</f>
        <v>2</v>
      </c>
      <c r="B11" s="207" t="s">
        <v>296</v>
      </c>
      <c r="C11" s="253"/>
      <c r="D11" s="2"/>
      <c r="E11" s="2" t="s">
        <v>553</v>
      </c>
      <c r="F11" s="2" t="s">
        <v>554</v>
      </c>
      <c r="G11" s="41" t="s">
        <v>555</v>
      </c>
      <c r="H11" s="41" t="s">
        <v>556</v>
      </c>
      <c r="I11" s="206">
        <f>I10+1</f>
        <v>2</v>
      </c>
      <c r="J11" s="206"/>
    </row>
    <row r="12" spans="1:13" x14ac:dyDescent="0.25">
      <c r="A12" s="206">
        <f t="shared" ref="A12:A28" si="0">A11+1</f>
        <v>3</v>
      </c>
      <c r="C12" s="253"/>
      <c r="D12" s="253"/>
      <c r="E12" s="253"/>
      <c r="F12" s="165"/>
      <c r="G12" s="253"/>
      <c r="H12" s="253"/>
      <c r="I12" s="206">
        <f t="shared" ref="I12:I28" si="1">I11+1</f>
        <v>3</v>
      </c>
      <c r="J12" s="206"/>
    </row>
    <row r="13" spans="1:13" x14ac:dyDescent="0.25">
      <c r="A13" s="206">
        <f t="shared" si="0"/>
        <v>4</v>
      </c>
      <c r="C13" s="165"/>
      <c r="D13" s="165" t="s">
        <v>315</v>
      </c>
      <c r="E13" s="165" t="s">
        <v>298</v>
      </c>
      <c r="F13" s="165" t="s">
        <v>387</v>
      </c>
      <c r="H13" s="165" t="s">
        <v>387</v>
      </c>
      <c r="I13" s="206">
        <f t="shared" si="1"/>
        <v>4</v>
      </c>
      <c r="J13" s="206"/>
    </row>
    <row r="14" spans="1:13" x14ac:dyDescent="0.25">
      <c r="A14" s="206">
        <f t="shared" si="0"/>
        <v>5</v>
      </c>
      <c r="C14" s="165"/>
      <c r="D14" s="165" t="s">
        <v>301</v>
      </c>
      <c r="E14" s="165" t="s">
        <v>300</v>
      </c>
      <c r="F14" s="165" t="s">
        <v>386</v>
      </c>
      <c r="G14" s="165"/>
      <c r="H14" s="165" t="s">
        <v>386</v>
      </c>
      <c r="I14" s="206">
        <f t="shared" si="1"/>
        <v>5</v>
      </c>
      <c r="J14" s="206"/>
    </row>
    <row r="15" spans="1:13" ht="18.75" x14ac:dyDescent="0.25">
      <c r="A15" s="206">
        <f t="shared" si="0"/>
        <v>6</v>
      </c>
      <c r="B15" s="176" t="s">
        <v>17</v>
      </c>
      <c r="C15" s="176" t="s">
        <v>74</v>
      </c>
      <c r="D15" s="176" t="s">
        <v>500</v>
      </c>
      <c r="E15" s="176" t="s">
        <v>72</v>
      </c>
      <c r="F15" s="176" t="s">
        <v>494</v>
      </c>
      <c r="G15" s="266" t="s">
        <v>300</v>
      </c>
      <c r="H15" s="176" t="s">
        <v>303</v>
      </c>
      <c r="I15" s="206">
        <f t="shared" si="1"/>
        <v>6</v>
      </c>
      <c r="J15" s="206"/>
    </row>
    <row r="16" spans="1:13" x14ac:dyDescent="0.25">
      <c r="A16" s="206">
        <f t="shared" si="0"/>
        <v>7</v>
      </c>
      <c r="B16" s="39" t="s">
        <v>304</v>
      </c>
      <c r="C16" s="254" t="str">
        <f>'True-Up'!C23</f>
        <v>xxxx</v>
      </c>
      <c r="D16" s="140">
        <v>0</v>
      </c>
      <c r="E16" s="141">
        <f>'True-Up'!J23</f>
        <v>0</v>
      </c>
      <c r="F16" s="126">
        <f>D16</f>
        <v>0</v>
      </c>
      <c r="G16" s="126">
        <f>((F16))*E16</f>
        <v>0</v>
      </c>
      <c r="H16" s="126">
        <f t="shared" ref="H16:H27" si="2">F16+G16</f>
        <v>0</v>
      </c>
      <c r="I16" s="206">
        <f t="shared" si="1"/>
        <v>7</v>
      </c>
      <c r="J16" s="206"/>
    </row>
    <row r="17" spans="1:10" x14ac:dyDescent="0.25">
      <c r="A17" s="206">
        <f t="shared" si="0"/>
        <v>8</v>
      </c>
      <c r="B17" s="39" t="s">
        <v>305</v>
      </c>
      <c r="C17" s="254" t="str">
        <f>$C$16</f>
        <v>xxxx</v>
      </c>
      <c r="D17" s="142"/>
      <c r="E17" s="141">
        <f>'True-Up'!J24</f>
        <v>0</v>
      </c>
      <c r="F17" s="131">
        <f>H16</f>
        <v>0</v>
      </c>
      <c r="G17" s="131">
        <f t="shared" ref="G17:G27" si="3">((H16+F17)/2)*E17</f>
        <v>0</v>
      </c>
      <c r="H17" s="131">
        <f t="shared" si="2"/>
        <v>0</v>
      </c>
      <c r="I17" s="206">
        <f t="shared" si="1"/>
        <v>8</v>
      </c>
      <c r="J17" s="206"/>
    </row>
    <row r="18" spans="1:10" x14ac:dyDescent="0.25">
      <c r="A18" s="206">
        <f t="shared" si="0"/>
        <v>9</v>
      </c>
      <c r="B18" s="39" t="s">
        <v>306</v>
      </c>
      <c r="C18" s="254" t="str">
        <f t="shared" ref="C18:C27" si="4">$C$16</f>
        <v>xxxx</v>
      </c>
      <c r="D18" s="142"/>
      <c r="E18" s="141">
        <f>'True-Up'!J25</f>
        <v>0</v>
      </c>
      <c r="F18" s="131">
        <f>H17</f>
        <v>0</v>
      </c>
      <c r="G18" s="131">
        <f t="shared" si="3"/>
        <v>0</v>
      </c>
      <c r="H18" s="131">
        <f t="shared" si="2"/>
        <v>0</v>
      </c>
      <c r="I18" s="206">
        <f t="shared" si="1"/>
        <v>9</v>
      </c>
      <c r="J18" s="206"/>
    </row>
    <row r="19" spans="1:10" x14ac:dyDescent="0.25">
      <c r="A19" s="206">
        <f t="shared" si="0"/>
        <v>10</v>
      </c>
      <c r="B19" s="39" t="s">
        <v>307</v>
      </c>
      <c r="C19" s="254" t="str">
        <f t="shared" si="4"/>
        <v>xxxx</v>
      </c>
      <c r="D19" s="142"/>
      <c r="E19" s="141">
        <f>'True-Up'!J26</f>
        <v>0</v>
      </c>
      <c r="F19" s="131">
        <f t="shared" ref="F19:F27" si="5">H18</f>
        <v>0</v>
      </c>
      <c r="G19" s="131">
        <f t="shared" si="3"/>
        <v>0</v>
      </c>
      <c r="H19" s="131">
        <f t="shared" si="2"/>
        <v>0</v>
      </c>
      <c r="I19" s="206">
        <f t="shared" si="1"/>
        <v>10</v>
      </c>
      <c r="J19" s="206"/>
    </row>
    <row r="20" spans="1:10" x14ac:dyDescent="0.25">
      <c r="A20" s="206">
        <f t="shared" si="0"/>
        <v>11</v>
      </c>
      <c r="B20" s="39" t="s">
        <v>21</v>
      </c>
      <c r="C20" s="254" t="str">
        <f t="shared" si="4"/>
        <v>xxxx</v>
      </c>
      <c r="D20" s="142"/>
      <c r="E20" s="141">
        <f>'True-Up'!J27</f>
        <v>0</v>
      </c>
      <c r="F20" s="131">
        <f t="shared" si="5"/>
        <v>0</v>
      </c>
      <c r="G20" s="131">
        <f t="shared" si="3"/>
        <v>0</v>
      </c>
      <c r="H20" s="131">
        <f t="shared" si="2"/>
        <v>0</v>
      </c>
      <c r="I20" s="206">
        <f t="shared" si="1"/>
        <v>11</v>
      </c>
      <c r="J20" s="206"/>
    </row>
    <row r="21" spans="1:10" x14ac:dyDescent="0.25">
      <c r="A21" s="206">
        <f t="shared" si="0"/>
        <v>12</v>
      </c>
      <c r="B21" s="39" t="s">
        <v>308</v>
      </c>
      <c r="C21" s="254" t="str">
        <f t="shared" si="4"/>
        <v>xxxx</v>
      </c>
      <c r="D21" s="142"/>
      <c r="E21" s="141">
        <f>'True-Up'!J28</f>
        <v>0</v>
      </c>
      <c r="F21" s="131">
        <f t="shared" si="5"/>
        <v>0</v>
      </c>
      <c r="G21" s="131">
        <f t="shared" si="3"/>
        <v>0</v>
      </c>
      <c r="H21" s="131">
        <f t="shared" si="2"/>
        <v>0</v>
      </c>
      <c r="I21" s="206">
        <f t="shared" si="1"/>
        <v>12</v>
      </c>
      <c r="J21" s="206"/>
    </row>
    <row r="22" spans="1:10" x14ac:dyDescent="0.25">
      <c r="A22" s="206">
        <f t="shared" si="0"/>
        <v>13</v>
      </c>
      <c r="B22" s="39" t="s">
        <v>309</v>
      </c>
      <c r="C22" s="254" t="str">
        <f t="shared" si="4"/>
        <v>xxxx</v>
      </c>
      <c r="D22" s="142"/>
      <c r="E22" s="141">
        <f>'True-Up'!J29</f>
        <v>0</v>
      </c>
      <c r="F22" s="131">
        <f t="shared" si="5"/>
        <v>0</v>
      </c>
      <c r="G22" s="131">
        <f t="shared" si="3"/>
        <v>0</v>
      </c>
      <c r="H22" s="131">
        <f t="shared" si="2"/>
        <v>0</v>
      </c>
      <c r="I22" s="206">
        <f t="shared" si="1"/>
        <v>13</v>
      </c>
      <c r="J22" s="206"/>
    </row>
    <row r="23" spans="1:10" x14ac:dyDescent="0.25">
      <c r="A23" s="206">
        <f t="shared" si="0"/>
        <v>14</v>
      </c>
      <c r="B23" s="39" t="s">
        <v>310</v>
      </c>
      <c r="C23" s="254" t="str">
        <f t="shared" si="4"/>
        <v>xxxx</v>
      </c>
      <c r="D23" s="142"/>
      <c r="E23" s="141">
        <f>'True-Up'!J30</f>
        <v>0</v>
      </c>
      <c r="F23" s="131">
        <f t="shared" si="5"/>
        <v>0</v>
      </c>
      <c r="G23" s="131">
        <f t="shared" si="3"/>
        <v>0</v>
      </c>
      <c r="H23" s="131">
        <f t="shared" si="2"/>
        <v>0</v>
      </c>
      <c r="I23" s="206">
        <f t="shared" si="1"/>
        <v>14</v>
      </c>
      <c r="J23" s="206"/>
    </row>
    <row r="24" spans="1:10" x14ac:dyDescent="0.25">
      <c r="A24" s="206">
        <f t="shared" si="0"/>
        <v>15</v>
      </c>
      <c r="B24" s="39" t="s">
        <v>311</v>
      </c>
      <c r="C24" s="254" t="str">
        <f t="shared" si="4"/>
        <v>xxxx</v>
      </c>
      <c r="D24" s="142"/>
      <c r="E24" s="141">
        <f>'True-Up'!J31</f>
        <v>0</v>
      </c>
      <c r="F24" s="131">
        <f t="shared" si="5"/>
        <v>0</v>
      </c>
      <c r="G24" s="131">
        <f t="shared" si="3"/>
        <v>0</v>
      </c>
      <c r="H24" s="131">
        <f t="shared" si="2"/>
        <v>0</v>
      </c>
      <c r="I24" s="206">
        <f t="shared" si="1"/>
        <v>15</v>
      </c>
      <c r="J24" s="206"/>
    </row>
    <row r="25" spans="1:10" x14ac:dyDescent="0.25">
      <c r="A25" s="206">
        <f t="shared" si="0"/>
        <v>16</v>
      </c>
      <c r="B25" s="39" t="s">
        <v>312</v>
      </c>
      <c r="C25" s="254" t="str">
        <f t="shared" si="4"/>
        <v>xxxx</v>
      </c>
      <c r="D25" s="142"/>
      <c r="E25" s="141">
        <f>'True-Up'!J32</f>
        <v>0</v>
      </c>
      <c r="F25" s="131">
        <f t="shared" si="5"/>
        <v>0</v>
      </c>
      <c r="G25" s="131">
        <f t="shared" si="3"/>
        <v>0</v>
      </c>
      <c r="H25" s="131">
        <f t="shared" si="2"/>
        <v>0</v>
      </c>
      <c r="I25" s="206">
        <f t="shared" si="1"/>
        <v>16</v>
      </c>
      <c r="J25" s="206"/>
    </row>
    <row r="26" spans="1:10" x14ac:dyDescent="0.25">
      <c r="A26" s="206">
        <f t="shared" si="0"/>
        <v>17</v>
      </c>
      <c r="B26" s="39" t="s">
        <v>313</v>
      </c>
      <c r="C26" s="254" t="str">
        <f t="shared" si="4"/>
        <v>xxxx</v>
      </c>
      <c r="D26" s="142"/>
      <c r="E26" s="141">
        <f>'True-Up'!J33</f>
        <v>0</v>
      </c>
      <c r="F26" s="131">
        <f t="shared" si="5"/>
        <v>0</v>
      </c>
      <c r="G26" s="131">
        <f t="shared" si="3"/>
        <v>0</v>
      </c>
      <c r="H26" s="131">
        <f t="shared" si="2"/>
        <v>0</v>
      </c>
      <c r="I26" s="206">
        <f t="shared" si="1"/>
        <v>17</v>
      </c>
      <c r="J26" s="206"/>
    </row>
    <row r="27" spans="1:10" x14ac:dyDescent="0.25">
      <c r="A27" s="206">
        <f t="shared" si="0"/>
        <v>18</v>
      </c>
      <c r="B27" s="224" t="s">
        <v>314</v>
      </c>
      <c r="C27" s="256" t="str">
        <f t="shared" si="4"/>
        <v>xxxx</v>
      </c>
      <c r="D27" s="143"/>
      <c r="E27" s="144">
        <f>'True-Up'!J34</f>
        <v>0</v>
      </c>
      <c r="F27" s="134">
        <f t="shared" si="5"/>
        <v>0</v>
      </c>
      <c r="G27" s="134">
        <f t="shared" si="3"/>
        <v>0</v>
      </c>
      <c r="H27" s="134">
        <f t="shared" si="2"/>
        <v>0</v>
      </c>
      <c r="I27" s="206">
        <f t="shared" si="1"/>
        <v>18</v>
      </c>
      <c r="J27" s="206"/>
    </row>
    <row r="28" spans="1:10" ht="16.5" thickBot="1" x14ac:dyDescent="0.3">
      <c r="A28" s="206">
        <f t="shared" si="0"/>
        <v>19</v>
      </c>
      <c r="B28" s="39"/>
      <c r="C28" s="254"/>
      <c r="D28" s="142"/>
      <c r="E28" s="145"/>
      <c r="F28" s="146"/>
      <c r="G28" s="147">
        <f>SUM(G16:G27)</f>
        <v>0</v>
      </c>
      <c r="H28" s="146"/>
      <c r="I28" s="206">
        <f t="shared" si="1"/>
        <v>19</v>
      </c>
      <c r="J28" s="206"/>
    </row>
    <row r="29" spans="1:10" ht="16.5" thickTop="1" x14ac:dyDescent="0.25">
      <c r="B29" s="39"/>
      <c r="C29" s="254"/>
      <c r="D29" s="142"/>
      <c r="E29" s="145"/>
      <c r="F29" s="146"/>
      <c r="G29" s="146"/>
      <c r="H29" s="146"/>
      <c r="J29" s="206"/>
    </row>
    <row r="30" spans="1:10" x14ac:dyDescent="0.25">
      <c r="B30" s="39"/>
      <c r="C30" s="254"/>
      <c r="D30" s="153"/>
      <c r="E30" s="142"/>
      <c r="F30" s="251"/>
      <c r="G30" s="145"/>
      <c r="H30" s="258"/>
      <c r="I30" s="285"/>
      <c r="J30" s="258"/>
    </row>
    <row r="31" spans="1:10" ht="18.75" x14ac:dyDescent="0.25">
      <c r="A31" s="174">
        <v>1</v>
      </c>
      <c r="B31" s="39" t="s">
        <v>501</v>
      </c>
      <c r="C31" s="254"/>
      <c r="D31" s="153"/>
      <c r="E31" s="142"/>
      <c r="F31" s="251"/>
      <c r="G31" s="145"/>
      <c r="H31" s="258"/>
      <c r="I31" s="285"/>
      <c r="J31" s="258"/>
    </row>
    <row r="32" spans="1:10" ht="18.75" x14ac:dyDescent="0.25">
      <c r="A32" s="245">
        <v>2</v>
      </c>
      <c r="B32" s="39" t="s">
        <v>497</v>
      </c>
      <c r="C32" s="254"/>
      <c r="D32" s="153"/>
      <c r="E32" s="142"/>
      <c r="F32" s="251"/>
      <c r="G32" s="145"/>
      <c r="H32" s="258"/>
      <c r="I32" s="285"/>
      <c r="J32" s="258"/>
    </row>
    <row r="33" spans="1:10" ht="18.75" x14ac:dyDescent="0.25">
      <c r="A33" s="174">
        <v>3</v>
      </c>
      <c r="B33" s="3" t="s">
        <v>502</v>
      </c>
      <c r="C33" s="254"/>
      <c r="D33" s="153"/>
      <c r="E33" s="142"/>
      <c r="F33" s="251"/>
      <c r="G33" s="145"/>
      <c r="H33" s="258"/>
      <c r="I33" s="285"/>
      <c r="J33" s="258"/>
    </row>
    <row r="34" spans="1:10" ht="18.75" x14ac:dyDescent="0.25">
      <c r="A34" s="174">
        <v>4</v>
      </c>
      <c r="B34" s="3" t="s">
        <v>504</v>
      </c>
    </row>
    <row r="35" spans="1:10" x14ac:dyDescent="0.25">
      <c r="B35" s="3" t="s">
        <v>503</v>
      </c>
    </row>
  </sheetData>
  <mergeCells count="4">
    <mergeCell ref="B5:H5"/>
    <mergeCell ref="B2:H2"/>
    <mergeCell ref="B3:H3"/>
    <mergeCell ref="B4:H4"/>
  </mergeCells>
  <printOptions horizontalCentered="1"/>
  <pageMargins left="0.5" right="0.5" top="0.5" bottom="0.5" header="0.25" footer="0.25"/>
  <pageSetup scale="69" orientation="landscape" r:id="rId1"/>
  <headerFooter scaleWithDoc="0">
    <oddFooter>&amp;C&amp;"Times New Roman,Regular"&amp;10Interest True-Up BP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FF0000"/>
    <pageSetUpPr fitToPage="1"/>
  </sheetPr>
  <dimension ref="A1:M39"/>
  <sheetViews>
    <sheetView zoomScale="80" zoomScaleNormal="80" workbookViewId="0"/>
  </sheetViews>
  <sheetFormatPr defaultColWidth="9.28515625" defaultRowHeight="15.75" x14ac:dyDescent="0.25"/>
  <cols>
    <col min="1" max="1" width="5.28515625" style="3" customWidth="1"/>
    <col min="2" max="3" width="21.42578125" style="3" customWidth="1"/>
    <col min="4" max="9" width="22" style="3" customWidth="1"/>
    <col min="10" max="10" width="5.28515625" style="206" customWidth="1"/>
    <col min="11" max="11" width="14" style="3" customWidth="1"/>
    <col min="12" max="12" width="13.28515625" style="3" customWidth="1"/>
    <col min="13" max="13" width="12.7109375" style="3" customWidth="1"/>
    <col min="14" max="14" width="13.5703125" style="3" customWidth="1"/>
    <col min="15" max="15" width="12.5703125" style="3" customWidth="1"/>
    <col min="16" max="16384" width="9.28515625" style="3"/>
  </cols>
  <sheetData>
    <row r="1" spans="1:12" x14ac:dyDescent="0.25">
      <c r="A1" s="249"/>
      <c r="B1" s="205"/>
      <c r="C1" s="236"/>
      <c r="D1" s="259"/>
      <c r="E1" s="260"/>
      <c r="F1" s="261"/>
      <c r="G1" s="262"/>
      <c r="H1" s="263"/>
      <c r="I1" s="263"/>
      <c r="J1" s="264"/>
    </row>
    <row r="2" spans="1:12" x14ac:dyDescent="0.25">
      <c r="B2" s="601" t="s">
        <v>16</v>
      </c>
      <c r="C2" s="601"/>
      <c r="D2" s="601"/>
      <c r="E2" s="601"/>
      <c r="F2" s="601"/>
      <c r="G2" s="601"/>
      <c r="H2" s="601"/>
      <c r="I2" s="601"/>
      <c r="J2" s="249"/>
    </row>
    <row r="3" spans="1:12" x14ac:dyDescent="0.25">
      <c r="B3" s="603" t="str">
        <f>'Interest TU BP'!B3</f>
        <v>TO5 6 - Cycle x Interest True-Up Adjustment</v>
      </c>
      <c r="C3" s="603"/>
      <c r="D3" s="603"/>
      <c r="E3" s="603"/>
      <c r="F3" s="603"/>
      <c r="G3" s="603"/>
      <c r="H3" s="603"/>
      <c r="I3" s="603"/>
      <c r="J3" s="249"/>
    </row>
    <row r="4" spans="1:12" x14ac:dyDescent="0.25">
      <c r="B4" s="603" t="str">
        <f>'True-Up'!B4</f>
        <v>For 12-Month True-Up Period January 1, xxxx Through December 31, xxxx</v>
      </c>
      <c r="C4" s="603"/>
      <c r="D4" s="603"/>
      <c r="E4" s="603"/>
      <c r="F4" s="603"/>
      <c r="G4" s="603"/>
      <c r="H4" s="603"/>
      <c r="I4" s="603"/>
      <c r="J4" s="249"/>
      <c r="L4" s="179"/>
    </row>
    <row r="5" spans="1:12" x14ac:dyDescent="0.25">
      <c r="B5" s="600" t="s">
        <v>1</v>
      </c>
      <c r="C5" s="600"/>
      <c r="D5" s="600"/>
      <c r="E5" s="600"/>
      <c r="F5" s="600"/>
      <c r="G5" s="600"/>
      <c r="H5" s="600"/>
      <c r="I5" s="600"/>
      <c r="J5" s="249"/>
    </row>
    <row r="6" spans="1:12" x14ac:dyDescent="0.25">
      <c r="A6" s="249"/>
      <c r="B6" s="249"/>
      <c r="C6" s="249"/>
      <c r="D6" s="249"/>
      <c r="E6" s="249"/>
      <c r="F6" s="249"/>
      <c r="G6" s="249"/>
      <c r="H6" s="249"/>
      <c r="I6" s="249"/>
      <c r="J6" s="249"/>
    </row>
    <row r="7" spans="1:12" x14ac:dyDescent="0.25">
      <c r="A7" s="2" t="s">
        <v>2</v>
      </c>
      <c r="B7" s="39"/>
      <c r="C7" s="254"/>
      <c r="D7" s="153"/>
      <c r="E7" s="142"/>
      <c r="F7" s="251"/>
      <c r="G7" s="145"/>
      <c r="H7" s="258"/>
      <c r="I7" s="258"/>
      <c r="J7" s="2" t="s">
        <v>2</v>
      </c>
    </row>
    <row r="8" spans="1:12" x14ac:dyDescent="0.25">
      <c r="A8" s="2" t="s">
        <v>18</v>
      </c>
      <c r="B8" s="39"/>
      <c r="C8" s="254"/>
      <c r="D8" s="153"/>
      <c r="E8" s="142"/>
      <c r="F8" s="251"/>
      <c r="G8" s="145"/>
      <c r="H8" s="258"/>
      <c r="I8" s="258"/>
      <c r="J8" s="2" t="s">
        <v>18</v>
      </c>
    </row>
    <row r="9" spans="1:12" x14ac:dyDescent="0.25">
      <c r="B9" s="39"/>
      <c r="C9" s="254"/>
      <c r="D9" s="153"/>
      <c r="E9" s="142"/>
      <c r="F9" s="251"/>
      <c r="G9" s="145"/>
      <c r="H9" s="258"/>
      <c r="I9" s="258"/>
    </row>
    <row r="10" spans="1:12" x14ac:dyDescent="0.25">
      <c r="A10" s="206">
        <v>1</v>
      </c>
      <c r="C10" s="253" t="s">
        <v>531</v>
      </c>
      <c r="D10" s="253" t="s">
        <v>532</v>
      </c>
      <c r="E10" s="253" t="s">
        <v>533</v>
      </c>
      <c r="F10" s="253" t="s">
        <v>534</v>
      </c>
      <c r="G10" s="253" t="s">
        <v>535</v>
      </c>
      <c r="H10" s="253" t="s">
        <v>536</v>
      </c>
      <c r="I10" s="253" t="s">
        <v>537</v>
      </c>
      <c r="J10" s="206">
        <f>A10</f>
        <v>1</v>
      </c>
    </row>
    <row r="11" spans="1:12" x14ac:dyDescent="0.25">
      <c r="A11" s="206">
        <f>A10+1</f>
        <v>2</v>
      </c>
      <c r="C11" s="253"/>
      <c r="D11" s="2"/>
      <c r="E11" s="2" t="s">
        <v>553</v>
      </c>
      <c r="F11" s="2" t="s">
        <v>554</v>
      </c>
      <c r="G11" s="41" t="s">
        <v>557</v>
      </c>
      <c r="H11" s="41" t="s">
        <v>558</v>
      </c>
      <c r="I11" s="41" t="s">
        <v>559</v>
      </c>
      <c r="J11" s="206">
        <f>J10+1</f>
        <v>2</v>
      </c>
    </row>
    <row r="12" spans="1:12" x14ac:dyDescent="0.25">
      <c r="A12" s="206">
        <f t="shared" ref="A12:A32" si="0">A11+1</f>
        <v>3</v>
      </c>
      <c r="C12" s="253"/>
      <c r="D12" s="2"/>
      <c r="E12" s="2"/>
      <c r="F12" s="249"/>
      <c r="I12" s="253"/>
      <c r="J12" s="206">
        <f t="shared" ref="J12:J32" si="1">J11+1</f>
        <v>3</v>
      </c>
    </row>
    <row r="13" spans="1:12" x14ac:dyDescent="0.25">
      <c r="A13" s="206">
        <f t="shared" si="0"/>
        <v>4</v>
      </c>
      <c r="B13" s="39"/>
      <c r="C13" s="254"/>
      <c r="D13" s="165" t="s">
        <v>298</v>
      </c>
      <c r="E13" s="264" t="s">
        <v>17</v>
      </c>
      <c r="F13" s="249"/>
      <c r="I13" s="188" t="s">
        <v>17</v>
      </c>
      <c r="J13" s="206">
        <f t="shared" si="1"/>
        <v>4</v>
      </c>
    </row>
    <row r="14" spans="1:12" x14ac:dyDescent="0.25">
      <c r="A14" s="206">
        <f t="shared" si="0"/>
        <v>5</v>
      </c>
      <c r="C14" s="254"/>
      <c r="D14" s="165" t="s">
        <v>300</v>
      </c>
      <c r="E14" s="264" t="s">
        <v>316</v>
      </c>
      <c r="F14" s="249"/>
      <c r="I14" s="188" t="s">
        <v>317</v>
      </c>
      <c r="J14" s="206">
        <f t="shared" si="1"/>
        <v>5</v>
      </c>
    </row>
    <row r="15" spans="1:12" ht="18.75" x14ac:dyDescent="0.25">
      <c r="A15" s="206">
        <f t="shared" si="0"/>
        <v>6</v>
      </c>
      <c r="B15" s="176" t="s">
        <v>17</v>
      </c>
      <c r="C15" s="176" t="s">
        <v>74</v>
      </c>
      <c r="D15" s="176" t="s">
        <v>510</v>
      </c>
      <c r="E15" s="265" t="s">
        <v>19</v>
      </c>
      <c r="F15" s="266" t="s">
        <v>75</v>
      </c>
      <c r="G15" s="176" t="s">
        <v>318</v>
      </c>
      <c r="H15" s="176" t="s">
        <v>300</v>
      </c>
      <c r="I15" s="253" t="s">
        <v>19</v>
      </c>
      <c r="J15" s="206">
        <f t="shared" si="1"/>
        <v>6</v>
      </c>
    </row>
    <row r="16" spans="1:12" x14ac:dyDescent="0.25">
      <c r="A16" s="206">
        <f t="shared" si="0"/>
        <v>7</v>
      </c>
      <c r="B16" s="39" t="s">
        <v>304</v>
      </c>
      <c r="C16" s="535" t="str">
        <f>IFERROR(('True-Up'!C23+1),"xxxx")</f>
        <v>xxxx</v>
      </c>
      <c r="D16" s="141">
        <f>AVERAGE('True-Up'!J23:J34)</f>
        <v>0</v>
      </c>
      <c r="E16" s="148">
        <f>'Interest TU BP'!H27</f>
        <v>0</v>
      </c>
      <c r="F16" s="282">
        <f>IFERROR(-E16/(((1+D16)^12-1)/(D16*(1+D16)^12)),0)</f>
        <v>0</v>
      </c>
      <c r="G16" s="128">
        <f>-(F16+H16)</f>
        <v>0</v>
      </c>
      <c r="H16" s="128">
        <f>E16*D16</f>
        <v>0</v>
      </c>
      <c r="I16" s="149">
        <f>E16-G16</f>
        <v>0</v>
      </c>
      <c r="J16" s="206">
        <f t="shared" si="1"/>
        <v>7</v>
      </c>
    </row>
    <row r="17" spans="1:13" x14ac:dyDescent="0.25">
      <c r="A17" s="206">
        <f t="shared" si="0"/>
        <v>8</v>
      </c>
      <c r="B17" s="39" t="s">
        <v>305</v>
      </c>
      <c r="C17" s="254" t="str">
        <f>$C$16</f>
        <v>xxxx</v>
      </c>
      <c r="D17" s="145">
        <f t="shared" ref="D17:D27" si="2">$D$16</f>
        <v>0</v>
      </c>
      <c r="E17" s="131">
        <f>I16</f>
        <v>0</v>
      </c>
      <c r="F17" s="536">
        <f>IFERROR(-E16/(((1+D16)^12-1)/(D16*(1+D16)^12)),0)</f>
        <v>0</v>
      </c>
      <c r="G17" s="104">
        <f t="shared" ref="G17:G27" si="3">-(F17+H17)</f>
        <v>0</v>
      </c>
      <c r="H17" s="104">
        <f>E17*D17</f>
        <v>0</v>
      </c>
      <c r="I17" s="150">
        <f>E17-G17</f>
        <v>0</v>
      </c>
      <c r="J17" s="206">
        <f t="shared" si="1"/>
        <v>8</v>
      </c>
      <c r="L17" s="257"/>
    </row>
    <row r="18" spans="1:13" x14ac:dyDescent="0.25">
      <c r="A18" s="206">
        <f t="shared" si="0"/>
        <v>9</v>
      </c>
      <c r="B18" s="39" t="s">
        <v>306</v>
      </c>
      <c r="C18" s="254" t="str">
        <f t="shared" ref="C18:C27" si="4">$C$16</f>
        <v>xxxx</v>
      </c>
      <c r="D18" s="145">
        <f t="shared" si="2"/>
        <v>0</v>
      </c>
      <c r="E18" s="131">
        <f t="shared" ref="E18:E27" si="5">I17</f>
        <v>0</v>
      </c>
      <c r="F18" s="536">
        <f>IFERROR(-E16/(((1+D16)^12-1)/(D16*(1+D16)^12)),0)</f>
        <v>0</v>
      </c>
      <c r="G18" s="104">
        <f t="shared" si="3"/>
        <v>0</v>
      </c>
      <c r="H18" s="104">
        <f t="shared" ref="H18:H27" si="6">E18*D18</f>
        <v>0</v>
      </c>
      <c r="I18" s="150">
        <f t="shared" ref="I18:I26" si="7">E18-G18</f>
        <v>0</v>
      </c>
      <c r="J18" s="206">
        <f t="shared" si="1"/>
        <v>9</v>
      </c>
    </row>
    <row r="19" spans="1:13" x14ac:dyDescent="0.25">
      <c r="A19" s="206">
        <f t="shared" si="0"/>
        <v>10</v>
      </c>
      <c r="B19" s="39" t="s">
        <v>307</v>
      </c>
      <c r="C19" s="254" t="str">
        <f t="shared" si="4"/>
        <v>xxxx</v>
      </c>
      <c r="D19" s="145">
        <f t="shared" si="2"/>
        <v>0</v>
      </c>
      <c r="E19" s="131">
        <f t="shared" si="5"/>
        <v>0</v>
      </c>
      <c r="F19" s="536">
        <f>IFERROR(-E16/(((1+D16)^12-1)/(D16*(1+D16)^12)),0)</f>
        <v>0</v>
      </c>
      <c r="G19" s="104">
        <f t="shared" si="3"/>
        <v>0</v>
      </c>
      <c r="H19" s="104">
        <f t="shared" si="6"/>
        <v>0</v>
      </c>
      <c r="I19" s="150">
        <f t="shared" si="7"/>
        <v>0</v>
      </c>
      <c r="J19" s="206">
        <f t="shared" si="1"/>
        <v>10</v>
      </c>
    </row>
    <row r="20" spans="1:13" x14ac:dyDescent="0.25">
      <c r="A20" s="206">
        <f t="shared" si="0"/>
        <v>11</v>
      </c>
      <c r="B20" s="39" t="s">
        <v>21</v>
      </c>
      <c r="C20" s="254" t="str">
        <f t="shared" si="4"/>
        <v>xxxx</v>
      </c>
      <c r="D20" s="145">
        <f t="shared" si="2"/>
        <v>0</v>
      </c>
      <c r="E20" s="131">
        <f t="shared" si="5"/>
        <v>0</v>
      </c>
      <c r="F20" s="536">
        <f>IFERROR(-E16/(((1+D16)^12-1)/(D16*(1+D16)^12)),0)</f>
        <v>0</v>
      </c>
      <c r="G20" s="104">
        <f t="shared" si="3"/>
        <v>0</v>
      </c>
      <c r="H20" s="104">
        <f t="shared" si="6"/>
        <v>0</v>
      </c>
      <c r="I20" s="150">
        <f t="shared" si="7"/>
        <v>0</v>
      </c>
      <c r="J20" s="206">
        <f t="shared" si="1"/>
        <v>11</v>
      </c>
    </row>
    <row r="21" spans="1:13" x14ac:dyDescent="0.25">
      <c r="A21" s="206">
        <f t="shared" si="0"/>
        <v>12</v>
      </c>
      <c r="B21" s="39" t="s">
        <v>319</v>
      </c>
      <c r="C21" s="254" t="str">
        <f t="shared" si="4"/>
        <v>xxxx</v>
      </c>
      <c r="D21" s="145">
        <f t="shared" si="2"/>
        <v>0</v>
      </c>
      <c r="E21" s="131">
        <f t="shared" si="5"/>
        <v>0</v>
      </c>
      <c r="F21" s="536">
        <f>IFERROR(-E16/(((1+D16)^12-1)/(D16*(1+D16)^12)),0)</f>
        <v>0</v>
      </c>
      <c r="G21" s="104">
        <f t="shared" si="3"/>
        <v>0</v>
      </c>
      <c r="H21" s="104">
        <f t="shared" si="6"/>
        <v>0</v>
      </c>
      <c r="I21" s="150">
        <f t="shared" si="7"/>
        <v>0</v>
      </c>
      <c r="J21" s="206">
        <f t="shared" si="1"/>
        <v>12</v>
      </c>
    </row>
    <row r="22" spans="1:13" x14ac:dyDescent="0.25">
      <c r="A22" s="206">
        <f t="shared" si="0"/>
        <v>13</v>
      </c>
      <c r="B22" s="39" t="s">
        <v>309</v>
      </c>
      <c r="C22" s="254" t="str">
        <f t="shared" si="4"/>
        <v>xxxx</v>
      </c>
      <c r="D22" s="145">
        <f t="shared" si="2"/>
        <v>0</v>
      </c>
      <c r="E22" s="131">
        <f t="shared" si="5"/>
        <v>0</v>
      </c>
      <c r="F22" s="536">
        <f>IFERROR(-E16/(((1+D16)^12-1)/(D16*(1+D16)^12)),0)</f>
        <v>0</v>
      </c>
      <c r="G22" s="104">
        <f t="shared" si="3"/>
        <v>0</v>
      </c>
      <c r="H22" s="104">
        <f t="shared" si="6"/>
        <v>0</v>
      </c>
      <c r="I22" s="150">
        <f t="shared" si="7"/>
        <v>0</v>
      </c>
      <c r="J22" s="206">
        <f t="shared" si="1"/>
        <v>13</v>
      </c>
    </row>
    <row r="23" spans="1:13" x14ac:dyDescent="0.25">
      <c r="A23" s="206">
        <f t="shared" si="0"/>
        <v>14</v>
      </c>
      <c r="B23" s="39" t="s">
        <v>310</v>
      </c>
      <c r="C23" s="254" t="str">
        <f t="shared" si="4"/>
        <v>xxxx</v>
      </c>
      <c r="D23" s="145">
        <f t="shared" si="2"/>
        <v>0</v>
      </c>
      <c r="E23" s="131">
        <f t="shared" si="5"/>
        <v>0</v>
      </c>
      <c r="F23" s="536">
        <f>IFERROR(-E16/(((1+D16)^12-1)/(D16*(1+D16)^12)),0)</f>
        <v>0</v>
      </c>
      <c r="G23" s="104">
        <f t="shared" si="3"/>
        <v>0</v>
      </c>
      <c r="H23" s="104">
        <f t="shared" si="6"/>
        <v>0</v>
      </c>
      <c r="I23" s="150">
        <f t="shared" si="7"/>
        <v>0</v>
      </c>
      <c r="J23" s="206">
        <f t="shared" si="1"/>
        <v>14</v>
      </c>
    </row>
    <row r="24" spans="1:13" x14ac:dyDescent="0.25">
      <c r="A24" s="206">
        <f t="shared" si="0"/>
        <v>15</v>
      </c>
      <c r="B24" s="39" t="s">
        <v>311</v>
      </c>
      <c r="C24" s="254" t="str">
        <f t="shared" si="4"/>
        <v>xxxx</v>
      </c>
      <c r="D24" s="145">
        <f t="shared" si="2"/>
        <v>0</v>
      </c>
      <c r="E24" s="131">
        <f t="shared" si="5"/>
        <v>0</v>
      </c>
      <c r="F24" s="536">
        <f>IFERROR(-E16/(((1+D16)^12-1)/(D16*(1+D16)^12)),0)</f>
        <v>0</v>
      </c>
      <c r="G24" s="104">
        <f t="shared" si="3"/>
        <v>0</v>
      </c>
      <c r="H24" s="104">
        <f t="shared" si="6"/>
        <v>0</v>
      </c>
      <c r="I24" s="150">
        <f t="shared" si="7"/>
        <v>0</v>
      </c>
      <c r="J24" s="206">
        <f t="shared" si="1"/>
        <v>15</v>
      </c>
      <c r="K24" s="252"/>
    </row>
    <row r="25" spans="1:13" x14ac:dyDescent="0.25">
      <c r="A25" s="206">
        <f t="shared" si="0"/>
        <v>16</v>
      </c>
      <c r="B25" s="39" t="s">
        <v>312</v>
      </c>
      <c r="C25" s="254" t="str">
        <f t="shared" si="4"/>
        <v>xxxx</v>
      </c>
      <c r="D25" s="145">
        <f t="shared" si="2"/>
        <v>0</v>
      </c>
      <c r="E25" s="131">
        <f t="shared" si="5"/>
        <v>0</v>
      </c>
      <c r="F25" s="536">
        <f>IFERROR(-E16/(((1+D16)^12-1)/(D16*(1+D16)^12)),0)</f>
        <v>0</v>
      </c>
      <c r="G25" s="104">
        <f t="shared" si="3"/>
        <v>0</v>
      </c>
      <c r="H25" s="104">
        <f t="shared" si="6"/>
        <v>0</v>
      </c>
      <c r="I25" s="150">
        <f t="shared" si="7"/>
        <v>0</v>
      </c>
      <c r="J25" s="206">
        <f t="shared" si="1"/>
        <v>16</v>
      </c>
      <c r="K25" s="252"/>
      <c r="M25" s="145"/>
    </row>
    <row r="26" spans="1:13" x14ac:dyDescent="0.25">
      <c r="A26" s="206">
        <f t="shared" si="0"/>
        <v>17</v>
      </c>
      <c r="B26" s="39" t="s">
        <v>313</v>
      </c>
      <c r="C26" s="254" t="str">
        <f t="shared" si="4"/>
        <v>xxxx</v>
      </c>
      <c r="D26" s="145">
        <f t="shared" si="2"/>
        <v>0</v>
      </c>
      <c r="E26" s="131">
        <f t="shared" si="5"/>
        <v>0</v>
      </c>
      <c r="F26" s="536">
        <f>IFERROR(-E16/(((1+D16)^12-1)/(D16*(1+D16)^12)),0)</f>
        <v>0</v>
      </c>
      <c r="G26" s="104">
        <f t="shared" si="3"/>
        <v>0</v>
      </c>
      <c r="H26" s="104">
        <f t="shared" si="6"/>
        <v>0</v>
      </c>
      <c r="I26" s="150">
        <f t="shared" si="7"/>
        <v>0</v>
      </c>
      <c r="J26" s="206">
        <f t="shared" si="1"/>
        <v>17</v>
      </c>
      <c r="K26" s="252"/>
    </row>
    <row r="27" spans="1:13" x14ac:dyDescent="0.25">
      <c r="A27" s="206">
        <f t="shared" si="0"/>
        <v>18</v>
      </c>
      <c r="B27" s="224" t="s">
        <v>314</v>
      </c>
      <c r="C27" s="256" t="str">
        <f t="shared" si="4"/>
        <v>xxxx</v>
      </c>
      <c r="D27" s="151">
        <f t="shared" si="2"/>
        <v>0</v>
      </c>
      <c r="E27" s="134">
        <f t="shared" si="5"/>
        <v>0</v>
      </c>
      <c r="F27" s="537">
        <f>IFERROR(-E16/(((1+D16)^12-1)/(D16*(1+D16)^12)),0)</f>
        <v>0</v>
      </c>
      <c r="G27" s="135">
        <f t="shared" si="3"/>
        <v>0</v>
      </c>
      <c r="H27" s="135">
        <f t="shared" si="6"/>
        <v>0</v>
      </c>
      <c r="I27" s="152">
        <f>E27-G27</f>
        <v>0</v>
      </c>
      <c r="J27" s="206">
        <f t="shared" si="1"/>
        <v>18</v>
      </c>
    </row>
    <row r="28" spans="1:13" ht="16.5" thickBot="1" x14ac:dyDescent="0.3">
      <c r="A28" s="206">
        <f t="shared" si="0"/>
        <v>19</v>
      </c>
      <c r="B28" s="39"/>
      <c r="C28" s="254"/>
      <c r="D28" s="153"/>
      <c r="E28" s="154"/>
      <c r="F28" s="155"/>
      <c r="H28" s="136">
        <f>SUM(H16:H27)</f>
        <v>0</v>
      </c>
      <c r="I28" s="155"/>
      <c r="J28" s="206">
        <f t="shared" si="1"/>
        <v>19</v>
      </c>
    </row>
    <row r="29" spans="1:13" ht="16.5" thickTop="1" x14ac:dyDescent="0.25">
      <c r="A29" s="206">
        <f t="shared" si="0"/>
        <v>20</v>
      </c>
      <c r="B29" s="39"/>
      <c r="C29" s="254"/>
      <c r="D29" s="154"/>
      <c r="E29" s="155"/>
      <c r="F29" s="155"/>
      <c r="G29" s="155"/>
      <c r="H29" s="146"/>
      <c r="I29" s="146"/>
      <c r="J29" s="206">
        <f t="shared" si="1"/>
        <v>20</v>
      </c>
      <c r="K29" s="155"/>
    </row>
    <row r="30" spans="1:13" x14ac:dyDescent="0.25">
      <c r="A30" s="206">
        <f t="shared" si="0"/>
        <v>21</v>
      </c>
      <c r="B30" s="3" t="s">
        <v>320</v>
      </c>
      <c r="D30" s="125">
        <f>'True-Up'!M34</f>
        <v>0</v>
      </c>
      <c r="E30" s="267" t="s">
        <v>560</v>
      </c>
      <c r="F30" s="268"/>
      <c r="G30" s="268"/>
      <c r="J30" s="206">
        <f t="shared" si="1"/>
        <v>21</v>
      </c>
    </row>
    <row r="31" spans="1:13" x14ac:dyDescent="0.25">
      <c r="A31" s="206">
        <f t="shared" si="0"/>
        <v>22</v>
      </c>
      <c r="B31" s="3" t="s">
        <v>385</v>
      </c>
      <c r="D31" s="156">
        <f>'Interest TU BP'!G28+'Interest TU CY'!H28</f>
        <v>0</v>
      </c>
      <c r="E31" s="269" t="s">
        <v>561</v>
      </c>
      <c r="F31" s="268"/>
      <c r="G31" s="268"/>
      <c r="J31" s="206">
        <f t="shared" si="1"/>
        <v>22</v>
      </c>
    </row>
    <row r="32" spans="1:13" x14ac:dyDescent="0.25">
      <c r="A32" s="206">
        <f t="shared" si="0"/>
        <v>23</v>
      </c>
      <c r="B32" s="3" t="s">
        <v>20</v>
      </c>
      <c r="D32" s="43">
        <f>D30+D31</f>
        <v>0</v>
      </c>
      <c r="F32" s="268"/>
      <c r="G32" s="268"/>
      <c r="J32" s="206">
        <f t="shared" si="1"/>
        <v>23</v>
      </c>
    </row>
    <row r="33" spans="1:2" x14ac:dyDescent="0.25">
      <c r="A33" s="206"/>
    </row>
    <row r="34" spans="1:2" x14ac:dyDescent="0.25">
      <c r="A34" s="206"/>
    </row>
    <row r="35" spans="1:2" ht="18.75" x14ac:dyDescent="0.25">
      <c r="A35" s="174">
        <v>1</v>
      </c>
      <c r="B35" s="3" t="s">
        <v>505</v>
      </c>
    </row>
    <row r="36" spans="1:2" ht="18.75" x14ac:dyDescent="0.25">
      <c r="A36" s="174">
        <v>2</v>
      </c>
      <c r="B36" s="3" t="s">
        <v>509</v>
      </c>
    </row>
    <row r="37" spans="1:2" ht="18.75" x14ac:dyDescent="0.25">
      <c r="A37" s="174"/>
      <c r="B37" s="3" t="s">
        <v>508</v>
      </c>
    </row>
    <row r="38" spans="1:2" ht="18.75" x14ac:dyDescent="0.25">
      <c r="A38" s="174">
        <v>3</v>
      </c>
      <c r="B38" s="3" t="s">
        <v>506</v>
      </c>
    </row>
    <row r="39" spans="1:2" x14ac:dyDescent="0.25">
      <c r="B39" s="3" t="s">
        <v>507</v>
      </c>
    </row>
  </sheetData>
  <mergeCells count="4">
    <mergeCell ref="B5:I5"/>
    <mergeCell ref="B2:I2"/>
    <mergeCell ref="B3:I3"/>
    <mergeCell ref="B4:I4"/>
  </mergeCells>
  <printOptions horizontalCentered="1"/>
  <pageMargins left="0.5" right="0.5" top="0.5" bottom="0.5" header="0.25" footer="0.25"/>
  <pageSetup scale="68" orientation="landscape" r:id="rId1"/>
  <headerFooter scaleWithDoc="0">
    <oddFooter>&amp;C&amp;"Times New Roman,Regular"&amp;10Interest True-Up CY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zoomScale="80" zoomScaleNormal="80" workbookViewId="0">
      <selection activeCell="I45" sqref="I45"/>
    </sheetView>
  </sheetViews>
  <sheetFormatPr defaultColWidth="8.7109375" defaultRowHeight="15.75" x14ac:dyDescent="0.25"/>
  <cols>
    <col min="1" max="1" width="5.28515625" style="2" bestFit="1" customWidth="1"/>
    <col min="2" max="2" width="55.7109375" style="38" customWidth="1"/>
    <col min="3" max="3" width="24" style="2" customWidth="1"/>
    <col min="4" max="4" width="1.5703125" style="38" customWidth="1"/>
    <col min="5" max="5" width="16.7109375" style="38" customWidth="1"/>
    <col min="6" max="6" width="1.5703125" style="38" customWidth="1"/>
    <col min="7" max="7" width="16.7109375" style="38" customWidth="1"/>
    <col min="8" max="8" width="1.5703125" style="38" customWidth="1"/>
    <col min="9" max="9" width="16.7109375" style="38" customWidth="1"/>
    <col min="10" max="10" width="1.5703125" style="38" customWidth="1"/>
    <col min="11" max="11" width="34.5703125" style="38" customWidth="1"/>
    <col min="12" max="12" width="5.28515625" style="2" bestFit="1" customWidth="1"/>
    <col min="13" max="13" width="8.7109375" style="38"/>
    <col min="14" max="14" width="38.28515625" style="38" customWidth="1"/>
    <col min="15" max="16384" width="8.7109375" style="38"/>
  </cols>
  <sheetData>
    <row r="1" spans="1:14" x14ac:dyDescent="0.25">
      <c r="A1" s="2" t="s">
        <v>8</v>
      </c>
    </row>
    <row r="2" spans="1:14" x14ac:dyDescent="0.25">
      <c r="A2" s="38"/>
      <c r="B2" s="584" t="s">
        <v>16</v>
      </c>
      <c r="C2" s="584"/>
      <c r="D2" s="584"/>
      <c r="E2" s="584"/>
      <c r="F2" s="584"/>
      <c r="G2" s="584"/>
      <c r="H2" s="584"/>
      <c r="I2" s="584"/>
      <c r="J2" s="584"/>
      <c r="K2" s="584"/>
      <c r="N2" s="180"/>
    </row>
    <row r="3" spans="1:14" x14ac:dyDescent="0.25">
      <c r="A3" s="38"/>
      <c r="B3" s="584" t="s">
        <v>776</v>
      </c>
      <c r="C3" s="584"/>
      <c r="D3" s="584"/>
      <c r="E3" s="584"/>
      <c r="F3" s="584"/>
      <c r="G3" s="584"/>
      <c r="H3" s="584"/>
      <c r="I3" s="584"/>
      <c r="J3" s="584"/>
      <c r="K3" s="584"/>
      <c r="N3" s="180"/>
    </row>
    <row r="4" spans="1:14" x14ac:dyDescent="0.25">
      <c r="A4" s="38"/>
      <c r="B4" s="584" t="s">
        <v>0</v>
      </c>
      <c r="C4" s="584"/>
      <c r="D4" s="584"/>
      <c r="E4" s="584"/>
      <c r="F4" s="584"/>
      <c r="G4" s="584"/>
      <c r="H4" s="581"/>
      <c r="I4" s="581"/>
      <c r="J4" s="581"/>
      <c r="K4" s="581"/>
    </row>
    <row r="5" spans="1:14" x14ac:dyDescent="0.25">
      <c r="B5" s="582" t="s">
        <v>1139</v>
      </c>
      <c r="C5" s="582"/>
      <c r="D5" s="582"/>
      <c r="E5" s="582"/>
      <c r="F5" s="582"/>
      <c r="G5" s="582"/>
      <c r="H5" s="582"/>
      <c r="I5" s="582"/>
      <c r="J5" s="582"/>
      <c r="K5" s="582"/>
      <c r="N5" s="1"/>
    </row>
    <row r="6" spans="1:14" x14ac:dyDescent="0.25">
      <c r="B6" s="580" t="s">
        <v>1</v>
      </c>
      <c r="C6" s="581"/>
      <c r="D6" s="581"/>
      <c r="E6" s="581"/>
      <c r="F6" s="581"/>
      <c r="G6" s="581"/>
      <c r="H6" s="581"/>
      <c r="I6" s="581"/>
      <c r="J6" s="581"/>
      <c r="K6" s="581"/>
      <c r="N6" s="180"/>
    </row>
    <row r="7" spans="1:14" x14ac:dyDescent="0.25">
      <c r="B7" s="188"/>
      <c r="C7" s="165"/>
      <c r="D7" s="1"/>
      <c r="E7" s="1"/>
      <c r="F7" s="1"/>
      <c r="G7" s="1"/>
      <c r="H7" s="1"/>
      <c r="I7" s="1"/>
      <c r="J7" s="1"/>
      <c r="K7" s="1"/>
      <c r="N7" s="180"/>
    </row>
    <row r="8" spans="1:14" x14ac:dyDescent="0.25">
      <c r="A8" s="2" t="s">
        <v>2</v>
      </c>
      <c r="B8" s="165"/>
      <c r="C8" s="2" t="s">
        <v>248</v>
      </c>
      <c r="D8" s="165"/>
      <c r="E8" s="41" t="s">
        <v>3</v>
      </c>
      <c r="F8" s="2"/>
      <c r="G8" s="41" t="s">
        <v>4</v>
      </c>
      <c r="H8" s="2"/>
      <c r="I8" s="41" t="s">
        <v>5</v>
      </c>
      <c r="J8" s="165"/>
      <c r="L8" s="2" t="s">
        <v>2</v>
      </c>
    </row>
    <row r="9" spans="1:14" x14ac:dyDescent="0.25">
      <c r="A9" s="2" t="s">
        <v>18</v>
      </c>
      <c r="B9" s="165"/>
      <c r="C9" s="42" t="s">
        <v>246</v>
      </c>
      <c r="D9" s="165"/>
      <c r="E9" s="468" t="s">
        <v>969</v>
      </c>
      <c r="F9" s="165"/>
      <c r="G9" s="468" t="s">
        <v>969</v>
      </c>
      <c r="H9" s="165"/>
      <c r="I9" s="189" t="s">
        <v>6</v>
      </c>
      <c r="J9" s="165"/>
      <c r="K9" s="42" t="s">
        <v>7</v>
      </c>
      <c r="L9" s="2" t="s">
        <v>18</v>
      </c>
    </row>
    <row r="10" spans="1:14" x14ac:dyDescent="0.25">
      <c r="E10" s="190"/>
      <c r="G10" s="190"/>
      <c r="H10" s="190"/>
      <c r="I10" s="190"/>
      <c r="J10" s="190"/>
      <c r="K10" s="190"/>
    </row>
    <row r="11" spans="1:14" ht="18.75" x14ac:dyDescent="0.25">
      <c r="A11" s="2">
        <v>1</v>
      </c>
      <c r="B11" s="38" t="s">
        <v>524</v>
      </c>
      <c r="C11" s="2" t="s">
        <v>396</v>
      </c>
      <c r="E11" s="48"/>
      <c r="G11" s="48"/>
      <c r="H11" s="49"/>
      <c r="I11" s="50">
        <v>0</v>
      </c>
      <c r="J11" s="71"/>
      <c r="K11" s="2" t="s">
        <v>668</v>
      </c>
      <c r="L11" s="2">
        <f>A11</f>
        <v>1</v>
      </c>
    </row>
    <row r="12" spans="1:14" x14ac:dyDescent="0.25">
      <c r="A12" s="2">
        <f t="shared" ref="A12:A45" si="0">+A11+1</f>
        <v>2</v>
      </c>
      <c r="B12" s="38" t="s">
        <v>8</v>
      </c>
      <c r="E12" s="48"/>
      <c r="G12" s="48"/>
      <c r="H12" s="51"/>
      <c r="I12" s="48"/>
      <c r="J12" s="51"/>
      <c r="K12" s="2"/>
      <c r="L12" s="2">
        <f t="shared" ref="L12:L45" si="1">+L11+1</f>
        <v>2</v>
      </c>
    </row>
    <row r="13" spans="1:14" ht="18.75" x14ac:dyDescent="0.25">
      <c r="A13" s="2">
        <f t="shared" si="0"/>
        <v>3</v>
      </c>
      <c r="B13" s="38" t="s">
        <v>525</v>
      </c>
      <c r="C13" s="2" t="s">
        <v>396</v>
      </c>
      <c r="E13" s="48"/>
      <c r="G13" s="48"/>
      <c r="H13" s="49"/>
      <c r="I13" s="52">
        <v>0</v>
      </c>
      <c r="J13" s="71"/>
      <c r="K13" s="2" t="s">
        <v>669</v>
      </c>
      <c r="L13" s="2">
        <f t="shared" si="1"/>
        <v>3</v>
      </c>
    </row>
    <row r="14" spans="1:14" x14ac:dyDescent="0.25">
      <c r="A14" s="2">
        <f t="shared" si="0"/>
        <v>4</v>
      </c>
      <c r="E14" s="48"/>
      <c r="F14" s="1"/>
      <c r="G14" s="48"/>
      <c r="H14" s="51"/>
      <c r="I14" s="48"/>
      <c r="J14" s="51"/>
      <c r="K14" s="2"/>
      <c r="L14" s="2">
        <f t="shared" si="1"/>
        <v>4</v>
      </c>
    </row>
    <row r="15" spans="1:14" ht="18.75" x14ac:dyDescent="0.25">
      <c r="A15" s="2">
        <f t="shared" si="0"/>
        <v>5</v>
      </c>
      <c r="B15" s="38" t="s">
        <v>526</v>
      </c>
      <c r="E15" s="48"/>
      <c r="F15" s="1"/>
      <c r="G15" s="48"/>
      <c r="H15" s="49"/>
      <c r="I15" s="52">
        <v>0</v>
      </c>
      <c r="J15" s="51"/>
      <c r="K15" s="2" t="s">
        <v>670</v>
      </c>
      <c r="L15" s="2">
        <f t="shared" si="1"/>
        <v>5</v>
      </c>
    </row>
    <row r="16" spans="1:14" x14ac:dyDescent="0.25">
      <c r="A16" s="2">
        <f t="shared" si="0"/>
        <v>6</v>
      </c>
      <c r="E16" s="48"/>
      <c r="F16" s="1"/>
      <c r="G16" s="48"/>
      <c r="H16" s="51"/>
      <c r="I16" s="48"/>
      <c r="J16" s="51"/>
      <c r="K16" s="2"/>
      <c r="L16" s="2">
        <f t="shared" si="1"/>
        <v>6</v>
      </c>
    </row>
    <row r="17" spans="1:13" ht="18.75" x14ac:dyDescent="0.25">
      <c r="A17" s="2">
        <f t="shared" si="0"/>
        <v>7</v>
      </c>
      <c r="B17" s="38" t="s">
        <v>527</v>
      </c>
      <c r="C17" s="2" t="s">
        <v>396</v>
      </c>
      <c r="E17" s="48"/>
      <c r="F17" s="1"/>
      <c r="G17" s="48"/>
      <c r="H17" s="49"/>
      <c r="I17" s="52">
        <v>0</v>
      </c>
      <c r="J17" s="71"/>
      <c r="K17" s="2" t="s">
        <v>671</v>
      </c>
      <c r="L17" s="2">
        <f t="shared" si="1"/>
        <v>7</v>
      </c>
    </row>
    <row r="18" spans="1:13" x14ac:dyDescent="0.25">
      <c r="A18" s="2">
        <f t="shared" si="0"/>
        <v>8</v>
      </c>
      <c r="E18" s="48"/>
      <c r="F18" s="1"/>
      <c r="G18" s="48"/>
      <c r="H18" s="51"/>
      <c r="I18" s="48"/>
      <c r="J18" s="51"/>
      <c r="K18" s="2"/>
      <c r="L18" s="2">
        <f t="shared" si="1"/>
        <v>8</v>
      </c>
    </row>
    <row r="19" spans="1:13" ht="18.75" x14ac:dyDescent="0.25">
      <c r="A19" s="2">
        <f>+A18+1</f>
        <v>9</v>
      </c>
      <c r="B19" s="38" t="s">
        <v>528</v>
      </c>
      <c r="C19" s="2" t="s">
        <v>396</v>
      </c>
      <c r="E19" s="50">
        <v>0</v>
      </c>
      <c r="F19" s="53"/>
      <c r="G19" s="50">
        <v>0</v>
      </c>
      <c r="H19" s="49"/>
      <c r="I19" s="48">
        <f>(E19+G19)/2</f>
        <v>0</v>
      </c>
      <c r="J19" s="51"/>
      <c r="K19" s="2" t="s">
        <v>672</v>
      </c>
      <c r="L19" s="2">
        <f>+L18+1</f>
        <v>9</v>
      </c>
    </row>
    <row r="20" spans="1:13" x14ac:dyDescent="0.25">
      <c r="A20" s="2">
        <f t="shared" si="0"/>
        <v>10</v>
      </c>
      <c r="E20" s="48"/>
      <c r="G20" s="48"/>
      <c r="H20" s="51"/>
      <c r="I20" s="48"/>
      <c r="J20" s="51"/>
      <c r="K20" s="2"/>
      <c r="L20" s="2">
        <f t="shared" si="1"/>
        <v>10</v>
      </c>
    </row>
    <row r="21" spans="1:13" ht="18.75" x14ac:dyDescent="0.25">
      <c r="A21" s="2">
        <f t="shared" si="0"/>
        <v>11</v>
      </c>
      <c r="B21" s="38" t="s">
        <v>374</v>
      </c>
      <c r="C21" s="2" t="s">
        <v>396</v>
      </c>
      <c r="E21" s="49"/>
      <c r="G21" s="49"/>
      <c r="H21" s="49"/>
      <c r="I21" s="52">
        <v>0</v>
      </c>
      <c r="J21" s="71"/>
      <c r="K21" s="2" t="s">
        <v>673</v>
      </c>
      <c r="L21" s="2">
        <f t="shared" si="1"/>
        <v>11</v>
      </c>
    </row>
    <row r="22" spans="1:13" x14ac:dyDescent="0.25">
      <c r="A22" s="2">
        <f t="shared" si="0"/>
        <v>12</v>
      </c>
      <c r="E22" s="48"/>
      <c r="G22" s="48"/>
      <c r="H22" s="51"/>
      <c r="I22" s="48"/>
      <c r="J22" s="51"/>
      <c r="K22" s="2"/>
      <c r="L22" s="2">
        <f t="shared" si="1"/>
        <v>12</v>
      </c>
    </row>
    <row r="23" spans="1:13" ht="18.75" x14ac:dyDescent="0.25">
      <c r="A23" s="2">
        <f t="shared" si="0"/>
        <v>13</v>
      </c>
      <c r="B23" s="38" t="s">
        <v>511</v>
      </c>
      <c r="E23" s="49"/>
      <c r="G23" s="49"/>
      <c r="H23" s="49"/>
      <c r="I23" s="52">
        <v>0</v>
      </c>
      <c r="J23" s="51"/>
      <c r="K23" s="2" t="s">
        <v>674</v>
      </c>
      <c r="L23" s="2">
        <f t="shared" si="1"/>
        <v>13</v>
      </c>
    </row>
    <row r="24" spans="1:13" x14ac:dyDescent="0.25">
      <c r="A24" s="2">
        <f t="shared" si="0"/>
        <v>14</v>
      </c>
      <c r="E24" s="48"/>
      <c r="G24" s="48"/>
      <c r="H24" s="51"/>
      <c r="I24" s="48"/>
      <c r="J24" s="51"/>
      <c r="K24" s="2"/>
      <c r="L24" s="2">
        <f t="shared" si="1"/>
        <v>14</v>
      </c>
    </row>
    <row r="25" spans="1:13" ht="18.75" x14ac:dyDescent="0.25">
      <c r="A25" s="2">
        <f>+A24+1</f>
        <v>15</v>
      </c>
      <c r="B25" s="38" t="s">
        <v>480</v>
      </c>
      <c r="C25" s="2" t="s">
        <v>396</v>
      </c>
      <c r="D25" s="179"/>
      <c r="E25" s="52">
        <v>0</v>
      </c>
      <c r="F25" s="1"/>
      <c r="G25" s="52">
        <v>0</v>
      </c>
      <c r="H25" s="51"/>
      <c r="I25" s="48">
        <f>(E25+G25)/2</f>
        <v>0</v>
      </c>
      <c r="J25" s="191"/>
      <c r="K25" s="175" t="s">
        <v>675</v>
      </c>
      <c r="L25" s="2">
        <f>+L24+1</f>
        <v>15</v>
      </c>
    </row>
    <row r="26" spans="1:13" x14ac:dyDescent="0.25">
      <c r="A26" s="2">
        <f t="shared" si="0"/>
        <v>16</v>
      </c>
      <c r="E26" s="48"/>
      <c r="G26" s="48"/>
      <c r="H26" s="51"/>
      <c r="I26" s="48"/>
      <c r="J26" s="51"/>
      <c r="K26" s="2"/>
      <c r="L26" s="2">
        <f t="shared" si="1"/>
        <v>16</v>
      </c>
    </row>
    <row r="27" spans="1:13" ht="18.75" x14ac:dyDescent="0.25">
      <c r="A27" s="2">
        <f t="shared" si="0"/>
        <v>17</v>
      </c>
      <c r="B27" s="38" t="s">
        <v>481</v>
      </c>
      <c r="C27" s="2" t="s">
        <v>396</v>
      </c>
      <c r="E27" s="52">
        <v>0</v>
      </c>
      <c r="F27" s="1"/>
      <c r="G27" s="52">
        <v>0</v>
      </c>
      <c r="H27" s="49"/>
      <c r="I27" s="48">
        <f>(E27+G27)/2</f>
        <v>0</v>
      </c>
      <c r="J27" s="51"/>
      <c r="K27" s="2" t="s">
        <v>676</v>
      </c>
      <c r="L27" s="2">
        <f t="shared" si="1"/>
        <v>17</v>
      </c>
    </row>
    <row r="28" spans="1:13" x14ac:dyDescent="0.25">
      <c r="A28" s="2">
        <f t="shared" si="0"/>
        <v>18</v>
      </c>
      <c r="E28" s="48"/>
      <c r="F28" s="1"/>
      <c r="G28" s="48"/>
      <c r="H28" s="51"/>
      <c r="I28" s="48"/>
      <c r="J28" s="51"/>
      <c r="K28" s="2"/>
      <c r="L28" s="2">
        <f t="shared" si="1"/>
        <v>18</v>
      </c>
    </row>
    <row r="29" spans="1:13" ht="18.75" x14ac:dyDescent="0.25">
      <c r="A29" s="2">
        <f t="shared" si="0"/>
        <v>19</v>
      </c>
      <c r="B29" s="38" t="s">
        <v>479</v>
      </c>
      <c r="E29" s="52">
        <v>0</v>
      </c>
      <c r="F29" s="1"/>
      <c r="G29" s="52">
        <v>0</v>
      </c>
      <c r="H29" s="49"/>
      <c r="I29" s="54">
        <f>(E29+G29)/2</f>
        <v>0</v>
      </c>
      <c r="J29" s="51"/>
      <c r="K29" s="2" t="s">
        <v>677</v>
      </c>
      <c r="L29" s="2">
        <f t="shared" si="1"/>
        <v>19</v>
      </c>
    </row>
    <row r="30" spans="1:13" x14ac:dyDescent="0.25">
      <c r="A30" s="2">
        <f t="shared" si="0"/>
        <v>20</v>
      </c>
      <c r="E30" s="48"/>
      <c r="F30" s="1"/>
      <c r="G30" s="48"/>
      <c r="H30" s="51"/>
      <c r="I30" s="48"/>
      <c r="J30" s="51"/>
      <c r="K30" s="2"/>
      <c r="L30" s="2">
        <f t="shared" si="1"/>
        <v>20</v>
      </c>
    </row>
    <row r="31" spans="1:13" ht="16.5" thickBot="1" x14ac:dyDescent="0.3">
      <c r="A31" s="2">
        <f t="shared" si="0"/>
        <v>21</v>
      </c>
      <c r="B31" s="38" t="s">
        <v>9</v>
      </c>
      <c r="E31" s="43"/>
      <c r="F31" s="53"/>
      <c r="G31" s="43"/>
      <c r="H31" s="55"/>
      <c r="I31" s="47">
        <f>I11+I13+I15+I17+I19+I21+I23+I25+I27+I29</f>
        <v>0</v>
      </c>
      <c r="J31" s="71"/>
      <c r="K31" s="2" t="s">
        <v>678</v>
      </c>
      <c r="L31" s="2">
        <f t="shared" si="1"/>
        <v>21</v>
      </c>
      <c r="M31" s="192"/>
    </row>
    <row r="32" spans="1:13" ht="16.5" thickTop="1" x14ac:dyDescent="0.25">
      <c r="A32" s="2">
        <f t="shared" si="0"/>
        <v>22</v>
      </c>
      <c r="E32" s="56"/>
      <c r="G32" s="56"/>
      <c r="H32" s="57"/>
      <c r="I32" s="56"/>
      <c r="J32" s="57"/>
      <c r="K32" s="2" t="s">
        <v>8</v>
      </c>
      <c r="L32" s="2">
        <f t="shared" si="1"/>
        <v>22</v>
      </c>
    </row>
    <row r="33" spans="1:13" x14ac:dyDescent="0.25">
      <c r="A33" s="2">
        <f t="shared" si="0"/>
        <v>23</v>
      </c>
      <c r="B33" s="38" t="s">
        <v>10</v>
      </c>
      <c r="E33" s="58"/>
      <c r="G33" s="58"/>
      <c r="H33" s="57"/>
      <c r="I33" s="59">
        <f>'Stmt AI'!E25</f>
        <v>0</v>
      </c>
      <c r="J33" s="57"/>
      <c r="K33" s="2" t="s">
        <v>634</v>
      </c>
      <c r="L33" s="2">
        <f t="shared" si="1"/>
        <v>23</v>
      </c>
    </row>
    <row r="34" spans="1:13" x14ac:dyDescent="0.25">
      <c r="A34" s="2">
        <f t="shared" si="0"/>
        <v>24</v>
      </c>
      <c r="E34" s="56"/>
      <c r="G34" s="56"/>
      <c r="H34" s="57"/>
      <c r="I34" s="56"/>
      <c r="J34" s="57"/>
      <c r="K34" s="2"/>
      <c r="L34" s="2">
        <f t="shared" si="1"/>
        <v>24</v>
      </c>
    </row>
    <row r="35" spans="1:13" x14ac:dyDescent="0.25">
      <c r="A35" s="2">
        <f t="shared" si="0"/>
        <v>25</v>
      </c>
      <c r="B35" s="38" t="s">
        <v>55</v>
      </c>
      <c r="E35" s="4"/>
      <c r="F35" s="4"/>
      <c r="G35" s="4"/>
      <c r="H35" s="10"/>
      <c r="I35" s="60">
        <f>I21+I23</f>
        <v>0</v>
      </c>
      <c r="J35" s="71"/>
      <c r="K35" s="2" t="s">
        <v>679</v>
      </c>
      <c r="L35" s="2">
        <f t="shared" si="1"/>
        <v>25</v>
      </c>
    </row>
    <row r="36" spans="1:13" x14ac:dyDescent="0.25">
      <c r="A36" s="2">
        <f t="shared" si="0"/>
        <v>26</v>
      </c>
      <c r="E36" s="56"/>
      <c r="G36" s="56"/>
      <c r="H36" s="57"/>
      <c r="I36" s="56"/>
      <c r="J36" s="57"/>
      <c r="K36" s="2"/>
      <c r="L36" s="2">
        <f t="shared" si="1"/>
        <v>26</v>
      </c>
    </row>
    <row r="37" spans="1:13" x14ac:dyDescent="0.25">
      <c r="A37" s="2">
        <f t="shared" si="0"/>
        <v>27</v>
      </c>
      <c r="B37" s="38" t="s">
        <v>11</v>
      </c>
      <c r="E37" s="4"/>
      <c r="G37" s="4"/>
      <c r="H37" s="57"/>
      <c r="I37" s="6">
        <f>I25*I33</f>
        <v>0</v>
      </c>
      <c r="J37" s="71"/>
      <c r="K37" s="2" t="s">
        <v>680</v>
      </c>
      <c r="L37" s="2">
        <f t="shared" si="1"/>
        <v>27</v>
      </c>
      <c r="M37" s="192"/>
    </row>
    <row r="38" spans="1:13" x14ac:dyDescent="0.25">
      <c r="A38" s="2">
        <f t="shared" si="0"/>
        <v>28</v>
      </c>
      <c r="E38" s="56"/>
      <c r="G38" s="56"/>
      <c r="H38" s="57"/>
      <c r="I38" s="61"/>
      <c r="J38" s="57"/>
      <c r="K38" s="2"/>
      <c r="L38" s="2">
        <f t="shared" si="1"/>
        <v>28</v>
      </c>
    </row>
    <row r="39" spans="1:13" x14ac:dyDescent="0.25">
      <c r="A39" s="2">
        <f t="shared" si="0"/>
        <v>29</v>
      </c>
      <c r="B39" s="38" t="s">
        <v>12</v>
      </c>
      <c r="E39" s="4"/>
      <c r="G39" s="4"/>
      <c r="H39" s="57"/>
      <c r="I39" s="6">
        <f>I27*I33</f>
        <v>0</v>
      </c>
      <c r="J39" s="57"/>
      <c r="K39" s="2" t="s">
        <v>681</v>
      </c>
      <c r="L39" s="2">
        <f t="shared" si="1"/>
        <v>29</v>
      </c>
      <c r="M39" s="192"/>
    </row>
    <row r="40" spans="1:13" x14ac:dyDescent="0.25">
      <c r="A40" s="2">
        <f t="shared" si="0"/>
        <v>30</v>
      </c>
      <c r="E40" s="4"/>
      <c r="G40" s="4"/>
      <c r="H40" s="57"/>
      <c r="I40" s="6"/>
      <c r="J40" s="57"/>
      <c r="K40" s="2"/>
      <c r="L40" s="2">
        <f t="shared" si="1"/>
        <v>30</v>
      </c>
      <c r="M40" s="192"/>
    </row>
    <row r="41" spans="1:13" x14ac:dyDescent="0.25">
      <c r="A41" s="2">
        <f t="shared" si="0"/>
        <v>31</v>
      </c>
      <c r="B41" s="38" t="s">
        <v>13</v>
      </c>
      <c r="E41" s="4"/>
      <c r="G41" s="4"/>
      <c r="H41" s="57"/>
      <c r="I41" s="31">
        <f>I29*I33</f>
        <v>0</v>
      </c>
      <c r="J41" s="57"/>
      <c r="K41" s="2" t="s">
        <v>682</v>
      </c>
      <c r="L41" s="2">
        <f t="shared" si="1"/>
        <v>31</v>
      </c>
      <c r="M41" s="192"/>
    </row>
    <row r="42" spans="1:13" x14ac:dyDescent="0.25">
      <c r="A42" s="2">
        <f t="shared" si="0"/>
        <v>32</v>
      </c>
      <c r="B42" s="38" t="s">
        <v>8</v>
      </c>
      <c r="E42" s="4"/>
      <c r="G42" s="4"/>
      <c r="H42" s="57"/>
      <c r="I42" s="6"/>
      <c r="J42" s="57"/>
      <c r="K42" s="2"/>
      <c r="L42" s="2">
        <f t="shared" si="1"/>
        <v>32</v>
      </c>
    </row>
    <row r="43" spans="1:13" ht="16.5" thickBot="1" x14ac:dyDescent="0.3">
      <c r="A43" s="2">
        <f t="shared" si="0"/>
        <v>33</v>
      </c>
      <c r="B43" s="38" t="s">
        <v>14</v>
      </c>
      <c r="E43" s="4"/>
      <c r="G43" s="4"/>
      <c r="H43" s="62"/>
      <c r="I43" s="28">
        <f>I35+I37+I39+I41</f>
        <v>0</v>
      </c>
      <c r="J43" s="71"/>
      <c r="K43" s="2" t="s">
        <v>683</v>
      </c>
      <c r="L43" s="2">
        <f t="shared" si="1"/>
        <v>33</v>
      </c>
      <c r="M43" s="192"/>
    </row>
    <row r="44" spans="1:13" ht="16.5" thickTop="1" x14ac:dyDescent="0.25">
      <c r="A44" s="2">
        <f t="shared" si="0"/>
        <v>34</v>
      </c>
      <c r="E44" s="56"/>
      <c r="G44" s="56"/>
      <c r="H44" s="62"/>
      <c r="I44" s="61"/>
      <c r="J44" s="62"/>
      <c r="K44" s="2"/>
      <c r="L44" s="2">
        <f t="shared" si="1"/>
        <v>34</v>
      </c>
    </row>
    <row r="45" spans="1:13" ht="19.5" thickBot="1" x14ac:dyDescent="0.3">
      <c r="A45" s="2">
        <f t="shared" si="0"/>
        <v>35</v>
      </c>
      <c r="B45" s="38" t="s">
        <v>685</v>
      </c>
      <c r="E45" s="58"/>
      <c r="G45" s="58"/>
      <c r="H45" s="62"/>
      <c r="I45" s="532">
        <f>IFERROR(I43/I31,0)</f>
        <v>0</v>
      </c>
      <c r="J45" s="71"/>
      <c r="K45" s="2" t="s">
        <v>684</v>
      </c>
      <c r="L45" s="2">
        <f t="shared" si="1"/>
        <v>35</v>
      </c>
      <c r="M45" s="192"/>
    </row>
    <row r="46" spans="1:13" ht="16.5" thickTop="1" x14ac:dyDescent="0.25">
      <c r="E46" s="165"/>
      <c r="G46" s="55"/>
      <c r="H46" s="62"/>
      <c r="I46" s="62"/>
      <c r="J46" s="62"/>
      <c r="K46" s="2"/>
    </row>
    <row r="47" spans="1:13" x14ac:dyDescent="0.25">
      <c r="B47" s="40"/>
    </row>
    <row r="48" spans="1:13" ht="18.75" x14ac:dyDescent="0.25">
      <c r="A48" s="174">
        <v>1</v>
      </c>
      <c r="B48" s="38" t="s">
        <v>473</v>
      </c>
    </row>
    <row r="49" spans="1:2" ht="18.75" x14ac:dyDescent="0.25">
      <c r="A49" s="193">
        <v>2</v>
      </c>
      <c r="B49" s="38" t="s">
        <v>335</v>
      </c>
    </row>
    <row r="50" spans="1:2" ht="18.75" x14ac:dyDescent="0.25">
      <c r="A50" s="193">
        <v>3</v>
      </c>
      <c r="B50" s="38" t="s">
        <v>341</v>
      </c>
    </row>
    <row r="51" spans="1:2" ht="18.75" x14ac:dyDescent="0.25">
      <c r="A51" s="193">
        <v>4</v>
      </c>
      <c r="B51" s="38" t="s">
        <v>482</v>
      </c>
    </row>
    <row r="52" spans="1:2" ht="18.75" x14ac:dyDescent="0.25">
      <c r="A52" s="193">
        <v>5</v>
      </c>
      <c r="B52" s="38" t="s">
        <v>15</v>
      </c>
    </row>
    <row r="53" spans="1:2" ht="18.75" x14ac:dyDescent="0.25">
      <c r="A53" s="193"/>
    </row>
    <row r="54" spans="1:2" ht="18.75" x14ac:dyDescent="0.25">
      <c r="A54" s="193"/>
    </row>
    <row r="55" spans="1:2" ht="18.75" x14ac:dyDescent="0.25">
      <c r="A55" s="193"/>
    </row>
  </sheetData>
  <mergeCells count="5">
    <mergeCell ref="B2:K2"/>
    <mergeCell ref="B3:K3"/>
    <mergeCell ref="B4:K4"/>
    <mergeCell ref="B5:K5"/>
    <mergeCell ref="B6:K6"/>
  </mergeCells>
  <printOptions horizontalCentered="1"/>
  <pageMargins left="0.5" right="0.5" top="0.5" bottom="0.5" header="0.25" footer="0.25"/>
  <pageSetup scale="52" orientation="portrait" r:id="rId1"/>
  <headerFooter scaleWithDoc="0">
    <oddFooter>&amp;C&amp;"Times New Roman,Regular"&amp;10&amp;A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tabColor rgb="FFFF0000"/>
    <pageSetUpPr fitToPage="1"/>
  </sheetPr>
  <dimension ref="A2:J174"/>
  <sheetViews>
    <sheetView zoomScale="80" zoomScaleNormal="80" workbookViewId="0"/>
  </sheetViews>
  <sheetFormatPr defaultRowHeight="15.75" x14ac:dyDescent="0.25"/>
  <cols>
    <col min="1" max="1" width="5.28515625" style="2" customWidth="1"/>
    <col min="2" max="2" width="46.7109375" customWidth="1"/>
    <col min="3" max="3" width="16.42578125" bestFit="1" customWidth="1"/>
    <col min="4" max="4" width="14.5703125" customWidth="1"/>
    <col min="5" max="5" width="15.5703125" bestFit="1" customWidth="1"/>
    <col min="6" max="6" width="17" bestFit="1" customWidth="1"/>
    <col min="7" max="7" width="17.42578125" bestFit="1" customWidth="1"/>
    <col min="8" max="8" width="18.28515625" bestFit="1" customWidth="1"/>
    <col min="9" max="9" width="22" bestFit="1" customWidth="1"/>
    <col min="10" max="10" width="5.28515625" style="2" customWidth="1"/>
  </cols>
  <sheetData>
    <row r="2" spans="1:10" x14ac:dyDescent="0.25">
      <c r="B2" s="584" t="s">
        <v>16</v>
      </c>
      <c r="C2" s="584"/>
      <c r="D2" s="584"/>
      <c r="E2" s="584"/>
      <c r="F2" s="584"/>
      <c r="G2" s="584"/>
      <c r="H2" s="584"/>
      <c r="I2" s="584"/>
    </row>
    <row r="3" spans="1:10" x14ac:dyDescent="0.25">
      <c r="B3" s="584" t="s">
        <v>805</v>
      </c>
      <c r="C3" s="584"/>
      <c r="D3" s="584"/>
      <c r="E3" s="584"/>
      <c r="F3" s="584"/>
      <c r="G3" s="584"/>
      <c r="H3" s="584"/>
      <c r="I3" s="584"/>
    </row>
    <row r="4" spans="1:10" x14ac:dyDescent="0.25">
      <c r="B4" s="584" t="s">
        <v>28</v>
      </c>
      <c r="C4" s="584"/>
      <c r="D4" s="584"/>
      <c r="E4" s="584"/>
      <c r="F4" s="584"/>
      <c r="G4" s="584"/>
      <c r="H4" s="584"/>
      <c r="I4" s="584"/>
    </row>
    <row r="5" spans="1:10" x14ac:dyDescent="0.25">
      <c r="B5" s="602" t="s">
        <v>1152</v>
      </c>
      <c r="C5" s="602"/>
      <c r="D5" s="602"/>
      <c r="E5" s="602"/>
      <c r="F5" s="602"/>
      <c r="G5" s="602"/>
      <c r="H5" s="602"/>
      <c r="I5" s="602"/>
    </row>
    <row r="6" spans="1:10" x14ac:dyDescent="0.25">
      <c r="B6" s="580" t="s">
        <v>1</v>
      </c>
      <c r="C6" s="580"/>
      <c r="D6" s="580"/>
      <c r="E6" s="580"/>
      <c r="F6" s="580"/>
      <c r="G6" s="580"/>
      <c r="H6" s="580"/>
      <c r="I6" s="580"/>
    </row>
    <row r="8" spans="1:10" x14ac:dyDescent="0.25">
      <c r="A8" s="2" t="s">
        <v>2</v>
      </c>
      <c r="B8" s="291" t="s">
        <v>531</v>
      </c>
      <c r="C8" s="291" t="s">
        <v>532</v>
      </c>
      <c r="D8" s="291" t="s">
        <v>533</v>
      </c>
      <c r="E8" s="291" t="s">
        <v>534</v>
      </c>
      <c r="F8" s="291" t="s">
        <v>535</v>
      </c>
      <c r="G8" s="291" t="s">
        <v>536</v>
      </c>
      <c r="H8" s="291" t="s">
        <v>537</v>
      </c>
      <c r="I8" s="291" t="s">
        <v>538</v>
      </c>
      <c r="J8" s="2" t="s">
        <v>2</v>
      </c>
    </row>
    <row r="9" spans="1:10" x14ac:dyDescent="0.25">
      <c r="A9" s="2" t="s">
        <v>18</v>
      </c>
      <c r="B9" s="292"/>
      <c r="C9" s="293"/>
      <c r="D9" s="293"/>
      <c r="E9" s="294"/>
      <c r="F9" s="294"/>
      <c r="G9" s="306" t="s">
        <v>800</v>
      </c>
      <c r="H9" s="307" t="s">
        <v>801</v>
      </c>
      <c r="I9" s="293"/>
      <c r="J9" s="2" t="s">
        <v>18</v>
      </c>
    </row>
    <row r="10" spans="1:10" x14ac:dyDescent="0.25">
      <c r="B10" s="292"/>
      <c r="C10" s="295"/>
      <c r="D10" s="295"/>
      <c r="E10" s="294"/>
      <c r="F10" s="294"/>
      <c r="G10" s="294"/>
      <c r="H10" s="296"/>
      <c r="I10" s="292"/>
    </row>
    <row r="11" spans="1:10" x14ac:dyDescent="0.25">
      <c r="B11" s="297"/>
      <c r="C11" s="293" t="s">
        <v>788</v>
      </c>
      <c r="D11" s="293" t="s">
        <v>789</v>
      </c>
      <c r="E11" s="293"/>
      <c r="F11" s="293" t="s">
        <v>790</v>
      </c>
      <c r="G11" s="293" t="s">
        <v>791</v>
      </c>
      <c r="H11" s="298" t="s">
        <v>792</v>
      </c>
      <c r="I11" s="298" t="s">
        <v>793</v>
      </c>
    </row>
    <row r="12" spans="1:10" ht="18.75" x14ac:dyDescent="0.25">
      <c r="B12" s="297" t="s">
        <v>794</v>
      </c>
      <c r="C12" s="299" t="s">
        <v>803</v>
      </c>
      <c r="D12" s="299" t="s">
        <v>975</v>
      </c>
      <c r="E12" s="299" t="s">
        <v>795</v>
      </c>
      <c r="F12" s="299" t="s">
        <v>796</v>
      </c>
      <c r="G12" s="299" t="s">
        <v>797</v>
      </c>
      <c r="H12" s="297" t="s">
        <v>798</v>
      </c>
      <c r="I12" s="297" t="s">
        <v>799</v>
      </c>
    </row>
    <row r="13" spans="1:10" x14ac:dyDescent="0.25">
      <c r="A13" s="2">
        <v>1</v>
      </c>
      <c r="B13" s="300" t="s">
        <v>974</v>
      </c>
      <c r="C13" s="301"/>
      <c r="D13" s="125"/>
      <c r="E13" s="294"/>
      <c r="F13" s="302">
        <f>SUM(E14:E25)</f>
        <v>0</v>
      </c>
      <c r="G13" s="303">
        <f xml:space="preserve"> 1</f>
        <v>1</v>
      </c>
      <c r="H13" s="304"/>
      <c r="I13" s="128">
        <f>+D13</f>
        <v>0</v>
      </c>
      <c r="J13" s="2">
        <v>1</v>
      </c>
    </row>
    <row r="14" spans="1:10" x14ac:dyDescent="0.25">
      <c r="A14" s="2">
        <f>A13+1</f>
        <v>2</v>
      </c>
      <c r="B14" s="300" t="s">
        <v>304</v>
      </c>
      <c r="C14" s="125"/>
      <c r="D14" s="104">
        <f>D13+C14</f>
        <v>0</v>
      </c>
      <c r="E14" s="308"/>
      <c r="F14" s="310">
        <f t="shared" ref="F14:F25" si="0">+F13-E14</f>
        <v>0</v>
      </c>
      <c r="G14" s="538">
        <f>IFERROR(F14/$F$13,0)</f>
        <v>0</v>
      </c>
      <c r="H14" s="128">
        <f t="shared" ref="H14:H25" si="1">C14*G14</f>
        <v>0</v>
      </c>
      <c r="I14" s="104">
        <f t="shared" ref="I14:I25" si="2">I13+H14</f>
        <v>0</v>
      </c>
      <c r="J14" s="2">
        <f>J13+1</f>
        <v>2</v>
      </c>
    </row>
    <row r="15" spans="1:10" x14ac:dyDescent="0.25">
      <c r="A15" s="2">
        <f>A14+1</f>
        <v>3</v>
      </c>
      <c r="B15" s="300" t="s">
        <v>305</v>
      </c>
      <c r="C15" s="125"/>
      <c r="D15" s="104">
        <f>D14+C15</f>
        <v>0</v>
      </c>
      <c r="E15" s="308"/>
      <c r="F15" s="310">
        <f t="shared" si="0"/>
        <v>0</v>
      </c>
      <c r="G15" s="538">
        <f>IFERROR(F15/$F$13,0)</f>
        <v>0</v>
      </c>
      <c r="H15" s="104">
        <f t="shared" si="1"/>
        <v>0</v>
      </c>
      <c r="I15" s="104">
        <f t="shared" si="2"/>
        <v>0</v>
      </c>
      <c r="J15" s="2">
        <f>J14+1</f>
        <v>3</v>
      </c>
    </row>
    <row r="16" spans="1:10" x14ac:dyDescent="0.25">
      <c r="A16" s="2">
        <f t="shared" ref="A16:A25" si="3">A15+1</f>
        <v>4</v>
      </c>
      <c r="B16" s="300" t="s">
        <v>306</v>
      </c>
      <c r="C16" s="125"/>
      <c r="D16" s="104">
        <f>D15+C16</f>
        <v>0</v>
      </c>
      <c r="E16" s="308"/>
      <c r="F16" s="310">
        <f t="shared" si="0"/>
        <v>0</v>
      </c>
      <c r="G16" s="538">
        <f t="shared" ref="G16:G25" si="4">IFERROR(F16/$F$13,0)</f>
        <v>0</v>
      </c>
      <c r="H16" s="104">
        <f t="shared" si="1"/>
        <v>0</v>
      </c>
      <c r="I16" s="104">
        <f t="shared" si="2"/>
        <v>0</v>
      </c>
      <c r="J16" s="2">
        <f t="shared" ref="J16:J25" si="5">J15+1</f>
        <v>4</v>
      </c>
    </row>
    <row r="17" spans="1:10" x14ac:dyDescent="0.25">
      <c r="A17" s="2">
        <f t="shared" si="3"/>
        <v>5</v>
      </c>
      <c r="B17" s="300" t="s">
        <v>307</v>
      </c>
      <c r="C17" s="125"/>
      <c r="D17" s="104">
        <f t="shared" ref="D17:D25" si="6">D16+C17</f>
        <v>0</v>
      </c>
      <c r="E17" s="308"/>
      <c r="F17" s="310">
        <f t="shared" si="0"/>
        <v>0</v>
      </c>
      <c r="G17" s="538">
        <f t="shared" si="4"/>
        <v>0</v>
      </c>
      <c r="H17" s="104">
        <f t="shared" si="1"/>
        <v>0</v>
      </c>
      <c r="I17" s="104">
        <f t="shared" si="2"/>
        <v>0</v>
      </c>
      <c r="J17" s="2">
        <f t="shared" si="5"/>
        <v>5</v>
      </c>
    </row>
    <row r="18" spans="1:10" x14ac:dyDescent="0.25">
      <c r="A18" s="2">
        <f>A17+1</f>
        <v>6</v>
      </c>
      <c r="B18" s="300" t="s">
        <v>21</v>
      </c>
      <c r="C18" s="125"/>
      <c r="D18" s="104">
        <f t="shared" si="6"/>
        <v>0</v>
      </c>
      <c r="E18" s="308"/>
      <c r="F18" s="310">
        <f t="shared" si="0"/>
        <v>0</v>
      </c>
      <c r="G18" s="538">
        <f t="shared" si="4"/>
        <v>0</v>
      </c>
      <c r="H18" s="104">
        <f t="shared" si="1"/>
        <v>0</v>
      </c>
      <c r="I18" s="104">
        <f t="shared" si="2"/>
        <v>0</v>
      </c>
      <c r="J18" s="2">
        <f>J17+1</f>
        <v>6</v>
      </c>
    </row>
    <row r="19" spans="1:10" x14ac:dyDescent="0.25">
      <c r="A19" s="2">
        <f t="shared" si="3"/>
        <v>7</v>
      </c>
      <c r="B19" s="300" t="s">
        <v>319</v>
      </c>
      <c r="C19" s="125"/>
      <c r="D19" s="104">
        <f t="shared" si="6"/>
        <v>0</v>
      </c>
      <c r="E19" s="308"/>
      <c r="F19" s="310">
        <f t="shared" si="0"/>
        <v>0</v>
      </c>
      <c r="G19" s="538">
        <f t="shared" si="4"/>
        <v>0</v>
      </c>
      <c r="H19" s="104">
        <f t="shared" si="1"/>
        <v>0</v>
      </c>
      <c r="I19" s="104">
        <f t="shared" si="2"/>
        <v>0</v>
      </c>
      <c r="J19" s="2">
        <f t="shared" si="5"/>
        <v>7</v>
      </c>
    </row>
    <row r="20" spans="1:10" x14ac:dyDescent="0.25">
      <c r="A20" s="2">
        <f t="shared" si="3"/>
        <v>8</v>
      </c>
      <c r="B20" s="300" t="s">
        <v>309</v>
      </c>
      <c r="C20" s="125"/>
      <c r="D20" s="104">
        <f t="shared" si="6"/>
        <v>0</v>
      </c>
      <c r="E20" s="308"/>
      <c r="F20" s="310">
        <f t="shared" si="0"/>
        <v>0</v>
      </c>
      <c r="G20" s="538">
        <f t="shared" si="4"/>
        <v>0</v>
      </c>
      <c r="H20" s="104">
        <f t="shared" si="1"/>
        <v>0</v>
      </c>
      <c r="I20" s="104">
        <f t="shared" si="2"/>
        <v>0</v>
      </c>
      <c r="J20" s="2">
        <f t="shared" si="5"/>
        <v>8</v>
      </c>
    </row>
    <row r="21" spans="1:10" x14ac:dyDescent="0.25">
      <c r="A21" s="2">
        <f t="shared" si="3"/>
        <v>9</v>
      </c>
      <c r="B21" s="300" t="s">
        <v>310</v>
      </c>
      <c r="C21" s="125"/>
      <c r="D21" s="104">
        <f t="shared" si="6"/>
        <v>0</v>
      </c>
      <c r="E21" s="308"/>
      <c r="F21" s="310">
        <f t="shared" si="0"/>
        <v>0</v>
      </c>
      <c r="G21" s="538">
        <f t="shared" si="4"/>
        <v>0</v>
      </c>
      <c r="H21" s="104">
        <f t="shared" si="1"/>
        <v>0</v>
      </c>
      <c r="I21" s="104">
        <f t="shared" si="2"/>
        <v>0</v>
      </c>
      <c r="J21" s="2">
        <f t="shared" si="5"/>
        <v>9</v>
      </c>
    </row>
    <row r="22" spans="1:10" x14ac:dyDescent="0.25">
      <c r="A22" s="2">
        <f t="shared" si="3"/>
        <v>10</v>
      </c>
      <c r="B22" s="300" t="s">
        <v>311</v>
      </c>
      <c r="C22" s="125"/>
      <c r="D22" s="104">
        <f t="shared" si="6"/>
        <v>0</v>
      </c>
      <c r="E22" s="308"/>
      <c r="F22" s="310">
        <f t="shared" si="0"/>
        <v>0</v>
      </c>
      <c r="G22" s="538">
        <f t="shared" si="4"/>
        <v>0</v>
      </c>
      <c r="H22" s="104">
        <f t="shared" si="1"/>
        <v>0</v>
      </c>
      <c r="I22" s="104">
        <f t="shared" si="2"/>
        <v>0</v>
      </c>
      <c r="J22" s="2">
        <f t="shared" si="5"/>
        <v>10</v>
      </c>
    </row>
    <row r="23" spans="1:10" x14ac:dyDescent="0.25">
      <c r="A23" s="2">
        <f t="shared" si="3"/>
        <v>11</v>
      </c>
      <c r="B23" s="300" t="s">
        <v>312</v>
      </c>
      <c r="C23" s="125"/>
      <c r="D23" s="104">
        <f t="shared" si="6"/>
        <v>0</v>
      </c>
      <c r="E23" s="308"/>
      <c r="F23" s="310">
        <f t="shared" si="0"/>
        <v>0</v>
      </c>
      <c r="G23" s="538">
        <f t="shared" si="4"/>
        <v>0</v>
      </c>
      <c r="H23" s="104">
        <f t="shared" si="1"/>
        <v>0</v>
      </c>
      <c r="I23" s="104">
        <f t="shared" si="2"/>
        <v>0</v>
      </c>
      <c r="J23" s="2">
        <f t="shared" si="5"/>
        <v>11</v>
      </c>
    </row>
    <row r="24" spans="1:10" x14ac:dyDescent="0.25">
      <c r="A24" s="2">
        <f t="shared" si="3"/>
        <v>12</v>
      </c>
      <c r="B24" s="300" t="s">
        <v>313</v>
      </c>
      <c r="C24" s="125"/>
      <c r="D24" s="104">
        <f t="shared" si="6"/>
        <v>0</v>
      </c>
      <c r="E24" s="308"/>
      <c r="F24" s="310">
        <f t="shared" si="0"/>
        <v>0</v>
      </c>
      <c r="G24" s="538">
        <f t="shared" si="4"/>
        <v>0</v>
      </c>
      <c r="H24" s="104">
        <f t="shared" si="1"/>
        <v>0</v>
      </c>
      <c r="I24" s="104">
        <f t="shared" si="2"/>
        <v>0</v>
      </c>
      <c r="J24" s="2">
        <f t="shared" si="5"/>
        <v>12</v>
      </c>
    </row>
    <row r="25" spans="1:10" x14ac:dyDescent="0.25">
      <c r="A25" s="2">
        <f t="shared" si="3"/>
        <v>13</v>
      </c>
      <c r="B25" s="300" t="s">
        <v>314</v>
      </c>
      <c r="C25" s="125"/>
      <c r="D25" s="104">
        <f t="shared" si="6"/>
        <v>0</v>
      </c>
      <c r="E25" s="308"/>
      <c r="F25" s="310">
        <f t="shared" si="0"/>
        <v>0</v>
      </c>
      <c r="G25" s="538">
        <f t="shared" si="4"/>
        <v>0</v>
      </c>
      <c r="H25" s="104">
        <f t="shared" si="1"/>
        <v>0</v>
      </c>
      <c r="I25" s="128">
        <f t="shared" si="2"/>
        <v>0</v>
      </c>
      <c r="J25" s="2">
        <f t="shared" si="5"/>
        <v>13</v>
      </c>
    </row>
    <row r="26" spans="1:10" x14ac:dyDescent="0.25">
      <c r="B26" s="300" t="s">
        <v>976</v>
      </c>
      <c r="C26" s="305"/>
      <c r="D26" s="125"/>
      <c r="E26" s="305"/>
      <c r="F26" s="305"/>
      <c r="G26" s="305"/>
      <c r="H26" s="305"/>
      <c r="I26" s="305"/>
    </row>
    <row r="29" spans="1:10" ht="18.75" x14ac:dyDescent="0.25">
      <c r="A29" s="174">
        <v>1</v>
      </c>
      <c r="B29" s="3" t="s">
        <v>802</v>
      </c>
    </row>
    <row r="30" spans="1:10" ht="18.75" x14ac:dyDescent="0.25">
      <c r="A30" s="174">
        <v>2</v>
      </c>
      <c r="B30" s="3" t="s">
        <v>804</v>
      </c>
    </row>
    <row r="73" spans="1:10" ht="18.75" x14ac:dyDescent="0.25">
      <c r="A73" s="174"/>
      <c r="J73" s="174"/>
    </row>
    <row r="74" spans="1:10" ht="18.75" x14ac:dyDescent="0.25">
      <c r="A74" s="174"/>
      <c r="J74" s="174"/>
    </row>
    <row r="75" spans="1:10" ht="18.75" x14ac:dyDescent="0.25">
      <c r="A75" s="174"/>
      <c r="J75" s="174"/>
    </row>
    <row r="76" spans="1:10" ht="18.75" x14ac:dyDescent="0.25">
      <c r="A76" s="174"/>
      <c r="J76" s="174"/>
    </row>
    <row r="77" spans="1:10" ht="18.75" x14ac:dyDescent="0.25">
      <c r="A77" s="174"/>
      <c r="J77" s="174"/>
    </row>
    <row r="78" spans="1:10" ht="18.75" x14ac:dyDescent="0.25">
      <c r="A78" s="174"/>
      <c r="J78" s="174"/>
    </row>
    <row r="79" spans="1:10" ht="18.75" x14ac:dyDescent="0.25">
      <c r="A79" s="174"/>
      <c r="J79" s="174"/>
    </row>
    <row r="131" spans="1:10" ht="18.75" x14ac:dyDescent="0.25">
      <c r="A131" s="174"/>
      <c r="J131" s="174"/>
    </row>
    <row r="132" spans="1:10" ht="18.75" x14ac:dyDescent="0.25">
      <c r="A132" s="174"/>
      <c r="J132" s="174"/>
    </row>
    <row r="171" spans="1:10" ht="18.75" x14ac:dyDescent="0.25">
      <c r="A171" s="174"/>
      <c r="J171" s="174"/>
    </row>
    <row r="174" spans="1:10" x14ac:dyDescent="0.25">
      <c r="A174" s="71"/>
      <c r="J174" s="71"/>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oddFooter>&amp;C&amp;"Times New Roman,Regular"&amp;12Stmt AF Proration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heetViews>
  <sheetFormatPr defaultColWidth="8.7109375" defaultRowHeight="15.75" x14ac:dyDescent="0.25"/>
  <cols>
    <col min="1" max="1" width="5.28515625" style="206" customWidth="1"/>
    <col min="2" max="2" width="86.140625" style="3" customWidth="1"/>
    <col min="3" max="5" width="15.7109375" style="3" customWidth="1"/>
    <col min="6" max="6" width="3.28515625" style="3" customWidth="1"/>
    <col min="7" max="9" width="15.7109375" style="3" customWidth="1"/>
    <col min="10" max="10" width="34.7109375" style="3" customWidth="1"/>
    <col min="11" max="11" width="5.28515625" style="206" customWidth="1"/>
    <col min="12" max="16384" width="8.7109375" style="3"/>
  </cols>
  <sheetData>
    <row r="2" spans="1:11" ht="15.6" customHeight="1" x14ac:dyDescent="0.25">
      <c r="B2" s="584" t="s">
        <v>16</v>
      </c>
      <c r="C2" s="584"/>
      <c r="D2" s="584"/>
      <c r="E2" s="584"/>
      <c r="F2" s="584"/>
      <c r="G2" s="584"/>
      <c r="H2" s="584"/>
      <c r="I2" s="584"/>
      <c r="J2" s="584"/>
      <c r="K2" s="165"/>
    </row>
    <row r="3" spans="1:11" ht="15.6" customHeight="1" x14ac:dyDescent="0.25">
      <c r="B3" s="584" t="s">
        <v>429</v>
      </c>
      <c r="C3" s="584"/>
      <c r="D3" s="584"/>
      <c r="E3" s="584"/>
      <c r="F3" s="584"/>
      <c r="G3" s="584"/>
      <c r="H3" s="584"/>
      <c r="I3" s="584"/>
      <c r="J3" s="584"/>
      <c r="K3" s="165"/>
    </row>
    <row r="4" spans="1:11" ht="15.6" customHeight="1" x14ac:dyDescent="0.25">
      <c r="B4" s="582" t="s">
        <v>1164</v>
      </c>
      <c r="C4" s="582"/>
      <c r="D4" s="582"/>
      <c r="E4" s="582"/>
      <c r="F4" s="582"/>
      <c r="G4" s="582"/>
      <c r="H4" s="582"/>
      <c r="I4" s="582"/>
      <c r="J4" s="582"/>
      <c r="K4" s="165"/>
    </row>
    <row r="5" spans="1:11" x14ac:dyDescent="0.25">
      <c r="B5" s="604">
        <v>-1000</v>
      </c>
      <c r="C5" s="604"/>
      <c r="D5" s="604"/>
      <c r="E5" s="604"/>
      <c r="F5" s="604"/>
      <c r="G5" s="604"/>
      <c r="H5" s="604"/>
      <c r="I5" s="604"/>
      <c r="J5" s="604"/>
      <c r="K5" s="284"/>
    </row>
    <row r="6" spans="1:11" x14ac:dyDescent="0.25">
      <c r="A6" s="2"/>
      <c r="B6" s="270"/>
      <c r="C6" s="38"/>
      <c r="D6" s="38"/>
      <c r="E6" s="38"/>
      <c r="F6" s="38"/>
      <c r="G6" s="38"/>
      <c r="H6" s="38"/>
      <c r="I6" s="38"/>
      <c r="J6" s="38"/>
      <c r="K6" s="2"/>
    </row>
    <row r="7" spans="1:11" x14ac:dyDescent="0.25">
      <c r="A7" s="165"/>
      <c r="B7" s="194"/>
      <c r="C7" s="197" t="s">
        <v>3</v>
      </c>
      <c r="D7" s="197" t="s">
        <v>4</v>
      </c>
      <c r="E7" s="197" t="s">
        <v>324</v>
      </c>
      <c r="F7" s="194"/>
      <c r="G7" s="197" t="s">
        <v>99</v>
      </c>
      <c r="H7" s="197" t="s">
        <v>100</v>
      </c>
      <c r="I7" s="197" t="s">
        <v>325</v>
      </c>
      <c r="J7" s="194"/>
      <c r="K7" s="165"/>
    </row>
    <row r="8" spans="1:11" x14ac:dyDescent="0.25">
      <c r="A8" s="2" t="s">
        <v>2</v>
      </c>
      <c r="B8" s="271"/>
      <c r="C8" s="229" t="s">
        <v>154</v>
      </c>
      <c r="D8" s="229" t="s">
        <v>154</v>
      </c>
      <c r="E8" s="198" t="s">
        <v>151</v>
      </c>
      <c r="F8" s="194"/>
      <c r="G8" s="229" t="s">
        <v>71</v>
      </c>
      <c r="H8" s="229" t="s">
        <v>71</v>
      </c>
      <c r="I8" s="229" t="s">
        <v>110</v>
      </c>
      <c r="J8" s="272"/>
      <c r="K8" s="2" t="s">
        <v>2</v>
      </c>
    </row>
    <row r="9" spans="1:11" x14ac:dyDescent="0.25">
      <c r="A9" s="2" t="s">
        <v>18</v>
      </c>
      <c r="B9" s="273"/>
      <c r="C9" s="230" t="s">
        <v>149</v>
      </c>
      <c r="D9" s="195" t="s">
        <v>150</v>
      </c>
      <c r="E9" s="195" t="s">
        <v>20</v>
      </c>
      <c r="F9" s="196"/>
      <c r="G9" s="230" t="s">
        <v>152</v>
      </c>
      <c r="H9" s="230" t="s">
        <v>153</v>
      </c>
      <c r="I9" s="230" t="s">
        <v>20</v>
      </c>
      <c r="J9" s="230" t="s">
        <v>7</v>
      </c>
      <c r="K9" s="2" t="s">
        <v>18</v>
      </c>
    </row>
    <row r="10" spans="1:11" x14ac:dyDescent="0.25">
      <c r="A10" s="2"/>
      <c r="B10" s="274" t="s">
        <v>155</v>
      </c>
      <c r="C10" s="157"/>
      <c r="D10" s="158"/>
      <c r="E10" s="158"/>
      <c r="F10" s="68"/>
      <c r="G10" s="157"/>
      <c r="H10" s="157"/>
      <c r="I10" s="159"/>
      <c r="J10" s="159"/>
      <c r="K10" s="2"/>
    </row>
    <row r="11" spans="1:11" x14ac:dyDescent="0.25">
      <c r="A11" s="2">
        <v>1</v>
      </c>
      <c r="B11" s="275" t="s">
        <v>156</v>
      </c>
      <c r="C11" s="164">
        <v>0</v>
      </c>
      <c r="D11" s="164">
        <v>0</v>
      </c>
      <c r="E11" s="66">
        <f>C11+D11</f>
        <v>0</v>
      </c>
      <c r="F11" s="2"/>
      <c r="G11" s="164">
        <v>0</v>
      </c>
      <c r="H11" s="164">
        <v>0</v>
      </c>
      <c r="I11" s="64">
        <f>G11+H11</f>
        <v>0</v>
      </c>
      <c r="J11" s="276" t="s">
        <v>567</v>
      </c>
      <c r="K11" s="2">
        <f>A11</f>
        <v>1</v>
      </c>
    </row>
    <row r="12" spans="1:11" x14ac:dyDescent="0.25">
      <c r="A12" s="2">
        <f t="shared" ref="A12:A29" si="0">A11+1</f>
        <v>2</v>
      </c>
      <c r="B12" s="275"/>
      <c r="C12" s="66"/>
      <c r="D12" s="66"/>
      <c r="E12" s="66"/>
      <c r="F12" s="66"/>
      <c r="G12" s="66"/>
      <c r="H12" s="66"/>
      <c r="I12" s="64"/>
      <c r="J12" s="276"/>
      <c r="K12" s="2">
        <f t="shared" ref="K12:K29" si="1">K11+1</f>
        <v>2</v>
      </c>
    </row>
    <row r="13" spans="1:11" x14ac:dyDescent="0.25">
      <c r="A13" s="2">
        <f t="shared" si="0"/>
        <v>3</v>
      </c>
      <c r="B13" s="202" t="s">
        <v>157</v>
      </c>
      <c r="C13" s="283">
        <v>0</v>
      </c>
      <c r="D13" s="283">
        <v>0</v>
      </c>
      <c r="E13" s="105">
        <f>C13+D13</f>
        <v>0</v>
      </c>
      <c r="F13" s="2"/>
      <c r="G13" s="283">
        <v>0</v>
      </c>
      <c r="H13" s="283">
        <v>0</v>
      </c>
      <c r="I13" s="160">
        <f>G13+H13</f>
        <v>0</v>
      </c>
      <c r="J13" s="276" t="s">
        <v>553</v>
      </c>
      <c r="K13" s="2">
        <f t="shared" si="1"/>
        <v>3</v>
      </c>
    </row>
    <row r="14" spans="1:11" x14ac:dyDescent="0.25">
      <c r="A14" s="2">
        <f t="shared" si="0"/>
        <v>4</v>
      </c>
      <c r="B14" s="275"/>
      <c r="C14" s="67"/>
      <c r="D14" s="67"/>
      <c r="E14" s="67"/>
      <c r="F14" s="66"/>
      <c r="G14" s="66"/>
      <c r="H14" s="66"/>
      <c r="I14" s="64"/>
      <c r="J14" s="276"/>
      <c r="K14" s="2">
        <f t="shared" si="1"/>
        <v>4</v>
      </c>
    </row>
    <row r="15" spans="1:11" x14ac:dyDescent="0.25">
      <c r="A15" s="2">
        <f t="shared" si="0"/>
        <v>5</v>
      </c>
      <c r="B15" s="275" t="s">
        <v>158</v>
      </c>
      <c r="C15" s="66">
        <f>SUM(C11:C13)</f>
        <v>0</v>
      </c>
      <c r="D15" s="66">
        <f>SUM(D11:D13)</f>
        <v>0</v>
      </c>
      <c r="E15" s="66">
        <f>SUM(E11:E13)</f>
        <v>0</v>
      </c>
      <c r="F15" s="2"/>
      <c r="G15" s="66">
        <f>SUM(G11:G13)</f>
        <v>0</v>
      </c>
      <c r="H15" s="66">
        <f>SUM(H11:H13)</f>
        <v>0</v>
      </c>
      <c r="I15" s="66">
        <f>SUM(I11:I13)</f>
        <v>0</v>
      </c>
      <c r="J15" s="276" t="s">
        <v>568</v>
      </c>
      <c r="K15" s="2">
        <f t="shared" si="1"/>
        <v>5</v>
      </c>
    </row>
    <row r="16" spans="1:11" x14ac:dyDescent="0.25">
      <c r="A16" s="2">
        <f t="shared" si="0"/>
        <v>6</v>
      </c>
      <c r="B16" s="275"/>
      <c r="C16" s="67"/>
      <c r="D16" s="67"/>
      <c r="E16" s="67"/>
      <c r="F16" s="66"/>
      <c r="G16" s="66"/>
      <c r="H16" s="66"/>
      <c r="I16" s="64"/>
      <c r="J16" s="276"/>
      <c r="K16" s="2">
        <f t="shared" si="1"/>
        <v>6</v>
      </c>
    </row>
    <row r="17" spans="1:11" x14ac:dyDescent="0.25">
      <c r="A17" s="2">
        <f t="shared" si="0"/>
        <v>7</v>
      </c>
      <c r="B17" s="274" t="s">
        <v>159</v>
      </c>
      <c r="C17" s="67"/>
      <c r="D17" s="67"/>
      <c r="E17" s="67"/>
      <c r="F17" s="66"/>
      <c r="G17" s="66"/>
      <c r="H17" s="66"/>
      <c r="I17" s="64"/>
      <c r="J17" s="276"/>
      <c r="K17" s="2">
        <f t="shared" si="1"/>
        <v>7</v>
      </c>
    </row>
    <row r="18" spans="1:11" x14ac:dyDescent="0.25">
      <c r="A18" s="2">
        <f t="shared" si="0"/>
        <v>8</v>
      </c>
      <c r="B18" s="275" t="s">
        <v>160</v>
      </c>
      <c r="C18" s="164">
        <v>0</v>
      </c>
      <c r="D18" s="164">
        <v>0</v>
      </c>
      <c r="E18" s="66">
        <f>C18+D18</f>
        <v>0</v>
      </c>
      <c r="F18" s="66"/>
      <c r="G18" s="164">
        <v>0</v>
      </c>
      <c r="H18" s="164">
        <v>0</v>
      </c>
      <c r="I18" s="64">
        <f>G18+H18</f>
        <v>0</v>
      </c>
      <c r="J18" s="276" t="s">
        <v>554</v>
      </c>
      <c r="K18" s="2">
        <f t="shared" si="1"/>
        <v>8</v>
      </c>
    </row>
    <row r="19" spans="1:11" x14ac:dyDescent="0.25">
      <c r="A19" s="2">
        <f t="shared" si="0"/>
        <v>9</v>
      </c>
      <c r="B19" s="275"/>
      <c r="C19" s="67"/>
      <c r="D19" s="67"/>
      <c r="E19" s="67"/>
      <c r="F19" s="66"/>
      <c r="G19" s="66"/>
      <c r="H19" s="66"/>
      <c r="I19" s="64"/>
      <c r="J19" s="276"/>
      <c r="K19" s="2">
        <f t="shared" si="1"/>
        <v>9</v>
      </c>
    </row>
    <row r="20" spans="1:11" ht="31.5" x14ac:dyDescent="0.25">
      <c r="A20" s="2">
        <f t="shared" si="0"/>
        <v>10</v>
      </c>
      <c r="B20" s="275" t="s">
        <v>161</v>
      </c>
      <c r="C20" s="166">
        <v>0</v>
      </c>
      <c r="D20" s="166">
        <v>0</v>
      </c>
      <c r="E20" s="67">
        <f>C20+D20</f>
        <v>0</v>
      </c>
      <c r="F20" s="66"/>
      <c r="G20" s="166">
        <v>0</v>
      </c>
      <c r="H20" s="166">
        <v>0</v>
      </c>
      <c r="I20" s="65">
        <f>G20+H20</f>
        <v>0</v>
      </c>
      <c r="J20" s="276" t="s">
        <v>555</v>
      </c>
      <c r="K20" s="2">
        <f t="shared" si="1"/>
        <v>10</v>
      </c>
    </row>
    <row r="21" spans="1:11" x14ac:dyDescent="0.25">
      <c r="A21" s="2">
        <f t="shared" si="0"/>
        <v>11</v>
      </c>
      <c r="B21" s="275"/>
      <c r="C21" s="67"/>
      <c r="D21" s="67"/>
      <c r="E21" s="67"/>
      <c r="F21" s="66"/>
      <c r="G21" s="66"/>
      <c r="H21" s="66"/>
      <c r="I21" s="64"/>
      <c r="J21" s="276"/>
      <c r="K21" s="2">
        <f t="shared" si="1"/>
        <v>11</v>
      </c>
    </row>
    <row r="22" spans="1:11" x14ac:dyDescent="0.25">
      <c r="A22" s="2">
        <f t="shared" si="0"/>
        <v>12</v>
      </c>
      <c r="B22" s="275" t="s">
        <v>162</v>
      </c>
      <c r="C22" s="283">
        <v>0</v>
      </c>
      <c r="D22" s="283">
        <v>0</v>
      </c>
      <c r="E22" s="105">
        <f>C22+D22</f>
        <v>0</v>
      </c>
      <c r="F22" s="66"/>
      <c r="G22" s="283">
        <v>0</v>
      </c>
      <c r="H22" s="283">
        <v>0</v>
      </c>
      <c r="I22" s="160">
        <f>G22+H22</f>
        <v>0</v>
      </c>
      <c r="J22" s="276" t="s">
        <v>569</v>
      </c>
      <c r="K22" s="2">
        <f t="shared" si="1"/>
        <v>12</v>
      </c>
    </row>
    <row r="23" spans="1:11" x14ac:dyDescent="0.25">
      <c r="A23" s="2">
        <f t="shared" si="0"/>
        <v>13</v>
      </c>
      <c r="B23" s="275"/>
      <c r="C23" s="67"/>
      <c r="D23" s="67"/>
      <c r="E23" s="67"/>
      <c r="F23" s="66"/>
      <c r="G23" s="66"/>
      <c r="H23" s="66"/>
      <c r="I23" s="64"/>
      <c r="J23" s="276"/>
      <c r="K23" s="2">
        <f t="shared" si="1"/>
        <v>13</v>
      </c>
    </row>
    <row r="24" spans="1:11" x14ac:dyDescent="0.25">
      <c r="A24" s="2">
        <f t="shared" si="0"/>
        <v>14</v>
      </c>
      <c r="B24" s="275" t="s">
        <v>163</v>
      </c>
      <c r="C24" s="161">
        <f>SUM(C18:C22)</f>
        <v>0</v>
      </c>
      <c r="D24" s="161">
        <f>SUM(D18:D22)</f>
        <v>0</v>
      </c>
      <c r="E24" s="161">
        <f>SUM(E18:E22)</f>
        <v>0</v>
      </c>
      <c r="F24" s="66"/>
      <c r="G24" s="161">
        <f>SUM(G18:G22)</f>
        <v>0</v>
      </c>
      <c r="H24" s="161">
        <f>SUM(H18:H22)</f>
        <v>0</v>
      </c>
      <c r="I24" s="161">
        <f>SUM(I18:I22)</f>
        <v>0</v>
      </c>
      <c r="J24" s="276" t="s">
        <v>570</v>
      </c>
      <c r="K24" s="2">
        <f t="shared" si="1"/>
        <v>14</v>
      </c>
    </row>
    <row r="25" spans="1:11" x14ac:dyDescent="0.25">
      <c r="A25" s="2">
        <f t="shared" si="0"/>
        <v>15</v>
      </c>
      <c r="B25" s="275"/>
      <c r="C25" s="67"/>
      <c r="D25" s="67"/>
      <c r="E25" s="67"/>
      <c r="F25" s="66"/>
      <c r="G25" s="66"/>
      <c r="H25" s="66"/>
      <c r="I25" s="64"/>
      <c r="J25" s="159"/>
      <c r="K25" s="2">
        <f t="shared" si="1"/>
        <v>15</v>
      </c>
    </row>
    <row r="26" spans="1:11" ht="16.5" thickBot="1" x14ac:dyDescent="0.3">
      <c r="A26" s="2">
        <f t="shared" si="0"/>
        <v>16</v>
      </c>
      <c r="B26" s="277" t="s">
        <v>20</v>
      </c>
      <c r="C26" s="162">
        <f>C15+C24</f>
        <v>0</v>
      </c>
      <c r="D26" s="162">
        <f>D15+D24</f>
        <v>0</v>
      </c>
      <c r="E26" s="162">
        <f>E15+E24</f>
        <v>0</v>
      </c>
      <c r="F26" s="2"/>
      <c r="G26" s="162">
        <f>G15+G24</f>
        <v>0</v>
      </c>
      <c r="H26" s="162">
        <f>H15+H24</f>
        <v>0</v>
      </c>
      <c r="I26" s="162">
        <f>I15+I24</f>
        <v>0</v>
      </c>
      <c r="J26" s="276" t="s">
        <v>571</v>
      </c>
      <c r="K26" s="2">
        <f t="shared" si="1"/>
        <v>16</v>
      </c>
    </row>
    <row r="27" spans="1:11" ht="16.5" thickTop="1" x14ac:dyDescent="0.25">
      <c r="A27" s="2">
        <f t="shared" si="0"/>
        <v>17</v>
      </c>
      <c r="B27" s="277"/>
      <c r="C27" s="67"/>
      <c r="D27" s="67"/>
      <c r="E27" s="67"/>
      <c r="F27" s="66"/>
      <c r="G27" s="66"/>
      <c r="H27" s="66"/>
      <c r="I27" s="64"/>
      <c r="J27" s="276"/>
      <c r="K27" s="2">
        <f t="shared" si="1"/>
        <v>17</v>
      </c>
    </row>
    <row r="28" spans="1:11" ht="31.5" x14ac:dyDescent="0.25">
      <c r="A28" s="2">
        <f t="shared" si="0"/>
        <v>18</v>
      </c>
      <c r="B28" s="275"/>
      <c r="C28" s="67"/>
      <c r="D28" s="67"/>
      <c r="E28" s="67"/>
      <c r="F28" s="66"/>
      <c r="G28" s="66"/>
      <c r="H28" s="66"/>
      <c r="I28" s="64"/>
      <c r="J28" s="278" t="s">
        <v>572</v>
      </c>
      <c r="K28" s="2">
        <f t="shared" si="1"/>
        <v>18</v>
      </c>
    </row>
    <row r="29" spans="1:11" ht="16.5" thickBot="1" x14ac:dyDescent="0.3">
      <c r="A29" s="2">
        <f t="shared" si="0"/>
        <v>19</v>
      </c>
      <c r="B29" s="277" t="s">
        <v>430</v>
      </c>
      <c r="C29" s="67"/>
      <c r="D29" s="67"/>
      <c r="E29" s="67"/>
      <c r="F29" s="2"/>
      <c r="G29" s="539">
        <f>IFERROR(G26/I26,0)</f>
        <v>0</v>
      </c>
      <c r="H29" s="539">
        <f>IFERROR(H26/I26,0)</f>
        <v>0</v>
      </c>
      <c r="I29" s="163">
        <f>G29+H29</f>
        <v>0</v>
      </c>
      <c r="J29" s="278" t="s">
        <v>573</v>
      </c>
      <c r="K29" s="2">
        <f t="shared" si="1"/>
        <v>19</v>
      </c>
    </row>
    <row r="30" spans="1:11" ht="16.5" thickTop="1" x14ac:dyDescent="0.25">
      <c r="A30" s="2">
        <v>20</v>
      </c>
      <c r="B30" s="279"/>
      <c r="C30" s="222"/>
      <c r="D30" s="222"/>
      <c r="E30" s="222"/>
      <c r="F30" s="222"/>
      <c r="G30" s="195"/>
      <c r="H30" s="195"/>
      <c r="I30" s="103"/>
      <c r="J30" s="103"/>
      <c r="K30" s="2">
        <v>20</v>
      </c>
    </row>
    <row r="31" spans="1:11" x14ac:dyDescent="0.25">
      <c r="A31" s="2"/>
      <c r="B31" s="38"/>
      <c r="C31" s="38"/>
      <c r="D31" s="38"/>
      <c r="E31" s="38"/>
      <c r="F31" s="38"/>
      <c r="G31" s="38"/>
      <c r="H31" s="38"/>
      <c r="I31" s="38"/>
      <c r="J31" s="38"/>
      <c r="K31" s="2"/>
    </row>
    <row r="32" spans="1:11" x14ac:dyDescent="0.25">
      <c r="A32" s="2"/>
      <c r="B32" s="38"/>
      <c r="C32" s="38"/>
      <c r="D32" s="38"/>
      <c r="E32" s="38"/>
      <c r="F32" s="38"/>
      <c r="G32" s="38"/>
      <c r="H32" s="38"/>
      <c r="I32" s="38"/>
      <c r="J32" s="38"/>
      <c r="K32" s="2"/>
    </row>
    <row r="33" spans="1:11" ht="18.75" x14ac:dyDescent="0.25">
      <c r="A33" s="193">
        <v>1</v>
      </c>
      <c r="B33" s="38" t="s">
        <v>562</v>
      </c>
      <c r="C33" s="38"/>
      <c r="D33" s="38"/>
      <c r="E33" s="38"/>
      <c r="F33" s="38"/>
      <c r="G33" s="38"/>
      <c r="H33" s="38"/>
      <c r="I33" s="38"/>
      <c r="J33" s="38"/>
      <c r="K33" s="2"/>
    </row>
    <row r="34" spans="1:11" ht="18.75" x14ac:dyDescent="0.25">
      <c r="A34" s="193">
        <v>2</v>
      </c>
      <c r="B34" s="38" t="s">
        <v>563</v>
      </c>
      <c r="C34" s="38"/>
      <c r="D34" s="38"/>
      <c r="E34" s="38"/>
      <c r="F34" s="38"/>
      <c r="G34" s="38"/>
      <c r="H34" s="38"/>
      <c r="I34" s="38"/>
      <c r="J34" s="38"/>
      <c r="K34" s="2"/>
    </row>
    <row r="35" spans="1:11" ht="18.75" x14ac:dyDescent="0.25">
      <c r="A35" s="193">
        <v>3</v>
      </c>
      <c r="B35" s="38" t="s">
        <v>564</v>
      </c>
      <c r="C35" s="38"/>
      <c r="D35" s="38"/>
      <c r="E35" s="38"/>
      <c r="F35" s="38"/>
      <c r="G35" s="38"/>
      <c r="H35" s="38"/>
      <c r="I35" s="38"/>
      <c r="J35" s="38"/>
      <c r="K35" s="2"/>
    </row>
    <row r="36" spans="1:11" ht="18.75" x14ac:dyDescent="0.25">
      <c r="A36" s="193">
        <v>4</v>
      </c>
      <c r="B36" s="38" t="s">
        <v>565</v>
      </c>
      <c r="C36" s="38"/>
      <c r="D36" s="38"/>
      <c r="E36" s="38"/>
      <c r="F36" s="38"/>
      <c r="G36" s="38"/>
      <c r="H36" s="38"/>
      <c r="I36" s="38"/>
      <c r="J36" s="38"/>
      <c r="K36" s="2"/>
    </row>
    <row r="37" spans="1:11" ht="18.75" x14ac:dyDescent="0.25">
      <c r="A37" s="193">
        <v>5</v>
      </c>
      <c r="B37" s="38" t="s">
        <v>566</v>
      </c>
      <c r="C37" s="38"/>
      <c r="D37" s="38"/>
      <c r="E37" s="38"/>
      <c r="F37" s="38"/>
      <c r="G37" s="38"/>
      <c r="H37" s="38"/>
      <c r="I37" s="38"/>
      <c r="J37" s="38"/>
      <c r="K37" s="2"/>
    </row>
    <row r="38" spans="1:11" x14ac:dyDescent="0.25">
      <c r="A38" s="165"/>
      <c r="B38" s="1"/>
      <c r="C38" s="38"/>
      <c r="D38" s="38"/>
      <c r="E38" s="38"/>
      <c r="F38" s="38"/>
      <c r="G38" s="38"/>
      <c r="H38" s="38"/>
      <c r="I38" s="38"/>
      <c r="J38" s="38"/>
      <c r="K38" s="2"/>
    </row>
    <row r="39" spans="1:11" x14ac:dyDescent="0.25">
      <c r="A39" s="2"/>
      <c r="B39" s="38"/>
      <c r="C39" s="38"/>
      <c r="D39" s="38"/>
      <c r="E39" s="38"/>
      <c r="F39" s="38"/>
      <c r="G39" s="38"/>
      <c r="H39" s="38"/>
      <c r="I39" s="38"/>
      <c r="J39" s="38"/>
      <c r="K39" s="2"/>
    </row>
    <row r="40" spans="1:11" x14ac:dyDescent="0.25">
      <c r="A40" s="2"/>
      <c r="B40" s="38"/>
      <c r="C40" s="38"/>
      <c r="D40" s="38"/>
      <c r="E40" s="38"/>
      <c r="F40" s="38"/>
      <c r="G40" s="38"/>
      <c r="H40" s="38"/>
      <c r="I40" s="38"/>
      <c r="J40" s="38"/>
      <c r="K40" s="2"/>
    </row>
  </sheetData>
  <mergeCells count="4">
    <mergeCell ref="B2:J2"/>
    <mergeCell ref="B3:J3"/>
    <mergeCell ref="B4:J4"/>
    <mergeCell ref="B5:J5"/>
  </mergeCells>
  <printOptions horizontalCentered="1"/>
  <pageMargins left="0.5" right="0.5" top="0.5" bottom="0.5" header="0.25" footer="0.25"/>
  <pageSetup scale="55" orientation="landscape" r:id="rId1"/>
  <headerFooter scaleWithDoc="0">
    <oddFooter>&amp;C&amp;"Times New Roman,Regular"&amp;10Summary of HV/LV Splits for Forecast Plant Additions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80" zoomScaleNormal="80" workbookViewId="0"/>
  </sheetViews>
  <sheetFormatPr defaultColWidth="8.7109375" defaultRowHeight="15.75" x14ac:dyDescent="0.25"/>
  <cols>
    <col min="1" max="1" width="5.28515625" style="2" bestFit="1" customWidth="1"/>
    <col min="2" max="2" width="67.5703125" style="38" customWidth="1"/>
    <col min="3" max="3" width="24" style="2" customWidth="1"/>
    <col min="4" max="4" width="1.5703125" style="38" customWidth="1"/>
    <col min="5" max="5" width="16.7109375" style="38" customWidth="1"/>
    <col min="6" max="6" width="1.5703125" style="38" customWidth="1"/>
    <col min="7" max="7" width="16.7109375" style="38" customWidth="1"/>
    <col min="8" max="8" width="1.5703125" style="38" customWidth="1"/>
    <col min="9" max="9" width="16.7109375" style="38" customWidth="1"/>
    <col min="10" max="10" width="1.5703125" style="38" customWidth="1"/>
    <col min="11" max="11" width="34.5703125" style="38" customWidth="1"/>
    <col min="12" max="12" width="5.28515625" style="38" bestFit="1" customWidth="1"/>
    <col min="13" max="13" width="8.7109375" style="38"/>
    <col min="14" max="14" width="33.42578125" style="38" customWidth="1"/>
    <col min="15" max="16384" width="8.7109375" style="38"/>
  </cols>
  <sheetData>
    <row r="1" spans="1:14" x14ac:dyDescent="0.25">
      <c r="H1" s="2"/>
      <c r="I1" s="2"/>
      <c r="J1" s="2"/>
      <c r="K1" s="2"/>
      <c r="L1" s="2"/>
    </row>
    <row r="2" spans="1:14" x14ac:dyDescent="0.25">
      <c r="B2" s="584" t="s">
        <v>16</v>
      </c>
      <c r="C2" s="584"/>
      <c r="D2" s="584"/>
      <c r="E2" s="584"/>
      <c r="F2" s="584"/>
      <c r="G2" s="584"/>
      <c r="H2" s="584"/>
      <c r="I2" s="584"/>
      <c r="J2" s="584"/>
      <c r="K2" s="584"/>
      <c r="L2" s="2"/>
    </row>
    <row r="3" spans="1:14" x14ac:dyDescent="0.25">
      <c r="B3" s="584" t="s">
        <v>777</v>
      </c>
      <c r="C3" s="584"/>
      <c r="D3" s="584"/>
      <c r="E3" s="584"/>
      <c r="F3" s="584"/>
      <c r="G3" s="584"/>
      <c r="H3" s="584"/>
      <c r="I3" s="584"/>
      <c r="J3" s="584"/>
      <c r="K3" s="584"/>
      <c r="L3" s="2"/>
    </row>
    <row r="4" spans="1:14" x14ac:dyDescent="0.25">
      <c r="B4" s="584" t="s">
        <v>27</v>
      </c>
      <c r="C4" s="584"/>
      <c r="D4" s="584"/>
      <c r="E4" s="584"/>
      <c r="F4" s="584"/>
      <c r="G4" s="584"/>
      <c r="H4" s="584"/>
      <c r="I4" s="584"/>
      <c r="J4" s="584"/>
      <c r="K4" s="584"/>
      <c r="L4" s="2"/>
    </row>
    <row r="5" spans="1:14" x14ac:dyDescent="0.25">
      <c r="B5" s="586" t="str">
        <f>'Stmt AD'!B5</f>
        <v>Base Period &amp; True-Up Period 12 - Months Ending  December 31, xxxx</v>
      </c>
      <c r="C5" s="586"/>
      <c r="D5" s="586"/>
      <c r="E5" s="586"/>
      <c r="F5" s="586"/>
      <c r="G5" s="586"/>
      <c r="H5" s="586"/>
      <c r="I5" s="586"/>
      <c r="J5" s="586"/>
      <c r="K5" s="586"/>
      <c r="L5" s="2"/>
      <c r="N5" s="1"/>
    </row>
    <row r="6" spans="1:14" x14ac:dyDescent="0.25">
      <c r="B6" s="580" t="s">
        <v>1</v>
      </c>
      <c r="C6" s="581"/>
      <c r="D6" s="581"/>
      <c r="E6" s="581"/>
      <c r="F6" s="581"/>
      <c r="G6" s="581"/>
      <c r="H6" s="581"/>
      <c r="I6" s="581"/>
      <c r="J6" s="581"/>
      <c r="K6" s="581"/>
      <c r="L6" s="2"/>
      <c r="N6" s="199"/>
    </row>
    <row r="7" spans="1:14" x14ac:dyDescent="0.25">
      <c r="B7" s="2"/>
      <c r="D7" s="2"/>
      <c r="E7" s="2"/>
      <c r="F7" s="2"/>
      <c r="G7" s="2"/>
      <c r="H7" s="165"/>
      <c r="I7" s="165"/>
      <c r="J7" s="165"/>
      <c r="K7" s="2"/>
      <c r="L7" s="2"/>
    </row>
    <row r="8" spans="1:14" x14ac:dyDescent="0.25">
      <c r="A8" s="2" t="s">
        <v>2</v>
      </c>
      <c r="B8" s="165"/>
      <c r="C8" s="2" t="s">
        <v>248</v>
      </c>
      <c r="D8" s="165"/>
      <c r="E8" s="41" t="s">
        <v>3</v>
      </c>
      <c r="F8" s="2"/>
      <c r="G8" s="41" t="s">
        <v>4</v>
      </c>
      <c r="H8" s="2"/>
      <c r="I8" s="41" t="s">
        <v>5</v>
      </c>
      <c r="J8" s="165"/>
      <c r="K8" s="2"/>
      <c r="L8" s="2" t="s">
        <v>2</v>
      </c>
    </row>
    <row r="9" spans="1:14" x14ac:dyDescent="0.25">
      <c r="A9" s="2" t="s">
        <v>18</v>
      </c>
      <c r="B9" s="165"/>
      <c r="C9" s="42" t="s">
        <v>246</v>
      </c>
      <c r="D9" s="165"/>
      <c r="E9" s="200" t="str">
        <f>'Stmt AD'!E9</f>
        <v>31-Dec-xx</v>
      </c>
      <c r="F9" s="165"/>
      <c r="G9" s="200" t="str">
        <f>'Stmt AD'!G9</f>
        <v>31-Dec-xx</v>
      </c>
      <c r="H9" s="165"/>
      <c r="I9" s="189" t="s">
        <v>6</v>
      </c>
      <c r="J9" s="165"/>
      <c r="K9" s="42" t="s">
        <v>7</v>
      </c>
      <c r="L9" s="2" t="s">
        <v>18</v>
      </c>
    </row>
    <row r="10" spans="1:14" x14ac:dyDescent="0.25">
      <c r="B10" s="2"/>
      <c r="D10" s="2"/>
      <c r="E10" s="2"/>
      <c r="F10" s="2"/>
      <c r="G10" s="2"/>
      <c r="H10" s="2"/>
      <c r="I10" s="2"/>
      <c r="J10" s="2"/>
      <c r="K10" s="2"/>
      <c r="L10" s="2"/>
    </row>
    <row r="11" spans="1:14" ht="18.75" x14ac:dyDescent="0.25">
      <c r="A11" s="2">
        <v>1</v>
      </c>
      <c r="B11" s="38" t="s">
        <v>378</v>
      </c>
      <c r="C11" s="2" t="s">
        <v>397</v>
      </c>
      <c r="D11" s="2"/>
      <c r="E11" s="69"/>
      <c r="F11" s="43"/>
      <c r="G11" s="69"/>
      <c r="H11" s="49"/>
      <c r="I11" s="50">
        <v>0</v>
      </c>
      <c r="J11" s="71"/>
      <c r="K11" s="2" t="s">
        <v>663</v>
      </c>
      <c r="L11" s="2">
        <f>A11</f>
        <v>1</v>
      </c>
    </row>
    <row r="12" spans="1:14" x14ac:dyDescent="0.25">
      <c r="A12" s="2">
        <f>A11+1</f>
        <v>2</v>
      </c>
      <c r="E12" s="70"/>
      <c r="G12" s="70"/>
      <c r="H12" s="51"/>
      <c r="I12" s="70"/>
      <c r="J12" s="51"/>
      <c r="K12" s="201"/>
      <c r="L12" s="2">
        <f>L11+1</f>
        <v>2</v>
      </c>
    </row>
    <row r="13" spans="1:14" ht="18.75" x14ac:dyDescent="0.25">
      <c r="A13" s="2">
        <f t="shared" ref="A13:A29" si="0">+A12+1</f>
        <v>3</v>
      </c>
      <c r="B13" s="38" t="s">
        <v>377</v>
      </c>
      <c r="E13" s="50">
        <v>0</v>
      </c>
      <c r="F13" s="69"/>
      <c r="G13" s="50">
        <v>0</v>
      </c>
      <c r="H13" s="71"/>
      <c r="I13" s="48">
        <f>(E13+G13)/2</f>
        <v>0</v>
      </c>
      <c r="J13" s="71"/>
      <c r="K13" s="2" t="s">
        <v>664</v>
      </c>
      <c r="L13" s="2">
        <f t="shared" ref="L13:L29" si="1">+L12+1</f>
        <v>3</v>
      </c>
    </row>
    <row r="14" spans="1:14" x14ac:dyDescent="0.25">
      <c r="A14" s="2">
        <f t="shared" si="0"/>
        <v>4</v>
      </c>
      <c r="E14" s="70"/>
      <c r="G14" s="70"/>
      <c r="H14" s="51"/>
      <c r="I14" s="48"/>
      <c r="J14" s="51"/>
      <c r="K14" s="55"/>
      <c r="L14" s="2">
        <f t="shared" si="1"/>
        <v>4</v>
      </c>
    </row>
    <row r="15" spans="1:14" ht="18.75" x14ac:dyDescent="0.25">
      <c r="A15" s="2">
        <f t="shared" si="0"/>
        <v>5</v>
      </c>
      <c r="B15" s="38" t="s">
        <v>376</v>
      </c>
      <c r="E15" s="52">
        <v>0</v>
      </c>
      <c r="G15" s="52">
        <v>0</v>
      </c>
      <c r="H15" s="49"/>
      <c r="I15" s="48">
        <f>(E15+G15)/2</f>
        <v>0</v>
      </c>
      <c r="J15" s="51"/>
      <c r="K15" s="2" t="s">
        <v>665</v>
      </c>
      <c r="L15" s="2">
        <f t="shared" si="1"/>
        <v>5</v>
      </c>
    </row>
    <row r="16" spans="1:14" x14ac:dyDescent="0.25">
      <c r="A16" s="2">
        <f t="shared" si="0"/>
        <v>6</v>
      </c>
      <c r="E16" s="48"/>
      <c r="G16" s="48"/>
      <c r="H16" s="51"/>
      <c r="I16" s="48"/>
      <c r="J16" s="51"/>
      <c r="K16" s="55"/>
      <c r="L16" s="2">
        <f t="shared" si="1"/>
        <v>6</v>
      </c>
    </row>
    <row r="17" spans="1:12" ht="18.75" x14ac:dyDescent="0.25">
      <c r="A17" s="2">
        <f t="shared" si="0"/>
        <v>7</v>
      </c>
      <c r="B17" s="38" t="s">
        <v>375</v>
      </c>
      <c r="E17" s="52">
        <v>0</v>
      </c>
      <c r="G17" s="52">
        <v>0</v>
      </c>
      <c r="H17" s="49"/>
      <c r="I17" s="48">
        <f>(E17+G17)/2</f>
        <v>0</v>
      </c>
      <c r="J17" s="51"/>
      <c r="K17" s="2" t="s">
        <v>666</v>
      </c>
      <c r="L17" s="2">
        <f t="shared" si="1"/>
        <v>7</v>
      </c>
    </row>
    <row r="18" spans="1:12" x14ac:dyDescent="0.25">
      <c r="A18" s="2">
        <f t="shared" si="0"/>
        <v>8</v>
      </c>
      <c r="E18" s="70"/>
      <c r="G18" s="70"/>
      <c r="H18" s="51"/>
      <c r="I18" s="70"/>
      <c r="J18" s="51"/>
      <c r="K18" s="57"/>
      <c r="L18" s="2">
        <f t="shared" si="1"/>
        <v>8</v>
      </c>
    </row>
    <row r="19" spans="1:12" x14ac:dyDescent="0.25">
      <c r="A19" s="2">
        <f t="shared" si="0"/>
        <v>9</v>
      </c>
      <c r="B19" s="38" t="s">
        <v>10</v>
      </c>
      <c r="E19" s="72"/>
      <c r="G19" s="72"/>
      <c r="H19" s="73"/>
      <c r="I19" s="74">
        <f>'Stmt AI'!E25</f>
        <v>0</v>
      </c>
      <c r="J19" s="73"/>
      <c r="K19" s="55" t="s">
        <v>634</v>
      </c>
      <c r="L19" s="2">
        <f t="shared" si="1"/>
        <v>9</v>
      </c>
    </row>
    <row r="20" spans="1:12" x14ac:dyDescent="0.25">
      <c r="A20" s="2">
        <f t="shared" si="0"/>
        <v>10</v>
      </c>
      <c r="E20" s="70"/>
      <c r="G20" s="70"/>
      <c r="H20" s="51"/>
      <c r="I20" s="75"/>
      <c r="J20" s="51"/>
      <c r="K20" s="57"/>
      <c r="L20" s="2">
        <f t="shared" si="1"/>
        <v>10</v>
      </c>
    </row>
    <row r="21" spans="1:12" x14ac:dyDescent="0.25">
      <c r="A21" s="2">
        <f t="shared" si="0"/>
        <v>11</v>
      </c>
      <c r="B21" s="38" t="s">
        <v>26</v>
      </c>
      <c r="E21" s="70"/>
      <c r="G21" s="70"/>
      <c r="H21" s="51"/>
      <c r="I21" s="76">
        <f>I13*I19</f>
        <v>0</v>
      </c>
      <c r="J21" s="71"/>
      <c r="K21" s="57" t="s">
        <v>639</v>
      </c>
      <c r="L21" s="2">
        <f t="shared" si="1"/>
        <v>11</v>
      </c>
    </row>
    <row r="22" spans="1:12" x14ac:dyDescent="0.25">
      <c r="A22" s="2">
        <f t="shared" si="0"/>
        <v>12</v>
      </c>
      <c r="E22" s="70"/>
      <c r="G22" s="70"/>
      <c r="H22" s="51"/>
      <c r="I22" s="75"/>
      <c r="J22" s="51"/>
      <c r="K22" s="57"/>
      <c r="L22" s="2">
        <f t="shared" si="1"/>
        <v>12</v>
      </c>
    </row>
    <row r="23" spans="1:12" x14ac:dyDescent="0.25">
      <c r="A23" s="2">
        <f t="shared" si="0"/>
        <v>13</v>
      </c>
      <c r="B23" s="38" t="s">
        <v>25</v>
      </c>
      <c r="E23" s="48"/>
      <c r="F23" s="4"/>
      <c r="G23" s="48"/>
      <c r="H23" s="76"/>
      <c r="I23" s="77">
        <f>I15*I19</f>
        <v>0</v>
      </c>
      <c r="J23" s="51"/>
      <c r="K23" s="57" t="s">
        <v>640</v>
      </c>
      <c r="L23" s="2">
        <f t="shared" si="1"/>
        <v>13</v>
      </c>
    </row>
    <row r="24" spans="1:12" x14ac:dyDescent="0.25">
      <c r="A24" s="2">
        <f t="shared" si="0"/>
        <v>14</v>
      </c>
      <c r="E24" s="48"/>
      <c r="F24" s="4"/>
      <c r="G24" s="48"/>
      <c r="H24" s="49"/>
      <c r="I24" s="77"/>
      <c r="J24" s="51"/>
      <c r="K24" s="57"/>
      <c r="L24" s="2">
        <f t="shared" si="1"/>
        <v>14</v>
      </c>
    </row>
    <row r="25" spans="1:12" x14ac:dyDescent="0.25">
      <c r="A25" s="2">
        <f t="shared" si="0"/>
        <v>15</v>
      </c>
      <c r="B25" s="38" t="s">
        <v>24</v>
      </c>
      <c r="E25" s="77"/>
      <c r="F25" s="4"/>
      <c r="G25" s="77"/>
      <c r="H25" s="49"/>
      <c r="I25" s="78">
        <f>I17*I19</f>
        <v>0</v>
      </c>
      <c r="J25" s="51"/>
      <c r="K25" s="57" t="s">
        <v>641</v>
      </c>
      <c r="L25" s="2">
        <f t="shared" si="1"/>
        <v>15</v>
      </c>
    </row>
    <row r="26" spans="1:12" x14ac:dyDescent="0.25">
      <c r="A26" s="2">
        <f t="shared" si="0"/>
        <v>16</v>
      </c>
      <c r="E26" s="77"/>
      <c r="F26" s="4"/>
      <c r="G26" s="77"/>
      <c r="H26" s="49"/>
      <c r="I26" s="77"/>
      <c r="J26" s="51"/>
      <c r="K26" s="57"/>
      <c r="L26" s="2">
        <f t="shared" si="1"/>
        <v>16</v>
      </c>
    </row>
    <row r="27" spans="1:12" ht="16.5" thickBot="1" x14ac:dyDescent="0.3">
      <c r="A27" s="2">
        <f t="shared" si="0"/>
        <v>17</v>
      </c>
      <c r="B27" s="38" t="s">
        <v>23</v>
      </c>
      <c r="E27" s="76"/>
      <c r="F27" s="4"/>
      <c r="G27" s="76"/>
      <c r="H27" s="49"/>
      <c r="I27" s="79">
        <f>I11+I21+I23+I25</f>
        <v>0</v>
      </c>
      <c r="J27" s="71"/>
      <c r="K27" s="57" t="s">
        <v>642</v>
      </c>
      <c r="L27" s="2">
        <f t="shared" si="1"/>
        <v>17</v>
      </c>
    </row>
    <row r="28" spans="1:12" ht="16.5" thickTop="1" x14ac:dyDescent="0.25">
      <c r="A28" s="2">
        <f t="shared" si="0"/>
        <v>18</v>
      </c>
      <c r="G28" s="60"/>
      <c r="H28" s="51"/>
      <c r="I28" s="51"/>
      <c r="J28" s="51"/>
      <c r="K28" s="57"/>
      <c r="L28" s="2">
        <f t="shared" si="1"/>
        <v>18</v>
      </c>
    </row>
    <row r="29" spans="1:12" ht="19.5" thickBot="1" x14ac:dyDescent="0.3">
      <c r="A29" s="2">
        <f t="shared" si="0"/>
        <v>19</v>
      </c>
      <c r="B29" s="38" t="s">
        <v>487</v>
      </c>
      <c r="D29" s="2"/>
      <c r="E29" s="49"/>
      <c r="G29" s="49"/>
      <c r="H29" s="49"/>
      <c r="I29" s="80">
        <v>0</v>
      </c>
      <c r="J29" s="2"/>
      <c r="K29" s="2" t="s">
        <v>667</v>
      </c>
      <c r="L29" s="2">
        <f t="shared" si="1"/>
        <v>19</v>
      </c>
    </row>
    <row r="30" spans="1:12" ht="16.5" thickTop="1" x14ac:dyDescent="0.25">
      <c r="G30" s="60"/>
      <c r="H30" s="51"/>
      <c r="I30" s="51"/>
      <c r="J30" s="51"/>
      <c r="K30" s="57"/>
      <c r="L30" s="2"/>
    </row>
    <row r="32" spans="1:12" ht="18.75" x14ac:dyDescent="0.25">
      <c r="A32" s="174">
        <v>1</v>
      </c>
      <c r="B32" s="38" t="s">
        <v>475</v>
      </c>
    </row>
    <row r="33" spans="1:2" ht="18.75" x14ac:dyDescent="0.25">
      <c r="A33" s="193">
        <v>2</v>
      </c>
      <c r="B33" s="38" t="s">
        <v>476</v>
      </c>
    </row>
    <row r="34" spans="1:2" ht="18.75" x14ac:dyDescent="0.25">
      <c r="A34" s="193">
        <v>3</v>
      </c>
      <c r="B34" s="38" t="s">
        <v>474</v>
      </c>
    </row>
    <row r="35" spans="1:2" ht="18.75" x14ac:dyDescent="0.25">
      <c r="A35" s="193">
        <v>4</v>
      </c>
      <c r="B35" s="38" t="s">
        <v>482</v>
      </c>
    </row>
    <row r="37" spans="1:2" ht="18.75" x14ac:dyDescent="0.25">
      <c r="A37" s="193"/>
    </row>
    <row r="39" spans="1:2" x14ac:dyDescent="0.25">
      <c r="A39" s="71"/>
      <c r="B39" s="1"/>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N29"/>
  <sheetViews>
    <sheetView zoomScale="80" zoomScaleNormal="80" workbookViewId="0"/>
  </sheetViews>
  <sheetFormatPr defaultColWidth="9.28515625" defaultRowHeight="15.75" x14ac:dyDescent="0.25"/>
  <cols>
    <col min="1" max="1" width="5.28515625" style="2" customWidth="1"/>
    <col min="2" max="2" width="56" style="38" customWidth="1"/>
    <col min="3" max="3" width="29.7109375" style="38" customWidth="1"/>
    <col min="4" max="4" width="1.5703125" style="38" customWidth="1"/>
    <col min="5" max="5" width="16.7109375" style="38" customWidth="1"/>
    <col min="6" max="6" width="1.5703125" style="38" customWidth="1"/>
    <col min="7" max="7" width="16.7109375" style="38" customWidth="1"/>
    <col min="8" max="8" width="1.5703125" style="38" customWidth="1"/>
    <col min="9" max="9" width="16.7109375" style="38" customWidth="1"/>
    <col min="10" max="10" width="1.5703125" style="38" customWidth="1"/>
    <col min="11" max="11" width="34.5703125" style="38" customWidth="1"/>
    <col min="12" max="12" width="5.28515625" style="38" customWidth="1"/>
    <col min="13" max="13" width="9.28515625" style="38"/>
    <col min="14" max="14" width="20.42578125" style="38" bestFit="1" customWidth="1"/>
    <col min="15" max="16384" width="9.28515625" style="38"/>
  </cols>
  <sheetData>
    <row r="1" spans="1:14" x14ac:dyDescent="0.25">
      <c r="H1" s="2"/>
      <c r="I1" s="2"/>
      <c r="J1" s="2"/>
      <c r="K1" s="2"/>
      <c r="L1" s="2"/>
    </row>
    <row r="2" spans="1:14" x14ac:dyDescent="0.25">
      <c r="B2" s="584" t="s">
        <v>16</v>
      </c>
      <c r="C2" s="584"/>
      <c r="D2" s="584"/>
      <c r="E2" s="584"/>
      <c r="F2" s="584"/>
      <c r="G2" s="584"/>
      <c r="H2" s="584"/>
      <c r="I2" s="584"/>
      <c r="J2" s="584"/>
      <c r="K2" s="584"/>
      <c r="L2" s="2"/>
    </row>
    <row r="3" spans="1:14" x14ac:dyDescent="0.25">
      <c r="B3" s="584" t="s">
        <v>778</v>
      </c>
      <c r="C3" s="584"/>
      <c r="D3" s="584"/>
      <c r="E3" s="584"/>
      <c r="F3" s="584"/>
      <c r="G3" s="584"/>
      <c r="H3" s="584"/>
      <c r="I3" s="584"/>
      <c r="J3" s="584"/>
      <c r="K3" s="584"/>
      <c r="L3" s="2"/>
    </row>
    <row r="4" spans="1:14" x14ac:dyDescent="0.25">
      <c r="B4" s="584" t="s">
        <v>28</v>
      </c>
      <c r="C4" s="584"/>
      <c r="D4" s="584"/>
      <c r="E4" s="584"/>
      <c r="F4" s="584"/>
      <c r="G4" s="584"/>
      <c r="H4" s="584"/>
      <c r="I4" s="584"/>
      <c r="J4" s="584"/>
      <c r="K4" s="584"/>
      <c r="L4" s="2"/>
    </row>
    <row r="5" spans="1:14" x14ac:dyDescent="0.25">
      <c r="B5" s="586" t="str">
        <f>'Stmt AD'!B5</f>
        <v>Base Period &amp; True-Up Period 12 - Months Ending  December 31, xxxx</v>
      </c>
      <c r="C5" s="586"/>
      <c r="D5" s="586"/>
      <c r="E5" s="586"/>
      <c r="F5" s="586"/>
      <c r="G5" s="586"/>
      <c r="H5" s="586"/>
      <c r="I5" s="586"/>
      <c r="J5" s="586"/>
      <c r="K5" s="586"/>
      <c r="L5" s="2"/>
    </row>
    <row r="6" spans="1:14" x14ac:dyDescent="0.25">
      <c r="B6" s="580" t="s">
        <v>1</v>
      </c>
      <c r="C6" s="581"/>
      <c r="D6" s="581"/>
      <c r="E6" s="581"/>
      <c r="F6" s="581"/>
      <c r="G6" s="581"/>
      <c r="H6" s="581"/>
      <c r="I6" s="581"/>
      <c r="J6" s="581"/>
      <c r="K6" s="581"/>
      <c r="L6" s="2"/>
    </row>
    <row r="7" spans="1:14" x14ac:dyDescent="0.25">
      <c r="B7" s="2"/>
      <c r="C7" s="2"/>
      <c r="D7" s="2"/>
      <c r="E7" s="2"/>
      <c r="F7" s="2"/>
      <c r="G7" s="2"/>
      <c r="H7" s="2"/>
      <c r="I7" s="2"/>
      <c r="J7" s="2"/>
      <c r="K7" s="2"/>
      <c r="L7" s="2"/>
    </row>
    <row r="8" spans="1:14" x14ac:dyDescent="0.25">
      <c r="A8" s="2" t="s">
        <v>2</v>
      </c>
      <c r="B8" s="165"/>
      <c r="C8" s="2" t="s">
        <v>248</v>
      </c>
      <c r="D8" s="165"/>
      <c r="E8" s="41" t="s">
        <v>3</v>
      </c>
      <c r="F8" s="2"/>
      <c r="G8" s="41" t="s">
        <v>4</v>
      </c>
      <c r="H8" s="2"/>
      <c r="I8" s="41" t="s">
        <v>5</v>
      </c>
      <c r="J8" s="2"/>
      <c r="K8" s="2"/>
      <c r="L8" s="2" t="s">
        <v>2</v>
      </c>
    </row>
    <row r="9" spans="1:14" x14ac:dyDescent="0.25">
      <c r="A9" s="2" t="s">
        <v>18</v>
      </c>
      <c r="C9" s="42" t="s">
        <v>246</v>
      </c>
      <c r="E9" s="200" t="str">
        <f>'Stmt AD'!E9</f>
        <v>31-Dec-xx</v>
      </c>
      <c r="F9" s="165"/>
      <c r="G9" s="200" t="str">
        <f>'Stmt AD'!G9</f>
        <v>31-Dec-xx</v>
      </c>
      <c r="H9" s="165"/>
      <c r="I9" s="189" t="s">
        <v>6</v>
      </c>
      <c r="J9" s="165"/>
      <c r="K9" s="42" t="s">
        <v>7</v>
      </c>
      <c r="L9" s="2" t="s">
        <v>18</v>
      </c>
    </row>
    <row r="10" spans="1:14" x14ac:dyDescent="0.25">
      <c r="H10" s="2"/>
      <c r="I10" s="2"/>
      <c r="J10" s="2"/>
      <c r="K10" s="2"/>
      <c r="L10" s="2"/>
    </row>
    <row r="11" spans="1:14" s="179" customFormat="1" x14ac:dyDescent="0.25">
      <c r="A11" s="2">
        <v>1</v>
      </c>
      <c r="B11" s="38" t="s">
        <v>355</v>
      </c>
      <c r="C11" s="2" t="s">
        <v>411</v>
      </c>
      <c r="D11" s="38"/>
      <c r="E11" s="81">
        <f>'AF-1'!I18</f>
        <v>0</v>
      </c>
      <c r="F11" s="38"/>
      <c r="G11" s="82">
        <f>'AF-2'!I18</f>
        <v>0</v>
      </c>
      <c r="H11" s="2"/>
      <c r="I11" s="43">
        <f>(E11+G11)/2</f>
        <v>0</v>
      </c>
      <c r="J11" s="2"/>
      <c r="K11" s="2" t="s">
        <v>717</v>
      </c>
      <c r="L11" s="2">
        <f>A11</f>
        <v>1</v>
      </c>
      <c r="M11" s="38"/>
    </row>
    <row r="12" spans="1:14" s="179" customFormat="1" x14ac:dyDescent="0.25">
      <c r="A12" s="2">
        <f>A11+1</f>
        <v>2</v>
      </c>
      <c r="B12" s="38"/>
      <c r="C12" s="38"/>
      <c r="D12" s="38"/>
      <c r="E12" s="38"/>
      <c r="F12" s="38"/>
      <c r="G12" s="38"/>
      <c r="H12" s="2"/>
      <c r="I12" s="2"/>
      <c r="J12" s="2"/>
      <c r="K12" s="2"/>
      <c r="L12" s="2">
        <f>L11+1</f>
        <v>2</v>
      </c>
    </row>
    <row r="13" spans="1:14" s="179" customFormat="1" x14ac:dyDescent="0.25">
      <c r="A13" s="2">
        <f>A12+1</f>
        <v>3</v>
      </c>
      <c r="B13" s="38" t="s">
        <v>483</v>
      </c>
      <c r="C13" s="2" t="s">
        <v>258</v>
      </c>
      <c r="D13" s="38"/>
      <c r="E13" s="470">
        <f>'AF-1'!I25</f>
        <v>0</v>
      </c>
      <c r="F13" s="38"/>
      <c r="G13" s="471">
        <f>'AF-2'!I25</f>
        <v>0</v>
      </c>
      <c r="H13" s="2"/>
      <c r="I13" s="83">
        <f>(E13+G13)/2</f>
        <v>0</v>
      </c>
      <c r="J13" s="2"/>
      <c r="K13" s="2" t="s">
        <v>718</v>
      </c>
      <c r="L13" s="2">
        <f>L12+1</f>
        <v>3</v>
      </c>
      <c r="M13" s="38"/>
    </row>
    <row r="14" spans="1:14" s="179" customFormat="1" x14ac:dyDescent="0.25">
      <c r="A14" s="2">
        <f t="shared" ref="A14:A15" si="0">A13+1</f>
        <v>4</v>
      </c>
      <c r="B14" s="38"/>
      <c r="C14" s="38"/>
      <c r="D14" s="38"/>
      <c r="E14" s="38"/>
      <c r="F14" s="38"/>
      <c r="G14" s="38"/>
      <c r="H14" s="2"/>
      <c r="I14" s="2"/>
      <c r="J14" s="2"/>
      <c r="K14" s="2"/>
      <c r="L14" s="2">
        <f t="shared" ref="L14:L20" si="1">L13+1</f>
        <v>4</v>
      </c>
      <c r="M14" s="38"/>
    </row>
    <row r="15" spans="1:14" s="179" customFormat="1" x14ac:dyDescent="0.25">
      <c r="A15" s="2">
        <f t="shared" si="0"/>
        <v>5</v>
      </c>
      <c r="B15" s="38" t="s">
        <v>250</v>
      </c>
      <c r="C15" s="2" t="s">
        <v>412</v>
      </c>
      <c r="D15" s="38"/>
      <c r="E15" s="84">
        <f>'AF-1'!I33</f>
        <v>0</v>
      </c>
      <c r="F15" s="38"/>
      <c r="G15" s="84">
        <f>'AF-2'!I33</f>
        <v>0</v>
      </c>
      <c r="H15" s="2"/>
      <c r="I15" s="85">
        <f>(E15+G15)/2</f>
        <v>0</v>
      </c>
      <c r="J15" s="2"/>
      <c r="K15" s="2" t="s">
        <v>719</v>
      </c>
      <c r="L15" s="2">
        <f t="shared" si="1"/>
        <v>5</v>
      </c>
      <c r="M15" s="38"/>
      <c r="N15" s="38"/>
    </row>
    <row r="16" spans="1:14" x14ac:dyDescent="0.25">
      <c r="A16" s="2">
        <f>A15+1</f>
        <v>6</v>
      </c>
      <c r="E16" s="43"/>
      <c r="F16" s="43"/>
      <c r="G16" s="43"/>
      <c r="I16" s="43"/>
      <c r="J16" s="2"/>
      <c r="K16" s="2"/>
      <c r="L16" s="2">
        <f>L15+1</f>
        <v>6</v>
      </c>
    </row>
    <row r="17" spans="1:13" ht="19.5" thickBot="1" x14ac:dyDescent="0.3">
      <c r="A17" s="2">
        <f t="shared" ref="A17:A19" si="2">A16+1</f>
        <v>7</v>
      </c>
      <c r="B17" s="38" t="s">
        <v>895</v>
      </c>
      <c r="C17" s="2"/>
      <c r="E17" s="47">
        <f>SUM(E11:E15)</f>
        <v>0</v>
      </c>
      <c r="F17" s="86"/>
      <c r="G17" s="47">
        <f>SUM(G11:G15)</f>
        <v>0</v>
      </c>
      <c r="H17" s="86"/>
      <c r="I17" s="47">
        <f>SUM(I11:I15)</f>
        <v>0</v>
      </c>
      <c r="J17" s="2"/>
      <c r="K17" s="57" t="s">
        <v>584</v>
      </c>
      <c r="L17" s="2">
        <f t="shared" si="1"/>
        <v>7</v>
      </c>
    </row>
    <row r="18" spans="1:13" ht="16.5" thickTop="1" x14ac:dyDescent="0.25">
      <c r="A18" s="2">
        <f t="shared" si="2"/>
        <v>8</v>
      </c>
      <c r="J18" s="2"/>
      <c r="K18" s="203"/>
      <c r="L18" s="2">
        <f t="shared" si="1"/>
        <v>8</v>
      </c>
    </row>
    <row r="19" spans="1:13" ht="16.5" thickBot="1" x14ac:dyDescent="0.3">
      <c r="A19" s="2">
        <f t="shared" si="2"/>
        <v>9</v>
      </c>
      <c r="B19" s="38" t="s">
        <v>29</v>
      </c>
      <c r="E19" s="91">
        <v>0</v>
      </c>
      <c r="F19" s="43"/>
      <c r="G19" s="91">
        <v>0</v>
      </c>
      <c r="H19" s="43"/>
      <c r="I19" s="47">
        <f>(E19+G19)/2</f>
        <v>0</v>
      </c>
      <c r="K19" s="2" t="s">
        <v>720</v>
      </c>
      <c r="L19" s="2">
        <f t="shared" si="1"/>
        <v>9</v>
      </c>
    </row>
    <row r="20" spans="1:13" ht="16.5" thickTop="1" x14ac:dyDescent="0.25">
      <c r="A20" s="2">
        <f t="shared" ref="A20:A23" si="3">A19+1</f>
        <v>10</v>
      </c>
      <c r="E20" s="1"/>
      <c r="F20" s="1"/>
      <c r="G20" s="1"/>
      <c r="H20" s="1"/>
      <c r="I20" s="1"/>
      <c r="K20" s="2"/>
      <c r="L20" s="2">
        <f t="shared" si="1"/>
        <v>10</v>
      </c>
    </row>
    <row r="21" spans="1:13" ht="16.5" thickBot="1" x14ac:dyDescent="0.3">
      <c r="A21" s="2">
        <f t="shared" si="3"/>
        <v>11</v>
      </c>
      <c r="B21" s="38" t="s">
        <v>30</v>
      </c>
      <c r="E21" s="91">
        <v>0</v>
      </c>
      <c r="F21" s="87"/>
      <c r="G21" s="91">
        <v>0</v>
      </c>
      <c r="H21" s="87"/>
      <c r="I21" s="47">
        <f>(E21+G21)/2</f>
        <v>0</v>
      </c>
      <c r="K21" s="2" t="s">
        <v>721</v>
      </c>
      <c r="L21" s="2">
        <f t="shared" ref="L21:L23" si="4">L20+1</f>
        <v>11</v>
      </c>
    </row>
    <row r="22" spans="1:13" ht="16.5" thickTop="1" x14ac:dyDescent="0.25">
      <c r="A22" s="2">
        <f t="shared" si="3"/>
        <v>12</v>
      </c>
      <c r="E22" s="1"/>
      <c r="F22" s="1"/>
      <c r="G22" s="1"/>
      <c r="H22" s="1"/>
      <c r="I22" s="1"/>
      <c r="L22" s="2">
        <f t="shared" si="4"/>
        <v>12</v>
      </c>
    </row>
    <row r="23" spans="1:13" ht="16.5" thickBot="1" x14ac:dyDescent="0.3">
      <c r="A23" s="2">
        <f t="shared" si="3"/>
        <v>13</v>
      </c>
      <c r="B23" s="38" t="s">
        <v>31</v>
      </c>
      <c r="E23" s="91">
        <v>0</v>
      </c>
      <c r="F23" s="43"/>
      <c r="G23" s="91">
        <v>0</v>
      </c>
      <c r="H23" s="43"/>
      <c r="I23" s="47">
        <f>(E23+G23)/2</f>
        <v>0</v>
      </c>
      <c r="K23" s="2" t="s">
        <v>722</v>
      </c>
      <c r="L23" s="2">
        <f t="shared" si="4"/>
        <v>13</v>
      </c>
    </row>
    <row r="24" spans="1:13" ht="16.5" thickTop="1" x14ac:dyDescent="0.25">
      <c r="L24" s="2"/>
      <c r="M24" s="210">
        <v>14</v>
      </c>
    </row>
    <row r="25" spans="1:13" ht="16.5" thickBot="1" x14ac:dyDescent="0.3">
      <c r="B25" s="179" t="s">
        <v>1119</v>
      </c>
      <c r="C25" s="179"/>
      <c r="D25" s="179"/>
      <c r="E25" s="559">
        <v>0</v>
      </c>
      <c r="F25" s="551"/>
      <c r="G25" s="559">
        <v>0</v>
      </c>
      <c r="H25" s="179"/>
      <c r="I25" s="552">
        <f>(E25+G25)/2</f>
        <v>0</v>
      </c>
      <c r="J25" s="179"/>
      <c r="K25" s="210" t="s">
        <v>1120</v>
      </c>
      <c r="L25" s="2"/>
      <c r="M25" s="210">
        <f>M24+1</f>
        <v>15</v>
      </c>
    </row>
    <row r="26" spans="1:13" ht="16.5" thickTop="1" x14ac:dyDescent="0.25"/>
    <row r="28" spans="1:13" ht="18.75" x14ac:dyDescent="0.25">
      <c r="A28" s="174">
        <v>1</v>
      </c>
      <c r="B28" s="38" t="s">
        <v>1165</v>
      </c>
    </row>
    <row r="29" spans="1:13" ht="18.75" x14ac:dyDescent="0.25">
      <c r="A29" s="174">
        <v>2</v>
      </c>
      <c r="B29" s="38" t="s">
        <v>889</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tabColor rgb="FFFF0000"/>
    <pageSetUpPr fitToPage="1"/>
  </sheetPr>
  <dimension ref="A2:M43"/>
  <sheetViews>
    <sheetView zoomScale="80" zoomScaleNormal="80" workbookViewId="0"/>
  </sheetViews>
  <sheetFormatPr defaultColWidth="8.5703125" defaultRowHeight="15.75" x14ac:dyDescent="0.25"/>
  <cols>
    <col min="1" max="1" width="5.5703125" style="2" customWidth="1"/>
    <col min="2" max="2" width="52.28515625" style="38" customWidth="1"/>
    <col min="3" max="3" width="16.7109375" style="38" customWidth="1"/>
    <col min="4" max="4" width="1.5703125" style="38" customWidth="1"/>
    <col min="5" max="5" width="20.42578125" style="38" customWidth="1"/>
    <col min="6" max="6" width="1.5703125" style="38" customWidth="1"/>
    <col min="7" max="7" width="20.42578125" style="38" customWidth="1"/>
    <col min="8" max="8" width="1.5703125" style="38" customWidth="1"/>
    <col min="9" max="9" width="23.42578125" style="38" bestFit="1" customWidth="1"/>
    <col min="10" max="10" width="62.5703125" style="38" customWidth="1"/>
    <col min="11" max="11" width="5.42578125" style="2" customWidth="1"/>
    <col min="12" max="16384" width="8.5703125" style="38"/>
  </cols>
  <sheetData>
    <row r="2" spans="1:13" x14ac:dyDescent="0.25">
      <c r="B2" s="584" t="s">
        <v>16</v>
      </c>
      <c r="C2" s="584"/>
      <c r="D2" s="584"/>
      <c r="E2" s="584"/>
      <c r="F2" s="584"/>
      <c r="G2" s="584"/>
      <c r="H2" s="584"/>
      <c r="I2" s="584"/>
      <c r="J2" s="584"/>
    </row>
    <row r="3" spans="1:13" x14ac:dyDescent="0.25">
      <c r="B3" s="584" t="s">
        <v>251</v>
      </c>
      <c r="C3" s="584"/>
      <c r="D3" s="584"/>
      <c r="E3" s="584"/>
      <c r="F3" s="584"/>
      <c r="G3" s="584"/>
      <c r="H3" s="584"/>
      <c r="I3" s="584"/>
      <c r="J3" s="584"/>
    </row>
    <row r="4" spans="1:13" x14ac:dyDescent="0.25">
      <c r="B4" s="584" t="s">
        <v>255</v>
      </c>
      <c r="C4" s="584"/>
      <c r="D4" s="584"/>
      <c r="E4" s="584"/>
      <c r="F4" s="584"/>
      <c r="G4" s="584"/>
      <c r="H4" s="584"/>
      <c r="I4" s="584"/>
      <c r="J4" s="584"/>
    </row>
    <row r="5" spans="1:13" x14ac:dyDescent="0.25">
      <c r="B5" s="584" t="s">
        <v>1140</v>
      </c>
      <c r="C5" s="584"/>
      <c r="D5" s="584"/>
      <c r="E5" s="584"/>
      <c r="F5" s="584"/>
      <c r="G5" s="584"/>
      <c r="H5" s="584"/>
      <c r="I5" s="584"/>
      <c r="J5" s="584"/>
    </row>
    <row r="6" spans="1:13" ht="15.6" customHeight="1" x14ac:dyDescent="0.25">
      <c r="B6" s="580" t="s">
        <v>1</v>
      </c>
      <c r="C6" s="580"/>
      <c r="D6" s="580"/>
      <c r="E6" s="580"/>
      <c r="F6" s="580"/>
      <c r="G6" s="580"/>
      <c r="H6" s="580"/>
      <c r="I6" s="580"/>
      <c r="J6" s="580"/>
    </row>
    <row r="8" spans="1:13" x14ac:dyDescent="0.25">
      <c r="B8" s="1"/>
      <c r="C8" s="188" t="s">
        <v>3</v>
      </c>
      <c r="D8" s="188"/>
      <c r="E8" s="188" t="s">
        <v>4</v>
      </c>
      <c r="F8" s="188"/>
      <c r="G8" s="188" t="s">
        <v>98</v>
      </c>
      <c r="H8" s="188"/>
      <c r="I8" s="188" t="s">
        <v>712</v>
      </c>
      <c r="J8" s="188"/>
    </row>
    <row r="9" spans="1:13" ht="18.75" x14ac:dyDescent="0.25">
      <c r="A9" s="2" t="s">
        <v>2</v>
      </c>
      <c r="B9" s="1"/>
      <c r="C9" s="188" t="s">
        <v>713</v>
      </c>
      <c r="D9" s="188"/>
      <c r="E9" s="188" t="s">
        <v>971</v>
      </c>
      <c r="F9" s="188"/>
      <c r="G9" s="188" t="s">
        <v>972</v>
      </c>
      <c r="H9" s="188"/>
      <c r="I9" s="188"/>
      <c r="J9" s="188"/>
      <c r="K9" s="2" t="s">
        <v>2</v>
      </c>
    </row>
    <row r="10" spans="1:13" x14ac:dyDescent="0.25">
      <c r="A10" s="2" t="s">
        <v>18</v>
      </c>
      <c r="B10" s="213" t="s">
        <v>22</v>
      </c>
      <c r="C10" s="287" t="s">
        <v>714</v>
      </c>
      <c r="D10" s="287"/>
      <c r="E10" s="287" t="s">
        <v>883</v>
      </c>
      <c r="F10" s="374"/>
      <c r="G10" s="287" t="s">
        <v>884</v>
      </c>
      <c r="H10" s="287"/>
      <c r="I10" s="213" t="s">
        <v>20</v>
      </c>
      <c r="J10" s="213" t="s">
        <v>7</v>
      </c>
      <c r="K10" s="2" t="s">
        <v>18</v>
      </c>
    </row>
    <row r="11" spans="1:13" x14ac:dyDescent="0.25">
      <c r="B11" s="1"/>
      <c r="C11" s="204"/>
      <c r="D11" s="204"/>
      <c r="E11" s="204"/>
      <c r="F11" s="204"/>
      <c r="G11" s="204"/>
      <c r="H11" s="204"/>
      <c r="I11" s="175"/>
      <c r="J11" s="175"/>
    </row>
    <row r="12" spans="1:13" x14ac:dyDescent="0.25">
      <c r="A12" s="2">
        <v>1</v>
      </c>
      <c r="B12" s="39" t="s">
        <v>252</v>
      </c>
      <c r="C12" s="90"/>
      <c r="D12" s="90"/>
      <c r="E12" s="90"/>
      <c r="F12" s="90"/>
      <c r="G12" s="90"/>
      <c r="H12" s="90"/>
      <c r="I12" s="175"/>
      <c r="J12" s="175"/>
      <c r="K12" s="2">
        <f>A12</f>
        <v>1</v>
      </c>
    </row>
    <row r="13" spans="1:13" x14ac:dyDescent="0.25">
      <c r="A13" s="2">
        <f>A12+1</f>
        <v>2</v>
      </c>
      <c r="B13" s="39" t="s">
        <v>965</v>
      </c>
      <c r="C13" s="43">
        <v>0</v>
      </c>
      <c r="D13" s="43"/>
      <c r="E13" s="43">
        <f>SUM('Order 864-1'!M15:M17,'Order 864-1'!M19)</f>
        <v>0</v>
      </c>
      <c r="F13" s="43"/>
      <c r="G13" s="43">
        <f>SUM('Order 864-1'!N15:N17,'Order 864-1'!N19)</f>
        <v>0</v>
      </c>
      <c r="H13" s="88"/>
      <c r="I13" s="43">
        <f>SUM(C13:G13)</f>
        <v>0</v>
      </c>
      <c r="J13" s="55" t="s">
        <v>1166</v>
      </c>
      <c r="K13" s="2">
        <f>K12+1</f>
        <v>2</v>
      </c>
    </row>
    <row r="14" spans="1:13" x14ac:dyDescent="0.25">
      <c r="A14" s="2">
        <f>A13+1</f>
        <v>3</v>
      </c>
      <c r="B14" s="39" t="s">
        <v>964</v>
      </c>
      <c r="C14" s="4">
        <v>0</v>
      </c>
      <c r="D14" s="4"/>
      <c r="E14" s="4">
        <f>'Order 864-1'!M27</f>
        <v>0</v>
      </c>
      <c r="F14" s="4"/>
      <c r="G14" s="4">
        <f>'Order 864-1'!N27</f>
        <v>0</v>
      </c>
      <c r="H14" s="4"/>
      <c r="I14" s="4">
        <f>SUM(C14:G14)</f>
        <v>0</v>
      </c>
      <c r="J14" s="55" t="s">
        <v>1166</v>
      </c>
      <c r="K14" s="2">
        <f>K13+1</f>
        <v>3</v>
      </c>
      <c r="L14" s="210"/>
      <c r="M14" s="452"/>
    </row>
    <row r="15" spans="1:13" ht="18.75" x14ac:dyDescent="0.25">
      <c r="A15" s="2">
        <f>A14+1</f>
        <v>4</v>
      </c>
      <c r="B15" s="212" t="s">
        <v>1012</v>
      </c>
      <c r="C15" s="4">
        <v>0</v>
      </c>
      <c r="D15" s="43"/>
      <c r="E15" s="4">
        <v>0</v>
      </c>
      <c r="F15" s="43"/>
      <c r="G15" s="4">
        <v>0</v>
      </c>
      <c r="H15" s="88"/>
      <c r="I15" s="4">
        <f>SUM(C15:G15)</f>
        <v>0</v>
      </c>
      <c r="J15" s="451" t="s">
        <v>1013</v>
      </c>
      <c r="K15" s="2">
        <f t="shared" ref="K15:K17" si="0">K14+1</f>
        <v>4</v>
      </c>
      <c r="L15" s="210"/>
      <c r="M15" s="452"/>
    </row>
    <row r="16" spans="1:13" x14ac:dyDescent="0.25">
      <c r="A16" s="2">
        <f>A15+1</f>
        <v>5</v>
      </c>
      <c r="B16" s="39"/>
      <c r="C16" s="4">
        <v>0</v>
      </c>
      <c r="D16" s="4"/>
      <c r="E16" s="4">
        <v>0</v>
      </c>
      <c r="F16" s="4"/>
      <c r="G16" s="4">
        <v>0</v>
      </c>
      <c r="H16" s="4"/>
      <c r="I16" s="4">
        <f>SUM(C16:G16)</f>
        <v>0</v>
      </c>
      <c r="J16" s="4"/>
      <c r="K16" s="2">
        <f t="shared" si="0"/>
        <v>5</v>
      </c>
      <c r="L16" s="210"/>
    </row>
    <row r="17" spans="1:12" x14ac:dyDescent="0.25">
      <c r="A17" s="2">
        <f t="shared" ref="A17:A35" si="1">A16+1</f>
        <v>6</v>
      </c>
      <c r="C17" s="4">
        <v>0</v>
      </c>
      <c r="D17" s="4"/>
      <c r="E17" s="4">
        <v>0</v>
      </c>
      <c r="F17" s="4"/>
      <c r="G17" s="4">
        <v>0</v>
      </c>
      <c r="H17" s="4"/>
      <c r="I17" s="4">
        <f>SUM(C17:G17)</f>
        <v>0</v>
      </c>
      <c r="J17" s="4"/>
      <c r="K17" s="2">
        <f t="shared" si="0"/>
        <v>6</v>
      </c>
      <c r="L17" s="210"/>
    </row>
    <row r="18" spans="1:12" ht="16.5" thickBot="1" x14ac:dyDescent="0.3">
      <c r="A18" s="2">
        <f t="shared" si="1"/>
        <v>7</v>
      </c>
      <c r="B18" s="205" t="s">
        <v>417</v>
      </c>
      <c r="C18" s="89">
        <f>SUM(C13:C17)</f>
        <v>0</v>
      </c>
      <c r="D18" s="4"/>
      <c r="E18" s="89">
        <f>SUM(E13:E17)</f>
        <v>0</v>
      </c>
      <c r="F18" s="53"/>
      <c r="G18" s="89">
        <f>SUM(G13:G17)</f>
        <v>0</v>
      </c>
      <c r="H18" s="4"/>
      <c r="I18" s="89">
        <f>SUM(I13:I17)</f>
        <v>0</v>
      </c>
      <c r="J18" s="55" t="s">
        <v>574</v>
      </c>
      <c r="K18" s="2">
        <f t="shared" ref="K18:K35" si="2">K17+1</f>
        <v>7</v>
      </c>
    </row>
    <row r="19" spans="1:12" ht="16.5" thickTop="1" x14ac:dyDescent="0.25">
      <c r="A19" s="2">
        <f t="shared" si="1"/>
        <v>8</v>
      </c>
      <c r="C19" s="83"/>
      <c r="D19" s="83"/>
      <c r="E19" s="83"/>
      <c r="F19" s="83"/>
      <c r="G19" s="83"/>
      <c r="H19" s="83"/>
      <c r="I19" s="83"/>
      <c r="J19" s="83"/>
      <c r="K19" s="2">
        <f t="shared" si="2"/>
        <v>8</v>
      </c>
    </row>
    <row r="20" spans="1:12" x14ac:dyDescent="0.25">
      <c r="A20" s="2">
        <f t="shared" si="1"/>
        <v>9</v>
      </c>
      <c r="B20" s="39" t="s">
        <v>253</v>
      </c>
      <c r="C20" s="90"/>
      <c r="D20" s="90"/>
      <c r="E20" s="90"/>
      <c r="F20" s="90"/>
      <c r="G20" s="90"/>
      <c r="H20" s="90"/>
      <c r="I20" s="175"/>
      <c r="J20" s="175"/>
      <c r="K20" s="2">
        <f t="shared" si="2"/>
        <v>9</v>
      </c>
    </row>
    <row r="21" spans="1:12" x14ac:dyDescent="0.25">
      <c r="A21" s="2">
        <f t="shared" si="1"/>
        <v>10</v>
      </c>
      <c r="B21" s="369" t="s">
        <v>964</v>
      </c>
      <c r="C21" s="43">
        <v>0</v>
      </c>
      <c r="D21" s="43"/>
      <c r="E21" s="43">
        <f>SUM('Order 864-1'!M29:M31,'Order 864-1'!M38,'Order 864-1'!M41)</f>
        <v>0</v>
      </c>
      <c r="F21" s="43"/>
      <c r="G21" s="43">
        <f>SUM('Order 864-1'!N29:N31,'Order 864-1'!N38,'Order 864-1'!N41)</f>
        <v>0</v>
      </c>
      <c r="H21" s="43"/>
      <c r="I21" s="43">
        <f t="shared" ref="I21:I24" si="3">SUM(C21:G21)</f>
        <v>0</v>
      </c>
      <c r="J21" s="55" t="s">
        <v>247</v>
      </c>
      <c r="K21" s="2">
        <f t="shared" si="2"/>
        <v>10</v>
      </c>
    </row>
    <row r="22" spans="1:12" ht="18.75" x14ac:dyDescent="0.25">
      <c r="A22" s="2">
        <f t="shared" si="1"/>
        <v>11</v>
      </c>
      <c r="B22" s="212" t="s">
        <v>1012</v>
      </c>
      <c r="C22" s="4">
        <v>0</v>
      </c>
      <c r="D22" s="4"/>
      <c r="E22" s="4">
        <v>0</v>
      </c>
      <c r="F22" s="4"/>
      <c r="G22" s="4">
        <v>0</v>
      </c>
      <c r="H22" s="4"/>
      <c r="I22" s="4">
        <f t="shared" si="3"/>
        <v>0</v>
      </c>
      <c r="J22" s="451" t="s">
        <v>1013</v>
      </c>
      <c r="K22" s="2">
        <f t="shared" si="2"/>
        <v>11</v>
      </c>
    </row>
    <row r="23" spans="1:12" x14ac:dyDescent="0.25">
      <c r="A23" s="2">
        <f t="shared" si="1"/>
        <v>12</v>
      </c>
      <c r="B23" s="369"/>
      <c r="C23" s="4">
        <v>0</v>
      </c>
      <c r="D23" s="4"/>
      <c r="E23" s="4">
        <v>0</v>
      </c>
      <c r="F23" s="4"/>
      <c r="G23" s="4">
        <v>0</v>
      </c>
      <c r="H23" s="4"/>
      <c r="I23" s="4">
        <f t="shared" si="3"/>
        <v>0</v>
      </c>
      <c r="J23" s="451"/>
      <c r="K23" s="2">
        <f t="shared" si="2"/>
        <v>12</v>
      </c>
    </row>
    <row r="24" spans="1:12" x14ac:dyDescent="0.25">
      <c r="A24" s="2">
        <f t="shared" si="1"/>
        <v>13</v>
      </c>
      <c r="B24" s="369"/>
      <c r="C24" s="4">
        <v>0</v>
      </c>
      <c r="D24" s="4"/>
      <c r="E24" s="4">
        <v>0</v>
      </c>
      <c r="F24" s="4"/>
      <c r="G24" s="4">
        <v>0</v>
      </c>
      <c r="H24" s="4"/>
      <c r="I24" s="4">
        <f t="shared" si="3"/>
        <v>0</v>
      </c>
      <c r="J24" s="451"/>
      <c r="K24" s="2">
        <f t="shared" si="2"/>
        <v>13</v>
      </c>
    </row>
    <row r="25" spans="1:12" ht="16.5" thickBot="1" x14ac:dyDescent="0.3">
      <c r="A25" s="2">
        <f t="shared" si="1"/>
        <v>14</v>
      </c>
      <c r="B25" s="205" t="s">
        <v>418</v>
      </c>
      <c r="C25" s="89">
        <f>SUM(C21:C24)</f>
        <v>0</v>
      </c>
      <c r="D25" s="4"/>
      <c r="E25" s="89">
        <f>SUM(E21:E24)</f>
        <v>0</v>
      </c>
      <c r="F25" s="53"/>
      <c r="G25" s="89">
        <f>SUM(G21:G24)</f>
        <v>0</v>
      </c>
      <c r="H25" s="4"/>
      <c r="I25" s="89">
        <f>SUM(I21:I24)</f>
        <v>0</v>
      </c>
      <c r="J25" s="55" t="s">
        <v>715</v>
      </c>
      <c r="K25" s="2">
        <f t="shared" si="2"/>
        <v>14</v>
      </c>
    </row>
    <row r="26" spans="1:12" ht="16.5" thickTop="1" x14ac:dyDescent="0.25">
      <c r="A26" s="2">
        <f t="shared" si="1"/>
        <v>15</v>
      </c>
      <c r="K26" s="2">
        <f t="shared" si="2"/>
        <v>15</v>
      </c>
    </row>
    <row r="27" spans="1:12" x14ac:dyDescent="0.25">
      <c r="A27" s="2">
        <f t="shared" si="1"/>
        <v>16</v>
      </c>
      <c r="B27" s="39" t="s">
        <v>254</v>
      </c>
      <c r="C27" s="90"/>
      <c r="D27" s="90"/>
      <c r="E27" s="90"/>
      <c r="F27" s="90"/>
      <c r="G27" s="90"/>
      <c r="H27" s="90"/>
      <c r="I27" s="175"/>
      <c r="J27" s="2"/>
      <c r="K27" s="2">
        <f t="shared" si="2"/>
        <v>16</v>
      </c>
    </row>
    <row r="28" spans="1:12" x14ac:dyDescent="0.25">
      <c r="A28" s="2">
        <f t="shared" si="1"/>
        <v>17</v>
      </c>
      <c r="B28" s="39" t="s">
        <v>965</v>
      </c>
      <c r="C28" s="43">
        <v>0</v>
      </c>
      <c r="D28" s="43"/>
      <c r="E28" s="43">
        <f>SUM('Order 864-1'!M21:M22)</f>
        <v>0</v>
      </c>
      <c r="F28" s="43"/>
      <c r="G28" s="43">
        <f>SUM('Order 864-1'!N21:N22)</f>
        <v>0</v>
      </c>
      <c r="H28" s="88"/>
      <c r="I28" s="43">
        <f>SUM(C28:G28)</f>
        <v>0</v>
      </c>
      <c r="J28" s="55" t="s">
        <v>1167</v>
      </c>
      <c r="K28" s="2">
        <f t="shared" si="2"/>
        <v>17</v>
      </c>
    </row>
    <row r="29" spans="1:12" ht="18.75" x14ac:dyDescent="0.25">
      <c r="A29" s="2">
        <f t="shared" si="1"/>
        <v>18</v>
      </c>
      <c r="B29" s="212" t="s">
        <v>1012</v>
      </c>
      <c r="C29" s="4">
        <v>0</v>
      </c>
      <c r="D29" s="4"/>
      <c r="E29" s="4">
        <v>0</v>
      </c>
      <c r="F29" s="4"/>
      <c r="G29" s="4">
        <v>0</v>
      </c>
      <c r="H29" s="4"/>
      <c r="I29" s="4">
        <f>SUM(C29:G29)</f>
        <v>0</v>
      </c>
      <c r="J29" s="451" t="s">
        <v>1013</v>
      </c>
      <c r="K29" s="2">
        <f t="shared" si="2"/>
        <v>18</v>
      </c>
    </row>
    <row r="30" spans="1:12" x14ac:dyDescent="0.25">
      <c r="A30" s="2">
        <f t="shared" si="1"/>
        <v>19</v>
      </c>
      <c r="B30" s="39"/>
      <c r="C30" s="4">
        <v>0</v>
      </c>
      <c r="D30" s="4"/>
      <c r="E30" s="4">
        <v>0</v>
      </c>
      <c r="F30" s="4"/>
      <c r="G30" s="4">
        <v>0</v>
      </c>
      <c r="H30" s="4"/>
      <c r="I30" s="4">
        <f>SUM(C30:G30)</f>
        <v>0</v>
      </c>
      <c r="J30" s="4"/>
      <c r="K30" s="2">
        <f t="shared" si="2"/>
        <v>19</v>
      </c>
    </row>
    <row r="31" spans="1:12" x14ac:dyDescent="0.25">
      <c r="A31" s="2">
        <f t="shared" si="1"/>
        <v>20</v>
      </c>
      <c r="B31" s="39"/>
      <c r="C31" s="4">
        <v>0</v>
      </c>
      <c r="D31" s="4"/>
      <c r="E31" s="4">
        <v>0</v>
      </c>
      <c r="F31" s="4"/>
      <c r="G31" s="4">
        <v>0</v>
      </c>
      <c r="H31" s="4"/>
      <c r="I31" s="4">
        <f>SUM(C31:G31)</f>
        <v>0</v>
      </c>
      <c r="J31" s="4"/>
      <c r="K31" s="2">
        <f t="shared" si="2"/>
        <v>20</v>
      </c>
    </row>
    <row r="32" spans="1:12" x14ac:dyDescent="0.25">
      <c r="A32" s="2">
        <f t="shared" si="1"/>
        <v>21</v>
      </c>
      <c r="B32" s="39"/>
      <c r="C32" s="4">
        <v>0</v>
      </c>
      <c r="D32" s="4"/>
      <c r="E32" s="4">
        <v>0</v>
      </c>
      <c r="F32" s="4"/>
      <c r="G32" s="4">
        <v>0</v>
      </c>
      <c r="H32" s="4"/>
      <c r="I32" s="4">
        <f>SUM(C32:G32)</f>
        <v>0</v>
      </c>
      <c r="J32" s="4"/>
      <c r="K32" s="2">
        <f t="shared" si="2"/>
        <v>21</v>
      </c>
    </row>
    <row r="33" spans="1:11" ht="16.5" thickBot="1" x14ac:dyDescent="0.3">
      <c r="A33" s="2">
        <f t="shared" si="1"/>
        <v>22</v>
      </c>
      <c r="B33" s="205" t="s">
        <v>419</v>
      </c>
      <c r="C33" s="89">
        <f>SUM(C28:C32)</f>
        <v>0</v>
      </c>
      <c r="D33" s="4"/>
      <c r="E33" s="89">
        <f>SUM(E28:E32)</f>
        <v>0</v>
      </c>
      <c r="F33" s="53"/>
      <c r="G33" s="89">
        <f>SUM(G28:G32)</f>
        <v>0</v>
      </c>
      <c r="H33" s="4"/>
      <c r="I33" s="89">
        <f>SUM(I28:I32)</f>
        <v>0</v>
      </c>
      <c r="J33" s="55" t="s">
        <v>716</v>
      </c>
      <c r="K33" s="2">
        <f t="shared" si="2"/>
        <v>22</v>
      </c>
    </row>
    <row r="34" spans="1:11" ht="16.5" thickTop="1" x14ac:dyDescent="0.25">
      <c r="A34" s="2">
        <f t="shared" si="1"/>
        <v>23</v>
      </c>
      <c r="K34" s="2">
        <f t="shared" si="2"/>
        <v>23</v>
      </c>
    </row>
    <row r="35" spans="1:11" ht="19.5" thickBot="1" x14ac:dyDescent="0.3">
      <c r="A35" s="2">
        <f t="shared" si="1"/>
        <v>24</v>
      </c>
      <c r="B35" s="1" t="s">
        <v>970</v>
      </c>
      <c r="C35" s="89">
        <f>+C18+C25+C33</f>
        <v>0</v>
      </c>
      <c r="D35" s="43"/>
      <c r="E35" s="89">
        <f>+E18+E25+E33</f>
        <v>0</v>
      </c>
      <c r="F35" s="53"/>
      <c r="G35" s="89">
        <f>+G18+G25+G33</f>
        <v>0</v>
      </c>
      <c r="H35" s="43"/>
      <c r="I35" s="89">
        <f>+I18+I25+I33</f>
        <v>0</v>
      </c>
      <c r="J35" s="55" t="s">
        <v>876</v>
      </c>
      <c r="K35" s="2">
        <f t="shared" si="2"/>
        <v>24</v>
      </c>
    </row>
    <row r="36" spans="1:11" ht="16.5" thickTop="1" x14ac:dyDescent="0.25">
      <c r="E36" s="43"/>
      <c r="I36" s="43"/>
    </row>
    <row r="37" spans="1:11" x14ac:dyDescent="0.25">
      <c r="E37" s="43"/>
      <c r="I37" s="43"/>
    </row>
    <row r="38" spans="1:11" ht="18.75" x14ac:dyDescent="0.25">
      <c r="A38" s="174">
        <v>1</v>
      </c>
      <c r="B38" s="38" t="s">
        <v>888</v>
      </c>
    </row>
    <row r="39" spans="1:11" ht="18.75" x14ac:dyDescent="0.25">
      <c r="A39" s="174">
        <v>2</v>
      </c>
      <c r="B39" s="38" t="s">
        <v>962</v>
      </c>
    </row>
    <row r="40" spans="1:11" ht="18.75" x14ac:dyDescent="0.25">
      <c r="A40" s="174">
        <v>3</v>
      </c>
      <c r="B40" s="38" t="s">
        <v>963</v>
      </c>
    </row>
    <row r="41" spans="1:11" ht="18.75" x14ac:dyDescent="0.25">
      <c r="A41" s="174">
        <v>4</v>
      </c>
      <c r="B41" s="38" t="s">
        <v>1157</v>
      </c>
    </row>
    <row r="42" spans="1:11" ht="18.75" x14ac:dyDescent="0.25">
      <c r="A42" s="174"/>
      <c r="B42" s="38" t="s">
        <v>1158</v>
      </c>
    </row>
    <row r="43" spans="1:11" ht="18.75" x14ac:dyDescent="0.25">
      <c r="A43" s="527">
        <v>5</v>
      </c>
      <c r="B43" s="179" t="s">
        <v>1014</v>
      </c>
    </row>
  </sheetData>
  <mergeCells count="5">
    <mergeCell ref="B2:J2"/>
    <mergeCell ref="B3:J3"/>
    <mergeCell ref="B4:J4"/>
    <mergeCell ref="B5:J5"/>
    <mergeCell ref="B6:J6"/>
  </mergeCells>
  <phoneticPr fontId="48" type="noConversion"/>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tabColor rgb="FFFF0000"/>
    <pageSetUpPr fitToPage="1"/>
  </sheetPr>
  <dimension ref="A2:K43"/>
  <sheetViews>
    <sheetView zoomScale="80" zoomScaleNormal="80" workbookViewId="0"/>
  </sheetViews>
  <sheetFormatPr defaultColWidth="8.5703125" defaultRowHeight="15.75" x14ac:dyDescent="0.25"/>
  <cols>
    <col min="1" max="1" width="5.42578125" style="2" customWidth="1"/>
    <col min="2" max="2" width="52.28515625" style="38" customWidth="1"/>
    <col min="3" max="3" width="16.7109375" style="38" customWidth="1"/>
    <col min="4" max="4" width="1.5703125" style="38" customWidth="1"/>
    <col min="5" max="5" width="20.42578125" style="38" customWidth="1"/>
    <col min="6" max="6" width="1.5703125" style="38" customWidth="1"/>
    <col min="7" max="7" width="20.42578125" style="38" customWidth="1"/>
    <col min="8" max="8" width="1.5703125" style="38" customWidth="1"/>
    <col min="9" max="9" width="23.42578125" style="38" bestFit="1" customWidth="1"/>
    <col min="10" max="10" width="62.5703125" style="38" customWidth="1"/>
    <col min="11" max="11" width="5.42578125" style="2" customWidth="1"/>
    <col min="12" max="16384" width="8.5703125" style="38"/>
  </cols>
  <sheetData>
    <row r="2" spans="1:11" x14ac:dyDescent="0.25">
      <c r="B2" s="584" t="s">
        <v>16</v>
      </c>
      <c r="C2" s="584"/>
      <c r="D2" s="584"/>
      <c r="E2" s="584"/>
      <c r="F2" s="584"/>
      <c r="G2" s="584"/>
      <c r="H2" s="584"/>
      <c r="I2" s="584"/>
      <c r="J2" s="584"/>
    </row>
    <row r="3" spans="1:11" x14ac:dyDescent="0.25">
      <c r="B3" s="584" t="s">
        <v>251</v>
      </c>
      <c r="C3" s="584"/>
      <c r="D3" s="584"/>
      <c r="E3" s="584"/>
      <c r="F3" s="584"/>
      <c r="G3" s="584"/>
      <c r="H3" s="584"/>
      <c r="I3" s="584"/>
      <c r="J3" s="584"/>
    </row>
    <row r="4" spans="1:11" x14ac:dyDescent="0.25">
      <c r="B4" s="584" t="s">
        <v>255</v>
      </c>
      <c r="C4" s="584"/>
      <c r="D4" s="584"/>
      <c r="E4" s="584"/>
      <c r="F4" s="584"/>
      <c r="G4" s="584"/>
      <c r="H4" s="584"/>
      <c r="I4" s="584"/>
      <c r="J4" s="584"/>
    </row>
    <row r="5" spans="1:11" x14ac:dyDescent="0.25">
      <c r="B5" s="584" t="s">
        <v>1141</v>
      </c>
      <c r="C5" s="584"/>
      <c r="D5" s="584"/>
      <c r="E5" s="584"/>
      <c r="F5" s="584"/>
      <c r="G5" s="584"/>
      <c r="H5" s="584"/>
      <c r="I5" s="584"/>
      <c r="J5" s="584"/>
    </row>
    <row r="6" spans="1:11" ht="15.6" customHeight="1" x14ac:dyDescent="0.25">
      <c r="B6" s="580" t="s">
        <v>1</v>
      </c>
      <c r="C6" s="580"/>
      <c r="D6" s="580"/>
      <c r="E6" s="580"/>
      <c r="F6" s="580"/>
      <c r="G6" s="580"/>
      <c r="H6" s="580"/>
      <c r="I6" s="580"/>
      <c r="J6" s="580"/>
    </row>
    <row r="8" spans="1:11" x14ac:dyDescent="0.25">
      <c r="B8" s="1"/>
      <c r="C8" s="188" t="s">
        <v>3</v>
      </c>
      <c r="D8" s="188"/>
      <c r="E8" s="188" t="s">
        <v>4</v>
      </c>
      <c r="F8" s="188"/>
      <c r="G8" s="188" t="s">
        <v>98</v>
      </c>
      <c r="H8" s="188"/>
      <c r="I8" s="188" t="s">
        <v>712</v>
      </c>
      <c r="J8" s="188"/>
    </row>
    <row r="9" spans="1:11" ht="18.75" x14ac:dyDescent="0.25">
      <c r="A9" s="2" t="s">
        <v>2</v>
      </c>
      <c r="B9" s="1"/>
      <c r="C9" s="188" t="s">
        <v>713</v>
      </c>
      <c r="D9" s="188"/>
      <c r="E9" s="188" t="s">
        <v>971</v>
      </c>
      <c r="F9" s="188"/>
      <c r="G9" s="188" t="s">
        <v>972</v>
      </c>
      <c r="H9" s="188"/>
      <c r="I9" s="188"/>
      <c r="J9" s="188"/>
      <c r="K9" s="2" t="s">
        <v>2</v>
      </c>
    </row>
    <row r="10" spans="1:11" x14ac:dyDescent="0.25">
      <c r="A10" s="2" t="s">
        <v>18</v>
      </c>
      <c r="B10" s="213" t="s">
        <v>22</v>
      </c>
      <c r="C10" s="287" t="s">
        <v>714</v>
      </c>
      <c r="D10" s="287"/>
      <c r="E10" s="287" t="s">
        <v>883</v>
      </c>
      <c r="F10" s="374"/>
      <c r="G10" s="287" t="s">
        <v>884</v>
      </c>
      <c r="H10" s="287"/>
      <c r="I10" s="213" t="s">
        <v>20</v>
      </c>
      <c r="J10" s="213" t="s">
        <v>7</v>
      </c>
      <c r="K10" s="2" t="s">
        <v>18</v>
      </c>
    </row>
    <row r="11" spans="1:11" x14ac:dyDescent="0.25">
      <c r="B11" s="1"/>
      <c r="C11" s="204"/>
      <c r="D11" s="204"/>
      <c r="E11" s="204"/>
      <c r="F11" s="204"/>
      <c r="G11" s="204"/>
      <c r="H11" s="204"/>
      <c r="I11" s="175"/>
      <c r="J11" s="175"/>
    </row>
    <row r="12" spans="1:11" x14ac:dyDescent="0.25">
      <c r="A12" s="2">
        <v>1</v>
      </c>
      <c r="B12" s="39" t="s">
        <v>252</v>
      </c>
      <c r="C12" s="90"/>
      <c r="D12" s="90"/>
      <c r="E12" s="90"/>
      <c r="F12" s="90"/>
      <c r="G12" s="90"/>
      <c r="H12" s="90"/>
      <c r="I12" s="175"/>
      <c r="J12" s="175"/>
      <c r="K12" s="2">
        <f>A12</f>
        <v>1</v>
      </c>
    </row>
    <row r="13" spans="1:11" x14ac:dyDescent="0.25">
      <c r="A13" s="2">
        <f>A12+1</f>
        <v>2</v>
      </c>
      <c r="B13" s="39" t="s">
        <v>965</v>
      </c>
      <c r="C13" s="43">
        <v>0</v>
      </c>
      <c r="D13" s="43"/>
      <c r="E13" s="43">
        <f>SUM('Order 864-3'!M15:M17,'Order 864-3'!M19)</f>
        <v>0</v>
      </c>
      <c r="F13" s="43"/>
      <c r="G13" s="43">
        <f>SUM('Order 864-3'!N15:N17,'Order 864-3'!N19)</f>
        <v>0</v>
      </c>
      <c r="H13" s="88"/>
      <c r="I13" s="43">
        <f>SUM(C13:G13)</f>
        <v>0</v>
      </c>
      <c r="J13" s="55" t="s">
        <v>1168</v>
      </c>
      <c r="K13" s="2">
        <f>K12+1</f>
        <v>2</v>
      </c>
    </row>
    <row r="14" spans="1:11" x14ac:dyDescent="0.25">
      <c r="A14" s="2">
        <f>A13+1</f>
        <v>3</v>
      </c>
      <c r="B14" s="39" t="s">
        <v>964</v>
      </c>
      <c r="C14" s="4">
        <v>0</v>
      </c>
      <c r="D14" s="4"/>
      <c r="E14" s="4">
        <f>'Order 864-3'!M27</f>
        <v>0</v>
      </c>
      <c r="F14" s="4"/>
      <c r="G14" s="4">
        <f>'Order 864-3'!N27</f>
        <v>0</v>
      </c>
      <c r="H14" s="4"/>
      <c r="I14" s="4">
        <f>SUM(C14:G14)</f>
        <v>0</v>
      </c>
      <c r="J14" s="55" t="s">
        <v>1168</v>
      </c>
      <c r="K14" s="2">
        <f>K13+1</f>
        <v>3</v>
      </c>
    </row>
    <row r="15" spans="1:11" ht="18.75" x14ac:dyDescent="0.25">
      <c r="A15" s="2">
        <f>A14+1</f>
        <v>4</v>
      </c>
      <c r="B15" s="212" t="s">
        <v>1012</v>
      </c>
      <c r="C15" s="4">
        <v>0</v>
      </c>
      <c r="D15" s="43"/>
      <c r="E15" s="4">
        <v>0</v>
      </c>
      <c r="F15" s="43"/>
      <c r="G15" s="4">
        <v>0</v>
      </c>
      <c r="H15" s="88"/>
      <c r="I15" s="4">
        <f>SUM(C15:G15)</f>
        <v>0</v>
      </c>
      <c r="J15" s="451" t="s">
        <v>1013</v>
      </c>
      <c r="K15" s="2">
        <f>K14+1</f>
        <v>4</v>
      </c>
    </row>
    <row r="16" spans="1:11" x14ac:dyDescent="0.25">
      <c r="A16" s="2">
        <f>A15+1</f>
        <v>5</v>
      </c>
      <c r="B16" s="39"/>
      <c r="C16" s="4">
        <v>0</v>
      </c>
      <c r="D16" s="4"/>
      <c r="E16" s="4">
        <v>0</v>
      </c>
      <c r="F16" s="4"/>
      <c r="G16" s="4">
        <v>0</v>
      </c>
      <c r="H16" s="4"/>
      <c r="I16" s="4">
        <f>SUM(C16:G16)</f>
        <v>0</v>
      </c>
      <c r="J16" s="4"/>
      <c r="K16" s="2">
        <f>K15+1</f>
        <v>5</v>
      </c>
    </row>
    <row r="17" spans="1:11" x14ac:dyDescent="0.25">
      <c r="A17" s="2">
        <f>A16+1</f>
        <v>6</v>
      </c>
      <c r="C17" s="4">
        <v>0</v>
      </c>
      <c r="D17" s="4"/>
      <c r="E17" s="4">
        <v>0</v>
      </c>
      <c r="F17" s="4"/>
      <c r="G17" s="4">
        <v>0</v>
      </c>
      <c r="H17" s="4"/>
      <c r="I17" s="4">
        <f>SUM(C17:G17)</f>
        <v>0</v>
      </c>
      <c r="J17" s="4"/>
      <c r="K17" s="2">
        <f>K16+1</f>
        <v>6</v>
      </c>
    </row>
    <row r="18" spans="1:11" ht="16.5" thickBot="1" x14ac:dyDescent="0.3">
      <c r="A18" s="2">
        <f t="shared" ref="A18" si="0">A17+1</f>
        <v>7</v>
      </c>
      <c r="B18" s="205" t="s">
        <v>417</v>
      </c>
      <c r="C18" s="89">
        <f>SUM(C13:C17)</f>
        <v>0</v>
      </c>
      <c r="D18" s="4"/>
      <c r="E18" s="89">
        <f>SUM(E13:E17)</f>
        <v>0</v>
      </c>
      <c r="F18" s="53"/>
      <c r="G18" s="89">
        <f>SUM(G13:G17)</f>
        <v>0</v>
      </c>
      <c r="H18" s="4"/>
      <c r="I18" s="89">
        <f>SUM(I13:I17)</f>
        <v>0</v>
      </c>
      <c r="J18" s="55" t="s">
        <v>574</v>
      </c>
      <c r="K18" s="2">
        <f t="shared" ref="K18" si="1">K17+1</f>
        <v>7</v>
      </c>
    </row>
    <row r="19" spans="1:11" ht="16.5" thickTop="1" x14ac:dyDescent="0.25">
      <c r="A19" s="2">
        <f t="shared" ref="A19:A35" si="2">A18+1</f>
        <v>8</v>
      </c>
      <c r="C19" s="83"/>
      <c r="D19" s="83"/>
      <c r="E19" s="83"/>
      <c r="F19" s="83"/>
      <c r="G19" s="83"/>
      <c r="H19" s="83"/>
      <c r="I19" s="83"/>
      <c r="J19" s="83"/>
      <c r="K19" s="2">
        <f t="shared" ref="K19:K35" si="3">K18+1</f>
        <v>8</v>
      </c>
    </row>
    <row r="20" spans="1:11" x14ac:dyDescent="0.25">
      <c r="A20" s="2">
        <f t="shared" si="2"/>
        <v>9</v>
      </c>
      <c r="B20" s="39" t="s">
        <v>253</v>
      </c>
      <c r="C20" s="90"/>
      <c r="D20" s="90"/>
      <c r="E20" s="90"/>
      <c r="F20" s="90"/>
      <c r="G20" s="90"/>
      <c r="H20" s="90"/>
      <c r="I20" s="175"/>
      <c r="J20" s="175"/>
      <c r="K20" s="2">
        <f t="shared" si="3"/>
        <v>9</v>
      </c>
    </row>
    <row r="21" spans="1:11" x14ac:dyDescent="0.25">
      <c r="A21" s="2">
        <f t="shared" si="2"/>
        <v>10</v>
      </c>
      <c r="B21" s="369" t="s">
        <v>964</v>
      </c>
      <c r="C21" s="43">
        <v>0</v>
      </c>
      <c r="D21" s="43"/>
      <c r="E21" s="43">
        <f>SUM('Order 864-3'!M29:M31,'Order 864-3'!M38,'Order 864-3'!M41)</f>
        <v>0</v>
      </c>
      <c r="F21" s="43"/>
      <c r="G21" s="43">
        <f>SUM('Order 864-3'!N29:N31,'Order 864-3'!N38,'Order 864-3'!N41)</f>
        <v>0</v>
      </c>
      <c r="H21" s="43"/>
      <c r="I21" s="43">
        <f>SUM(C21:G21)</f>
        <v>0</v>
      </c>
      <c r="J21" s="55" t="s">
        <v>1169</v>
      </c>
      <c r="K21" s="2">
        <f t="shared" si="3"/>
        <v>10</v>
      </c>
    </row>
    <row r="22" spans="1:11" ht="18.75" x14ac:dyDescent="0.25">
      <c r="A22" s="2">
        <f t="shared" si="2"/>
        <v>11</v>
      </c>
      <c r="B22" s="212" t="s">
        <v>1012</v>
      </c>
      <c r="C22" s="4">
        <v>0</v>
      </c>
      <c r="D22" s="4"/>
      <c r="E22" s="4">
        <v>0</v>
      </c>
      <c r="F22" s="4"/>
      <c r="G22" s="4">
        <v>0</v>
      </c>
      <c r="H22" s="4"/>
      <c r="I22" s="4">
        <f>SUM(C22:G22)</f>
        <v>0</v>
      </c>
      <c r="J22" s="451" t="s">
        <v>1013</v>
      </c>
      <c r="K22" s="2">
        <f t="shared" si="3"/>
        <v>11</v>
      </c>
    </row>
    <row r="23" spans="1:11" x14ac:dyDescent="0.25">
      <c r="A23" s="2">
        <f t="shared" si="2"/>
        <v>12</v>
      </c>
      <c r="C23" s="4">
        <v>0</v>
      </c>
      <c r="D23" s="4"/>
      <c r="E23" s="4">
        <v>0</v>
      </c>
      <c r="F23" s="4"/>
      <c r="G23" s="4">
        <v>0</v>
      </c>
      <c r="H23" s="4"/>
      <c r="I23" s="4">
        <f>SUM(C23:G23)</f>
        <v>0</v>
      </c>
      <c r="J23" s="4"/>
      <c r="K23" s="2">
        <f t="shared" si="3"/>
        <v>12</v>
      </c>
    </row>
    <row r="24" spans="1:11" x14ac:dyDescent="0.25">
      <c r="A24" s="2">
        <f t="shared" si="2"/>
        <v>13</v>
      </c>
      <c r="C24" s="4">
        <v>0</v>
      </c>
      <c r="D24" s="4"/>
      <c r="E24" s="4">
        <v>0</v>
      </c>
      <c r="F24" s="4"/>
      <c r="G24" s="4">
        <v>0</v>
      </c>
      <c r="H24" s="4"/>
      <c r="I24" s="4">
        <f>SUM(C24:G24)</f>
        <v>0</v>
      </c>
      <c r="J24" s="4"/>
      <c r="K24" s="2">
        <f t="shared" si="3"/>
        <v>13</v>
      </c>
    </row>
    <row r="25" spans="1:11" ht="16.5" thickBot="1" x14ac:dyDescent="0.3">
      <c r="A25" s="2">
        <f t="shared" si="2"/>
        <v>14</v>
      </c>
      <c r="B25" s="205" t="s">
        <v>418</v>
      </c>
      <c r="C25" s="89">
        <f>SUM(C21:C24)</f>
        <v>0</v>
      </c>
      <c r="D25" s="4"/>
      <c r="E25" s="89">
        <f>SUM(E21:E24)</f>
        <v>0</v>
      </c>
      <c r="F25" s="53"/>
      <c r="G25" s="89">
        <f>SUM(G21:G24)</f>
        <v>0</v>
      </c>
      <c r="H25" s="4"/>
      <c r="I25" s="89">
        <f>SUM(I21:I24)</f>
        <v>0</v>
      </c>
      <c r="J25" s="55" t="s">
        <v>715</v>
      </c>
      <c r="K25" s="2">
        <f t="shared" si="3"/>
        <v>14</v>
      </c>
    </row>
    <row r="26" spans="1:11" ht="16.5" thickTop="1" x14ac:dyDescent="0.25">
      <c r="A26" s="2">
        <f t="shared" si="2"/>
        <v>15</v>
      </c>
      <c r="K26" s="2">
        <f t="shared" si="3"/>
        <v>15</v>
      </c>
    </row>
    <row r="27" spans="1:11" x14ac:dyDescent="0.25">
      <c r="A27" s="2">
        <f t="shared" si="2"/>
        <v>16</v>
      </c>
      <c r="B27" s="39" t="s">
        <v>254</v>
      </c>
      <c r="C27" s="90"/>
      <c r="D27" s="90"/>
      <c r="E27" s="90"/>
      <c r="F27" s="90"/>
      <c r="G27" s="90"/>
      <c r="H27" s="90"/>
      <c r="I27" s="175"/>
      <c r="J27" s="2"/>
      <c r="K27" s="2">
        <f t="shared" si="3"/>
        <v>16</v>
      </c>
    </row>
    <row r="28" spans="1:11" x14ac:dyDescent="0.25">
      <c r="A28" s="2">
        <f t="shared" si="2"/>
        <v>17</v>
      </c>
      <c r="B28" s="39" t="s">
        <v>965</v>
      </c>
      <c r="C28" s="43">
        <v>0</v>
      </c>
      <c r="D28" s="43"/>
      <c r="E28" s="43">
        <f>SUM('Order 864-3'!M21:M22)</f>
        <v>0</v>
      </c>
      <c r="F28" s="43"/>
      <c r="G28" s="43">
        <f>SUM('Order 864-3'!N21:N22)</f>
        <v>0</v>
      </c>
      <c r="H28" s="43"/>
      <c r="I28" s="43">
        <f>SUM(C28:G28)</f>
        <v>0</v>
      </c>
      <c r="J28" s="55" t="s">
        <v>1170</v>
      </c>
      <c r="K28" s="2">
        <f t="shared" si="3"/>
        <v>17</v>
      </c>
    </row>
    <row r="29" spans="1:11" ht="18.75" x14ac:dyDescent="0.25">
      <c r="A29" s="2">
        <f t="shared" si="2"/>
        <v>18</v>
      </c>
      <c r="B29" s="212" t="s">
        <v>1012</v>
      </c>
      <c r="C29" s="4">
        <v>0</v>
      </c>
      <c r="D29" s="4"/>
      <c r="E29" s="4">
        <v>0</v>
      </c>
      <c r="F29" s="4"/>
      <c r="G29" s="4">
        <v>0</v>
      </c>
      <c r="H29" s="4"/>
      <c r="I29" s="4">
        <f>SUM(C29:G29)</f>
        <v>0</v>
      </c>
      <c r="J29" s="451" t="s">
        <v>1013</v>
      </c>
      <c r="K29" s="2">
        <f t="shared" si="3"/>
        <v>18</v>
      </c>
    </row>
    <row r="30" spans="1:11" x14ac:dyDescent="0.25">
      <c r="A30" s="2">
        <f t="shared" si="2"/>
        <v>19</v>
      </c>
      <c r="B30" s="39"/>
      <c r="C30" s="4">
        <v>0</v>
      </c>
      <c r="D30" s="4"/>
      <c r="E30" s="4">
        <v>0</v>
      </c>
      <c r="F30" s="4"/>
      <c r="G30" s="4">
        <v>0</v>
      </c>
      <c r="H30" s="4"/>
      <c r="I30" s="4">
        <f>SUM(C30:G30)</f>
        <v>0</v>
      </c>
      <c r="J30" s="4"/>
      <c r="K30" s="2">
        <f t="shared" si="3"/>
        <v>19</v>
      </c>
    </row>
    <row r="31" spans="1:11" x14ac:dyDescent="0.25">
      <c r="A31" s="2">
        <f t="shared" si="2"/>
        <v>20</v>
      </c>
      <c r="B31" s="39"/>
      <c r="C31" s="4">
        <v>0</v>
      </c>
      <c r="D31" s="4"/>
      <c r="E31" s="4">
        <v>0</v>
      </c>
      <c r="F31" s="4"/>
      <c r="G31" s="4">
        <v>0</v>
      </c>
      <c r="H31" s="4"/>
      <c r="I31" s="4">
        <f>SUM(C31:G31)</f>
        <v>0</v>
      </c>
      <c r="J31" s="4"/>
      <c r="K31" s="2">
        <f t="shared" si="3"/>
        <v>20</v>
      </c>
    </row>
    <row r="32" spans="1:11" x14ac:dyDescent="0.25">
      <c r="A32" s="2">
        <f t="shared" si="2"/>
        <v>21</v>
      </c>
      <c r="B32" s="39"/>
      <c r="C32" s="4">
        <v>0</v>
      </c>
      <c r="D32" s="4"/>
      <c r="E32" s="4">
        <v>0</v>
      </c>
      <c r="F32" s="4"/>
      <c r="G32" s="4">
        <v>0</v>
      </c>
      <c r="H32" s="4"/>
      <c r="I32" s="4">
        <f>SUM(C32:G32)</f>
        <v>0</v>
      </c>
      <c r="J32" s="4"/>
      <c r="K32" s="2">
        <f t="shared" si="3"/>
        <v>21</v>
      </c>
    </row>
    <row r="33" spans="1:11" ht="16.5" thickBot="1" x14ac:dyDescent="0.3">
      <c r="A33" s="2">
        <f t="shared" si="2"/>
        <v>22</v>
      </c>
      <c r="B33" s="205" t="s">
        <v>419</v>
      </c>
      <c r="C33" s="89">
        <f>SUM(C28:C32)</f>
        <v>0</v>
      </c>
      <c r="D33" s="4"/>
      <c r="E33" s="89">
        <f>SUM(E28:E32)</f>
        <v>0</v>
      </c>
      <c r="F33" s="53"/>
      <c r="G33" s="89">
        <f>SUM(G28:G32)</f>
        <v>0</v>
      </c>
      <c r="H33" s="4"/>
      <c r="I33" s="89">
        <f>SUM(I28:I32)</f>
        <v>0</v>
      </c>
      <c r="J33" s="55" t="s">
        <v>716</v>
      </c>
      <c r="K33" s="2">
        <f t="shared" si="3"/>
        <v>22</v>
      </c>
    </row>
    <row r="34" spans="1:11" ht="16.5" thickTop="1" x14ac:dyDescent="0.25">
      <c r="A34" s="2">
        <f t="shared" si="2"/>
        <v>23</v>
      </c>
      <c r="K34" s="2">
        <f t="shared" si="3"/>
        <v>23</v>
      </c>
    </row>
    <row r="35" spans="1:11" ht="19.5" thickBot="1" x14ac:dyDescent="0.3">
      <c r="A35" s="2">
        <f t="shared" si="2"/>
        <v>24</v>
      </c>
      <c r="B35" s="1" t="s">
        <v>970</v>
      </c>
      <c r="C35" s="89">
        <f>+C18+C25+C33</f>
        <v>0</v>
      </c>
      <c r="E35" s="89">
        <f>+E18+E25+E33</f>
        <v>0</v>
      </c>
      <c r="F35" s="53"/>
      <c r="G35" s="89">
        <f>+G18+G25+G33</f>
        <v>0</v>
      </c>
      <c r="I35" s="89">
        <f>+I18+I25+I33</f>
        <v>0</v>
      </c>
      <c r="J35" s="55" t="s">
        <v>876</v>
      </c>
      <c r="K35" s="2">
        <f t="shared" si="3"/>
        <v>24</v>
      </c>
    </row>
    <row r="36" spans="1:11" ht="16.5" thickTop="1" x14ac:dyDescent="0.25">
      <c r="B36" s="1"/>
      <c r="C36" s="53"/>
      <c r="E36" s="53"/>
      <c r="F36" s="53"/>
      <c r="G36" s="53"/>
      <c r="I36" s="53"/>
      <c r="J36" s="55"/>
    </row>
    <row r="38" spans="1:11" ht="18.75" x14ac:dyDescent="0.25">
      <c r="A38" s="174">
        <v>1</v>
      </c>
      <c r="B38" s="38" t="s">
        <v>888</v>
      </c>
    </row>
    <row r="39" spans="1:11" ht="18.75" x14ac:dyDescent="0.25">
      <c r="A39" s="174">
        <v>2</v>
      </c>
      <c r="B39" s="38" t="s">
        <v>966</v>
      </c>
    </row>
    <row r="40" spans="1:11" ht="18.75" x14ac:dyDescent="0.25">
      <c r="A40" s="174">
        <v>3</v>
      </c>
      <c r="B40" s="38" t="s">
        <v>967</v>
      </c>
    </row>
    <row r="41" spans="1:11" ht="18.75" x14ac:dyDescent="0.25">
      <c r="A41" s="174">
        <v>4</v>
      </c>
      <c r="B41" s="39" t="s">
        <v>1159</v>
      </c>
    </row>
    <row r="42" spans="1:11" ht="18.75" x14ac:dyDescent="0.25">
      <c r="A42" s="174"/>
      <c r="B42" s="39" t="s">
        <v>1160</v>
      </c>
    </row>
    <row r="43" spans="1:11" ht="18.75" x14ac:dyDescent="0.25">
      <c r="A43" s="527">
        <v>5</v>
      </c>
      <c r="B43" s="179" t="s">
        <v>1014</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heetViews>
  <sheetFormatPr defaultColWidth="9.28515625" defaultRowHeight="15.75" x14ac:dyDescent="0.25"/>
  <cols>
    <col min="1" max="1" width="5.28515625" style="2" bestFit="1" customWidth="1"/>
    <col min="2" max="2" width="50.7109375" style="38" customWidth="1"/>
    <col min="3" max="3" width="24" style="38" customWidth="1"/>
    <col min="4" max="4" width="1.5703125" style="38" customWidth="1"/>
    <col min="5" max="5" width="16.7109375" style="38" customWidth="1"/>
    <col min="6" max="6" width="1.5703125" style="38" customWidth="1"/>
    <col min="7" max="7" width="34.5703125" style="38" customWidth="1"/>
    <col min="8" max="8" width="5.28515625" style="38" bestFit="1" customWidth="1"/>
    <col min="9" max="9" width="9.28515625" style="38"/>
    <col min="10" max="10" width="20.42578125" style="38" bestFit="1" customWidth="1"/>
    <col min="11" max="16384" width="9.28515625" style="38"/>
  </cols>
  <sheetData>
    <row r="1" spans="1:8" x14ac:dyDescent="0.25">
      <c r="E1" s="2"/>
      <c r="F1" s="2"/>
      <c r="G1" s="2"/>
      <c r="H1" s="2"/>
    </row>
    <row r="2" spans="1:8" x14ac:dyDescent="0.25">
      <c r="B2" s="584" t="s">
        <v>16</v>
      </c>
      <c r="C2" s="584"/>
      <c r="D2" s="584"/>
      <c r="E2" s="584"/>
      <c r="F2" s="584"/>
      <c r="G2" s="584"/>
      <c r="H2" s="2"/>
    </row>
    <row r="3" spans="1:8" x14ac:dyDescent="0.25">
      <c r="B3" s="584" t="s">
        <v>779</v>
      </c>
      <c r="C3" s="584"/>
      <c r="D3" s="584"/>
      <c r="E3" s="584"/>
      <c r="F3" s="584"/>
      <c r="G3" s="584"/>
      <c r="H3" s="2"/>
    </row>
    <row r="4" spans="1:8" x14ac:dyDescent="0.25">
      <c r="B4" s="584" t="s">
        <v>32</v>
      </c>
      <c r="C4" s="584"/>
      <c r="D4" s="584"/>
      <c r="E4" s="584"/>
      <c r="F4" s="584"/>
      <c r="G4" s="584"/>
      <c r="H4" s="2"/>
    </row>
    <row r="5" spans="1:8" x14ac:dyDescent="0.25">
      <c r="B5" s="586" t="str">
        <f>'Stmt AD'!B5</f>
        <v>Base Period &amp; True-Up Period 12 - Months Ending  December 31, xxxx</v>
      </c>
      <c r="C5" s="586"/>
      <c r="D5" s="586"/>
      <c r="E5" s="586"/>
      <c r="F5" s="586"/>
      <c r="G5" s="586"/>
      <c r="H5" s="2"/>
    </row>
    <row r="6" spans="1:8" x14ac:dyDescent="0.25">
      <c r="B6" s="580" t="s">
        <v>1</v>
      </c>
      <c r="C6" s="581"/>
      <c r="D6" s="581"/>
      <c r="E6" s="581"/>
      <c r="F6" s="581"/>
      <c r="G6" s="581"/>
      <c r="H6" s="2"/>
    </row>
    <row r="7" spans="1:8" x14ac:dyDescent="0.25">
      <c r="B7" s="2"/>
      <c r="C7" s="2"/>
      <c r="D7" s="2"/>
      <c r="E7" s="2"/>
      <c r="F7" s="2"/>
      <c r="G7" s="2"/>
      <c r="H7" s="2"/>
    </row>
    <row r="8" spans="1:8" x14ac:dyDescent="0.25">
      <c r="A8" s="2" t="s">
        <v>2</v>
      </c>
      <c r="B8" s="165"/>
      <c r="C8" s="2" t="s">
        <v>248</v>
      </c>
      <c r="D8" s="165"/>
      <c r="E8" s="208"/>
      <c r="F8" s="2"/>
      <c r="G8" s="2"/>
      <c r="H8" s="2" t="s">
        <v>2</v>
      </c>
    </row>
    <row r="9" spans="1:8" x14ac:dyDescent="0.25">
      <c r="A9" s="2" t="s">
        <v>18</v>
      </c>
      <c r="C9" s="42" t="s">
        <v>246</v>
      </c>
      <c r="E9" s="189" t="s">
        <v>6</v>
      </c>
      <c r="F9" s="165"/>
      <c r="G9" s="42" t="s">
        <v>7</v>
      </c>
      <c r="H9" s="2" t="s">
        <v>18</v>
      </c>
    </row>
    <row r="10" spans="1:8" x14ac:dyDescent="0.25">
      <c r="E10" s="2"/>
      <c r="F10" s="2"/>
      <c r="G10" s="2"/>
      <c r="H10" s="2"/>
    </row>
    <row r="11" spans="1:8" ht="19.5" thickBot="1" x14ac:dyDescent="0.3">
      <c r="A11" s="2">
        <f>A10+1</f>
        <v>1</v>
      </c>
      <c r="B11" s="39" t="s">
        <v>337</v>
      </c>
      <c r="C11" s="2" t="s">
        <v>256</v>
      </c>
      <c r="E11" s="91">
        <v>0</v>
      </c>
      <c r="F11" s="71"/>
      <c r="G11" s="2" t="s">
        <v>662</v>
      </c>
      <c r="H11" s="2">
        <f>A11</f>
        <v>1</v>
      </c>
    </row>
    <row r="12" spans="1:8" ht="16.5" thickTop="1" x14ac:dyDescent="0.25">
      <c r="E12" s="43"/>
      <c r="H12" s="2"/>
    </row>
    <row r="13" spans="1:8" x14ac:dyDescent="0.25">
      <c r="H13" s="2"/>
    </row>
    <row r="14" spans="1:8" ht="18.75" x14ac:dyDescent="0.25">
      <c r="A14" s="174" t="s">
        <v>33</v>
      </c>
      <c r="B14" s="38" t="s">
        <v>34</v>
      </c>
      <c r="H14" s="2"/>
    </row>
    <row r="15" spans="1:8" x14ac:dyDescent="0.25">
      <c r="H15" s="2"/>
    </row>
    <row r="18" spans="1:2" x14ac:dyDescent="0.25">
      <c r="A18" s="71"/>
      <c r="B18" s="1"/>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pageSetUpPr fitToPage="1"/>
  </sheetPr>
  <dimension ref="A1:K70"/>
  <sheetViews>
    <sheetView zoomScale="80" zoomScaleNormal="80" workbookViewId="0">
      <selection activeCell="G66" sqref="G66"/>
    </sheetView>
  </sheetViews>
  <sheetFormatPr defaultColWidth="8.7109375" defaultRowHeight="15.75" x14ac:dyDescent="0.25"/>
  <cols>
    <col min="1" max="1" width="5.28515625" style="2" bestFit="1" customWidth="1"/>
    <col min="2" max="2" width="78.42578125" style="38" customWidth="1"/>
    <col min="3" max="3" width="21.28515625" style="38" customWidth="1"/>
    <col min="4" max="4" width="1.5703125" style="38" customWidth="1"/>
    <col min="5" max="5" width="16.7109375" style="38" customWidth="1"/>
    <col min="6" max="6" width="1.5703125" style="38" customWidth="1"/>
    <col min="7" max="7" width="43.5703125" style="38" customWidth="1"/>
    <col min="8" max="9" width="5.28515625" style="38" customWidth="1"/>
    <col min="10" max="10" width="8.7109375" style="38"/>
    <col min="11" max="11" width="20.42578125" style="38" bestFit="1" customWidth="1"/>
    <col min="12" max="16384" width="8.7109375" style="38"/>
  </cols>
  <sheetData>
    <row r="1" spans="1:9" x14ac:dyDescent="0.25">
      <c r="G1" s="2"/>
      <c r="H1" s="2"/>
      <c r="I1" s="2"/>
    </row>
    <row r="2" spans="1:9" x14ac:dyDescent="0.25">
      <c r="B2" s="584" t="s">
        <v>16</v>
      </c>
      <c r="C2" s="584"/>
      <c r="D2" s="584"/>
      <c r="E2" s="584"/>
      <c r="F2" s="584"/>
      <c r="G2" s="584"/>
      <c r="H2" s="2"/>
      <c r="I2" s="2"/>
    </row>
    <row r="3" spans="1:9" x14ac:dyDescent="0.25">
      <c r="B3" s="584" t="s">
        <v>780</v>
      </c>
      <c r="C3" s="584"/>
      <c r="D3" s="584"/>
      <c r="E3" s="584"/>
      <c r="F3" s="584"/>
      <c r="G3" s="584"/>
      <c r="H3" s="2"/>
      <c r="I3" s="2"/>
    </row>
    <row r="4" spans="1:9" x14ac:dyDescent="0.25">
      <c r="B4" s="584" t="s">
        <v>36</v>
      </c>
      <c r="C4" s="584"/>
      <c r="D4" s="584"/>
      <c r="E4" s="584"/>
      <c r="F4" s="584"/>
      <c r="G4" s="584"/>
      <c r="H4" s="2"/>
      <c r="I4" s="2"/>
    </row>
    <row r="5" spans="1:9" x14ac:dyDescent="0.25">
      <c r="B5" s="586" t="str">
        <f>'Stmt AD'!B5</f>
        <v>Base Period &amp; True-Up Period 12 - Months Ending  December 31, xxxx</v>
      </c>
      <c r="C5" s="586"/>
      <c r="D5" s="586"/>
      <c r="E5" s="586"/>
      <c r="F5" s="586"/>
      <c r="G5" s="586"/>
      <c r="H5" s="2"/>
      <c r="I5" s="2"/>
    </row>
    <row r="6" spans="1:9" x14ac:dyDescent="0.25">
      <c r="B6" s="580" t="s">
        <v>1</v>
      </c>
      <c r="C6" s="581"/>
      <c r="D6" s="581"/>
      <c r="E6" s="581"/>
      <c r="F6" s="581"/>
      <c r="G6" s="581"/>
      <c r="H6" s="2"/>
      <c r="I6" s="2"/>
    </row>
    <row r="7" spans="1:9" x14ac:dyDescent="0.25">
      <c r="B7" s="2"/>
      <c r="C7" s="2"/>
      <c r="D7" s="2"/>
      <c r="E7" s="10"/>
      <c r="F7" s="10"/>
      <c r="G7" s="2"/>
      <c r="H7" s="2"/>
      <c r="I7" s="2"/>
    </row>
    <row r="8" spans="1:9" x14ac:dyDescent="0.25">
      <c r="A8" s="2" t="s">
        <v>2</v>
      </c>
      <c r="B8" s="165"/>
      <c r="C8" s="2" t="s">
        <v>248</v>
      </c>
      <c r="D8" s="165"/>
      <c r="E8" s="209"/>
      <c r="F8" s="209"/>
      <c r="G8" s="2"/>
      <c r="H8" s="2" t="s">
        <v>2</v>
      </c>
      <c r="I8" s="2"/>
    </row>
    <row r="9" spans="1:9" x14ac:dyDescent="0.25">
      <c r="A9" s="2" t="s">
        <v>18</v>
      </c>
      <c r="C9" s="42" t="s">
        <v>246</v>
      </c>
      <c r="D9" s="165"/>
      <c r="E9" s="189" t="s">
        <v>37</v>
      </c>
      <c r="F9" s="209"/>
      <c r="G9" s="42" t="s">
        <v>7</v>
      </c>
      <c r="H9" s="2" t="s">
        <v>18</v>
      </c>
      <c r="I9" s="2"/>
    </row>
    <row r="10" spans="1:9" x14ac:dyDescent="0.25">
      <c r="C10" s="165"/>
      <c r="D10" s="165"/>
      <c r="E10" s="209"/>
      <c r="F10" s="209"/>
      <c r="G10" s="2"/>
      <c r="H10" s="2"/>
      <c r="I10" s="2"/>
    </row>
    <row r="11" spans="1:9" x14ac:dyDescent="0.25">
      <c r="A11" s="2">
        <v>1</v>
      </c>
      <c r="B11" s="172" t="s">
        <v>38</v>
      </c>
      <c r="G11" s="2"/>
      <c r="H11" s="2">
        <f>A11</f>
        <v>1</v>
      </c>
      <c r="I11" s="2"/>
    </row>
    <row r="12" spans="1:9" x14ac:dyDescent="0.25">
      <c r="A12" s="2">
        <f>+A11+1</f>
        <v>2</v>
      </c>
      <c r="B12" s="38" t="s">
        <v>39</v>
      </c>
      <c r="C12" s="2" t="s">
        <v>259</v>
      </c>
      <c r="E12" s="50">
        <v>0</v>
      </c>
      <c r="G12" s="2" t="s">
        <v>647</v>
      </c>
      <c r="H12" s="2">
        <f>+H11+1</f>
        <v>2</v>
      </c>
      <c r="I12" s="2"/>
    </row>
    <row r="13" spans="1:9" x14ac:dyDescent="0.25">
      <c r="A13" s="2">
        <f t="shared" ref="A13:A64" si="0">+A12+1</f>
        <v>3</v>
      </c>
      <c r="B13" s="39" t="s">
        <v>1031</v>
      </c>
      <c r="E13" s="481">
        <v>0</v>
      </c>
      <c r="G13" s="210" t="s">
        <v>983</v>
      </c>
      <c r="H13" s="2">
        <f t="shared" ref="H13:H64" si="1">+H12+1</f>
        <v>3</v>
      </c>
      <c r="I13" s="2"/>
    </row>
    <row r="14" spans="1:9" x14ac:dyDescent="0.25">
      <c r="B14" s="212" t="s">
        <v>992</v>
      </c>
      <c r="E14" s="525">
        <v>0</v>
      </c>
      <c r="G14" s="210" t="s">
        <v>247</v>
      </c>
      <c r="H14" s="2"/>
      <c r="I14" s="210">
        <v>4</v>
      </c>
    </row>
    <row r="15" spans="1:9" x14ac:dyDescent="0.25">
      <c r="A15" s="203">
        <f>+A13+1</f>
        <v>4</v>
      </c>
      <c r="B15" s="218" t="s">
        <v>984</v>
      </c>
      <c r="C15" s="203"/>
      <c r="D15" s="218"/>
      <c r="E15" s="479">
        <v>0</v>
      </c>
      <c r="G15" s="203" t="s">
        <v>649</v>
      </c>
      <c r="H15" s="203">
        <f>+H13+1</f>
        <v>4</v>
      </c>
      <c r="I15" s="2"/>
    </row>
    <row r="16" spans="1:9" x14ac:dyDescent="0.25">
      <c r="A16" s="203">
        <f t="shared" si="0"/>
        <v>5</v>
      </c>
      <c r="B16" s="218" t="s">
        <v>985</v>
      </c>
      <c r="C16" s="218"/>
      <c r="D16" s="218"/>
      <c r="E16" s="479">
        <v>0</v>
      </c>
      <c r="G16" s="203" t="s">
        <v>650</v>
      </c>
      <c r="H16" s="203">
        <f t="shared" si="1"/>
        <v>5</v>
      </c>
      <c r="I16" s="2"/>
    </row>
    <row r="17" spans="1:11" x14ac:dyDescent="0.25">
      <c r="A17" s="203">
        <f t="shared" si="0"/>
        <v>6</v>
      </c>
      <c r="B17" s="218" t="s">
        <v>986</v>
      </c>
      <c r="C17" s="218"/>
      <c r="D17" s="218"/>
      <c r="E17" s="479">
        <v>0</v>
      </c>
      <c r="G17" s="203" t="s">
        <v>812</v>
      </c>
      <c r="H17" s="203">
        <f t="shared" si="1"/>
        <v>6</v>
      </c>
      <c r="I17" s="2"/>
    </row>
    <row r="18" spans="1:11" x14ac:dyDescent="0.25">
      <c r="A18" s="203">
        <f t="shared" si="0"/>
        <v>7</v>
      </c>
      <c r="B18" s="218" t="s">
        <v>987</v>
      </c>
      <c r="C18" s="218"/>
      <c r="D18" s="218"/>
      <c r="E18" s="479">
        <v>0</v>
      </c>
      <c r="G18" s="203" t="s">
        <v>813</v>
      </c>
      <c r="H18" s="203">
        <f t="shared" si="1"/>
        <v>7</v>
      </c>
      <c r="I18" s="2"/>
    </row>
    <row r="19" spans="1:11" x14ac:dyDescent="0.25">
      <c r="A19" s="203">
        <f t="shared" si="0"/>
        <v>8</v>
      </c>
      <c r="B19" s="218" t="s">
        <v>40</v>
      </c>
      <c r="C19" s="218"/>
      <c r="D19" s="218"/>
      <c r="E19" s="480">
        <v>0</v>
      </c>
      <c r="G19" s="203" t="s">
        <v>648</v>
      </c>
      <c r="H19" s="203">
        <f t="shared" si="1"/>
        <v>8</v>
      </c>
      <c r="I19" s="2"/>
    </row>
    <row r="20" spans="1:11" x14ac:dyDescent="0.25">
      <c r="A20" s="203">
        <f t="shared" si="0"/>
        <v>9</v>
      </c>
      <c r="B20" s="38" t="s">
        <v>449</v>
      </c>
      <c r="E20" s="92">
        <f>SUM(E12:E19)</f>
        <v>0</v>
      </c>
      <c r="G20" s="2" t="s">
        <v>993</v>
      </c>
      <c r="H20" s="203">
        <f t="shared" si="1"/>
        <v>9</v>
      </c>
      <c r="I20" s="210">
        <v>5</v>
      </c>
    </row>
    <row r="21" spans="1:11" x14ac:dyDescent="0.25">
      <c r="A21" s="203">
        <f t="shared" si="0"/>
        <v>10</v>
      </c>
      <c r="E21" s="4"/>
      <c r="H21" s="203">
        <f t="shared" si="1"/>
        <v>10</v>
      </c>
      <c r="I21" s="210">
        <f>I20+1</f>
        <v>6</v>
      </c>
    </row>
    <row r="22" spans="1:11" x14ac:dyDescent="0.25">
      <c r="A22" s="203">
        <f t="shared" si="0"/>
        <v>11</v>
      </c>
      <c r="B22" s="171" t="s">
        <v>41</v>
      </c>
      <c r="E22" s="48"/>
      <c r="G22" s="2"/>
      <c r="H22" s="203">
        <f t="shared" si="1"/>
        <v>11</v>
      </c>
      <c r="I22" s="210">
        <f t="shared" ref="I22:I24" si="2">I21+1</f>
        <v>7</v>
      </c>
    </row>
    <row r="23" spans="1:11" x14ac:dyDescent="0.25">
      <c r="A23" s="203">
        <f t="shared" si="0"/>
        <v>12</v>
      </c>
      <c r="B23" s="39" t="s">
        <v>42</v>
      </c>
      <c r="C23" s="2" t="s">
        <v>260</v>
      </c>
      <c r="E23" s="50">
        <v>0</v>
      </c>
      <c r="G23" s="2" t="s">
        <v>651</v>
      </c>
      <c r="H23" s="203">
        <f t="shared" si="1"/>
        <v>12</v>
      </c>
      <c r="I23" s="210">
        <f t="shared" si="2"/>
        <v>8</v>
      </c>
    </row>
    <row r="24" spans="1:11" ht="31.5" x14ac:dyDescent="0.25">
      <c r="A24" s="203">
        <f t="shared" si="0"/>
        <v>13</v>
      </c>
      <c r="B24" s="39" t="s">
        <v>485</v>
      </c>
      <c r="E24" s="52">
        <v>0</v>
      </c>
      <c r="G24" s="228" t="s">
        <v>1174</v>
      </c>
      <c r="H24" s="203">
        <f t="shared" si="1"/>
        <v>13</v>
      </c>
      <c r="I24" s="210">
        <f t="shared" si="2"/>
        <v>9</v>
      </c>
    </row>
    <row r="25" spans="1:11" x14ac:dyDescent="0.25">
      <c r="A25" s="203">
        <f>+A24+1</f>
        <v>14</v>
      </c>
      <c r="B25" s="482" t="s">
        <v>245</v>
      </c>
      <c r="C25" s="218"/>
      <c r="D25" s="218"/>
      <c r="E25" s="479">
        <v>0</v>
      </c>
      <c r="F25" s="218"/>
      <c r="G25" s="203" t="s">
        <v>653</v>
      </c>
      <c r="H25" s="203">
        <f>+H24+1</f>
        <v>14</v>
      </c>
      <c r="I25" s="210"/>
    </row>
    <row r="26" spans="1:11" ht="31.5" x14ac:dyDescent="0.25">
      <c r="A26" s="203">
        <f t="shared" si="0"/>
        <v>15</v>
      </c>
      <c r="B26" s="482" t="s">
        <v>46</v>
      </c>
      <c r="C26" s="218"/>
      <c r="D26" s="218"/>
      <c r="E26" s="479">
        <v>0</v>
      </c>
      <c r="F26" s="218"/>
      <c r="G26" s="226" t="s">
        <v>826</v>
      </c>
      <c r="H26" s="203">
        <f t="shared" si="1"/>
        <v>15</v>
      </c>
      <c r="I26" s="210"/>
      <c r="J26" s="211"/>
      <c r="K26" s="4"/>
    </row>
    <row r="27" spans="1:11" ht="18.75" x14ac:dyDescent="0.25">
      <c r="A27" s="203">
        <f t="shared" si="0"/>
        <v>16</v>
      </c>
      <c r="B27" s="39" t="s">
        <v>370</v>
      </c>
      <c r="E27" s="52">
        <v>0</v>
      </c>
      <c r="G27" s="2" t="s">
        <v>1121</v>
      </c>
      <c r="H27" s="203">
        <f t="shared" si="1"/>
        <v>16</v>
      </c>
      <c r="I27" s="210">
        <v>10</v>
      </c>
      <c r="J27" s="211"/>
      <c r="K27" s="43"/>
    </row>
    <row r="28" spans="1:11" x14ac:dyDescent="0.25">
      <c r="A28" s="203">
        <f t="shared" si="0"/>
        <v>17</v>
      </c>
      <c r="B28" s="482" t="s">
        <v>43</v>
      </c>
      <c r="C28" s="218"/>
      <c r="D28" s="218"/>
      <c r="E28" s="479">
        <v>0</v>
      </c>
      <c r="F28" s="218"/>
      <c r="G28" s="203" t="s">
        <v>654</v>
      </c>
      <c r="H28" s="203">
        <f t="shared" si="1"/>
        <v>17</v>
      </c>
      <c r="I28" s="210"/>
    </row>
    <row r="29" spans="1:11" x14ac:dyDescent="0.25">
      <c r="A29" s="203">
        <f t="shared" si="0"/>
        <v>18</v>
      </c>
      <c r="B29" s="482" t="s">
        <v>44</v>
      </c>
      <c r="C29" s="218"/>
      <c r="D29" s="218"/>
      <c r="E29" s="479">
        <v>0</v>
      </c>
      <c r="F29" s="218"/>
      <c r="G29" s="203" t="s">
        <v>827</v>
      </c>
      <c r="H29" s="203">
        <f t="shared" si="1"/>
        <v>18</v>
      </c>
      <c r="I29" s="210"/>
      <c r="K29" s="4"/>
    </row>
    <row r="30" spans="1:11" x14ac:dyDescent="0.25">
      <c r="A30" s="203">
        <f t="shared" ref="A30:A35" si="3">+A29+1</f>
        <v>19</v>
      </c>
      <c r="B30" s="482" t="s">
        <v>356</v>
      </c>
      <c r="C30" s="218"/>
      <c r="D30" s="218"/>
      <c r="E30" s="479">
        <v>0</v>
      </c>
      <c r="F30" s="218"/>
      <c r="G30" s="226" t="s">
        <v>828</v>
      </c>
      <c r="H30" s="203">
        <f>+H29+1</f>
        <v>19</v>
      </c>
      <c r="I30" s="210"/>
      <c r="J30" s="211"/>
      <c r="K30" s="4"/>
    </row>
    <row r="31" spans="1:11" x14ac:dyDescent="0.25">
      <c r="A31" s="203">
        <f t="shared" si="3"/>
        <v>20</v>
      </c>
      <c r="B31" s="482" t="s">
        <v>286</v>
      </c>
      <c r="C31" s="218"/>
      <c r="D31" s="218"/>
      <c r="E31" s="479">
        <v>0</v>
      </c>
      <c r="F31" s="218"/>
      <c r="G31" s="226" t="s">
        <v>652</v>
      </c>
      <c r="H31" s="203">
        <f>+H30+1</f>
        <v>20</v>
      </c>
      <c r="I31" s="210"/>
      <c r="J31" s="211"/>
    </row>
    <row r="32" spans="1:11" x14ac:dyDescent="0.25">
      <c r="A32" s="203">
        <f t="shared" si="3"/>
        <v>21</v>
      </c>
      <c r="B32" s="482" t="s">
        <v>295</v>
      </c>
      <c r="C32" s="218"/>
      <c r="D32" s="218"/>
      <c r="E32" s="479">
        <v>0</v>
      </c>
      <c r="F32" s="218"/>
      <c r="G32" s="203" t="s">
        <v>829</v>
      </c>
      <c r="H32" s="203">
        <f>+H31+1</f>
        <v>21</v>
      </c>
      <c r="I32" s="210"/>
    </row>
    <row r="33" spans="1:10" x14ac:dyDescent="0.25">
      <c r="A33" s="203">
        <f t="shared" si="3"/>
        <v>22</v>
      </c>
      <c r="B33" s="482" t="s">
        <v>47</v>
      </c>
      <c r="C33" s="218"/>
      <c r="D33" s="218"/>
      <c r="E33" s="479">
        <v>0</v>
      </c>
      <c r="F33" s="218"/>
      <c r="G33" s="226" t="s">
        <v>830</v>
      </c>
      <c r="H33" s="203">
        <f t="shared" ref="H33:H34" si="4">+H32+1</f>
        <v>22</v>
      </c>
      <c r="I33" s="210"/>
    </row>
    <row r="34" spans="1:10" ht="31.5" x14ac:dyDescent="0.25">
      <c r="A34" s="203">
        <f t="shared" si="3"/>
        <v>23</v>
      </c>
      <c r="B34" s="482" t="s">
        <v>45</v>
      </c>
      <c r="C34" s="218"/>
      <c r="D34" s="218"/>
      <c r="E34" s="479">
        <v>0</v>
      </c>
      <c r="F34" s="218"/>
      <c r="G34" s="226" t="s">
        <v>831</v>
      </c>
      <c r="H34" s="203">
        <f t="shared" si="4"/>
        <v>23</v>
      </c>
      <c r="I34" s="210"/>
    </row>
    <row r="35" spans="1:10" x14ac:dyDescent="0.25">
      <c r="A35" s="203">
        <f t="shared" si="3"/>
        <v>24</v>
      </c>
      <c r="B35" s="482" t="s">
        <v>48</v>
      </c>
      <c r="C35" s="218"/>
      <c r="D35" s="218"/>
      <c r="E35" s="479">
        <v>0</v>
      </c>
      <c r="F35" s="218"/>
      <c r="G35" s="226" t="s">
        <v>973</v>
      </c>
      <c r="H35" s="203">
        <f>+H34+1</f>
        <v>24</v>
      </c>
      <c r="I35" s="210"/>
    </row>
    <row r="36" spans="1:10" x14ac:dyDescent="0.25">
      <c r="A36" s="203"/>
      <c r="B36" s="212" t="s">
        <v>992</v>
      </c>
      <c r="E36" s="526"/>
      <c r="G36" s="210" t="s">
        <v>247</v>
      </c>
      <c r="H36" s="203"/>
      <c r="I36" s="210">
        <v>11</v>
      </c>
    </row>
    <row r="37" spans="1:10" x14ac:dyDescent="0.25">
      <c r="A37" s="203">
        <f>+A35+1</f>
        <v>25</v>
      </c>
      <c r="B37" s="39" t="s">
        <v>450</v>
      </c>
      <c r="E37" s="60">
        <f>SUM(E23:E35)</f>
        <v>0</v>
      </c>
      <c r="G37" s="2" t="s">
        <v>1007</v>
      </c>
      <c r="H37" s="203">
        <f>+H35+1</f>
        <v>25</v>
      </c>
      <c r="I37" s="210">
        <f>I36+1</f>
        <v>12</v>
      </c>
    </row>
    <row r="38" spans="1:10" x14ac:dyDescent="0.25">
      <c r="A38" s="203">
        <f t="shared" ref="A38:A49" si="5">+A37+1</f>
        <v>26</v>
      </c>
      <c r="B38" s="39" t="s">
        <v>401</v>
      </c>
      <c r="E38" s="52">
        <v>0</v>
      </c>
      <c r="G38" s="2" t="s">
        <v>655</v>
      </c>
      <c r="H38" s="203">
        <f t="shared" ref="H38:H51" si="6">+H37+1</f>
        <v>26</v>
      </c>
      <c r="I38" s="210">
        <f>I37+1</f>
        <v>13</v>
      </c>
    </row>
    <row r="39" spans="1:10" x14ac:dyDescent="0.25">
      <c r="A39" s="203"/>
      <c r="B39" s="212" t="s">
        <v>1179</v>
      </c>
      <c r="E39" s="526">
        <v>0</v>
      </c>
      <c r="G39" s="210" t="s">
        <v>1178</v>
      </c>
      <c r="H39" s="203"/>
      <c r="I39" s="210">
        <f t="shared" ref="I39:I41" si="7">I38+1</f>
        <v>14</v>
      </c>
    </row>
    <row r="40" spans="1:10" x14ac:dyDescent="0.25">
      <c r="A40" s="203">
        <f>+A38+1</f>
        <v>27</v>
      </c>
      <c r="B40" s="39" t="s">
        <v>49</v>
      </c>
      <c r="E40" s="60">
        <f>SUM(E37:E39)</f>
        <v>0</v>
      </c>
      <c r="G40" s="2" t="s">
        <v>1180</v>
      </c>
      <c r="H40" s="203">
        <f>+H38+1</f>
        <v>27</v>
      </c>
      <c r="I40" s="210">
        <f t="shared" si="7"/>
        <v>15</v>
      </c>
    </row>
    <row r="41" spans="1:10" x14ac:dyDescent="0.25">
      <c r="A41" s="203">
        <f t="shared" si="5"/>
        <v>28</v>
      </c>
      <c r="B41" s="38" t="s">
        <v>10</v>
      </c>
      <c r="E41" s="59">
        <f>'Stmt AI'!E25</f>
        <v>0</v>
      </c>
      <c r="G41" s="2" t="s">
        <v>634</v>
      </c>
      <c r="H41" s="203">
        <f t="shared" si="6"/>
        <v>28</v>
      </c>
      <c r="I41" s="210">
        <f t="shared" si="7"/>
        <v>16</v>
      </c>
    </row>
    <row r="42" spans="1:10" x14ac:dyDescent="0.25">
      <c r="A42" s="203">
        <f t="shared" si="5"/>
        <v>29</v>
      </c>
      <c r="B42" s="39" t="s">
        <v>50</v>
      </c>
      <c r="E42" s="14">
        <f>E40*E41</f>
        <v>0</v>
      </c>
      <c r="G42" s="2" t="s">
        <v>1181</v>
      </c>
      <c r="H42" s="203">
        <f t="shared" si="6"/>
        <v>29</v>
      </c>
      <c r="I42" s="210">
        <f t="shared" ref="I42:I66" si="8">I41+1</f>
        <v>17</v>
      </c>
    </row>
    <row r="43" spans="1:10" x14ac:dyDescent="0.25">
      <c r="A43" s="203">
        <f t="shared" si="5"/>
        <v>30</v>
      </c>
      <c r="B43" s="38" t="s">
        <v>63</v>
      </c>
      <c r="E43" s="553">
        <f>E64*(-E38)</f>
        <v>0</v>
      </c>
      <c r="G43" s="2" t="s">
        <v>1182</v>
      </c>
      <c r="H43" s="203">
        <f t="shared" si="6"/>
        <v>30</v>
      </c>
      <c r="I43" s="210">
        <f t="shared" si="8"/>
        <v>18</v>
      </c>
    </row>
    <row r="44" spans="1:10" x14ac:dyDescent="0.25">
      <c r="A44" s="203"/>
      <c r="B44" s="179" t="s">
        <v>1183</v>
      </c>
      <c r="C44" s="179"/>
      <c r="D44" s="179"/>
      <c r="E44" s="554">
        <f>-E39*E66</f>
        <v>0</v>
      </c>
      <c r="F44" s="179"/>
      <c r="G44" s="228" t="s">
        <v>1184</v>
      </c>
      <c r="H44" s="203"/>
      <c r="I44" s="210">
        <f t="shared" si="8"/>
        <v>19</v>
      </c>
    </row>
    <row r="45" spans="1:10" ht="16.5" thickBot="1" x14ac:dyDescent="0.3">
      <c r="A45" s="203">
        <f>+A43+1</f>
        <v>31</v>
      </c>
      <c r="B45" s="39" t="s">
        <v>486</v>
      </c>
      <c r="E45" s="28">
        <f>E43+E42</f>
        <v>0</v>
      </c>
      <c r="G45" s="210" t="s">
        <v>1185</v>
      </c>
      <c r="H45" s="203">
        <f>+H43+1</f>
        <v>31</v>
      </c>
      <c r="I45" s="210">
        <f t="shared" si="8"/>
        <v>20</v>
      </c>
      <c r="J45" s="39"/>
    </row>
    <row r="46" spans="1:10" ht="16.5" thickTop="1" x14ac:dyDescent="0.25">
      <c r="A46" s="203">
        <f t="shared" si="5"/>
        <v>32</v>
      </c>
      <c r="B46" s="205"/>
      <c r="E46" s="9"/>
      <c r="G46" s="2"/>
      <c r="H46" s="203">
        <f t="shared" si="6"/>
        <v>32</v>
      </c>
      <c r="I46" s="210">
        <f t="shared" si="8"/>
        <v>21</v>
      </c>
    </row>
    <row r="47" spans="1:10" x14ac:dyDescent="0.25">
      <c r="A47" s="203">
        <f t="shared" si="5"/>
        <v>33</v>
      </c>
      <c r="B47" s="171" t="s">
        <v>51</v>
      </c>
      <c r="E47" s="61"/>
      <c r="G47" s="2"/>
      <c r="H47" s="203">
        <f t="shared" si="6"/>
        <v>33</v>
      </c>
      <c r="I47" s="210">
        <f t="shared" si="8"/>
        <v>22</v>
      </c>
    </row>
    <row r="48" spans="1:10" x14ac:dyDescent="0.25">
      <c r="A48" s="203">
        <f t="shared" si="5"/>
        <v>34</v>
      </c>
      <c r="B48" s="39" t="s">
        <v>52</v>
      </c>
      <c r="E48" s="5">
        <f>'Stmt AD'!I35</f>
        <v>0</v>
      </c>
      <c r="G48" s="2" t="s">
        <v>656</v>
      </c>
      <c r="H48" s="203">
        <f t="shared" si="6"/>
        <v>34</v>
      </c>
      <c r="I48" s="210">
        <f t="shared" si="8"/>
        <v>23</v>
      </c>
    </row>
    <row r="49" spans="1:10" x14ac:dyDescent="0.25">
      <c r="A49" s="203">
        <f t="shared" si="5"/>
        <v>35</v>
      </c>
      <c r="B49" s="39" t="s">
        <v>11</v>
      </c>
      <c r="E49" s="94">
        <v>0</v>
      </c>
      <c r="G49" s="2" t="s">
        <v>53</v>
      </c>
      <c r="H49" s="203">
        <f t="shared" si="6"/>
        <v>35</v>
      </c>
      <c r="I49" s="210">
        <f t="shared" si="8"/>
        <v>24</v>
      </c>
    </row>
    <row r="50" spans="1:10" x14ac:dyDescent="0.25">
      <c r="A50" s="203">
        <f t="shared" si="0"/>
        <v>36</v>
      </c>
      <c r="B50" s="39" t="s">
        <v>12</v>
      </c>
      <c r="E50" s="7">
        <f>'Stmt AD'!I39</f>
        <v>0</v>
      </c>
      <c r="G50" s="2" t="s">
        <v>605</v>
      </c>
      <c r="H50" s="203">
        <f t="shared" si="6"/>
        <v>36</v>
      </c>
      <c r="I50" s="210">
        <f t="shared" si="8"/>
        <v>25</v>
      </c>
    </row>
    <row r="51" spans="1:10" x14ac:dyDescent="0.25">
      <c r="A51" s="203">
        <f t="shared" si="0"/>
        <v>37</v>
      </c>
      <c r="B51" s="39" t="s">
        <v>13</v>
      </c>
      <c r="E51" s="8">
        <f>'Stmt AD'!I41</f>
        <v>0</v>
      </c>
      <c r="G51" s="2" t="s">
        <v>606</v>
      </c>
      <c r="H51" s="203">
        <f t="shared" si="6"/>
        <v>37</v>
      </c>
      <c r="I51" s="210">
        <f t="shared" si="8"/>
        <v>26</v>
      </c>
    </row>
    <row r="52" spans="1:10" ht="16.5" thickBot="1" x14ac:dyDescent="0.3">
      <c r="A52" s="203">
        <f t="shared" si="0"/>
        <v>38</v>
      </c>
      <c r="B52" s="39" t="s">
        <v>54</v>
      </c>
      <c r="E52" s="18">
        <f>SUM(E48:E51)</f>
        <v>0</v>
      </c>
      <c r="G52" s="2" t="s">
        <v>1186</v>
      </c>
      <c r="H52" s="203">
        <f t="shared" si="1"/>
        <v>38</v>
      </c>
      <c r="I52" s="210">
        <f t="shared" si="8"/>
        <v>27</v>
      </c>
      <c r="J52" s="212"/>
    </row>
    <row r="53" spans="1:10" ht="16.5" thickTop="1" x14ac:dyDescent="0.25">
      <c r="A53" s="203">
        <f t="shared" si="0"/>
        <v>39</v>
      </c>
      <c r="B53" s="205"/>
      <c r="E53" s="4"/>
      <c r="G53" s="2"/>
      <c r="H53" s="203">
        <f t="shared" si="1"/>
        <v>39</v>
      </c>
      <c r="I53" s="210">
        <f t="shared" si="8"/>
        <v>28</v>
      </c>
    </row>
    <row r="54" spans="1:10" x14ac:dyDescent="0.25">
      <c r="A54" s="203">
        <f t="shared" si="0"/>
        <v>40</v>
      </c>
      <c r="B54" s="39" t="s">
        <v>55</v>
      </c>
      <c r="E54" s="43">
        <f>E48</f>
        <v>0</v>
      </c>
      <c r="G54" s="57" t="s">
        <v>1187</v>
      </c>
      <c r="H54" s="203">
        <f>+H53+1</f>
        <v>40</v>
      </c>
      <c r="I54" s="210">
        <f t="shared" si="8"/>
        <v>29</v>
      </c>
    </row>
    <row r="55" spans="1:10" x14ac:dyDescent="0.25">
      <c r="A55" s="203">
        <f t="shared" si="0"/>
        <v>41</v>
      </c>
      <c r="B55" s="39" t="s">
        <v>56</v>
      </c>
      <c r="E55" s="11">
        <f>'Stmt AD'!I11</f>
        <v>0</v>
      </c>
      <c r="G55" s="2" t="s">
        <v>657</v>
      </c>
      <c r="H55" s="203">
        <f t="shared" ref="H55:H62" si="9">+H54+1</f>
        <v>41</v>
      </c>
      <c r="I55" s="210">
        <f t="shared" si="8"/>
        <v>30</v>
      </c>
    </row>
    <row r="56" spans="1:10" x14ac:dyDescent="0.25">
      <c r="A56" s="203">
        <f t="shared" si="0"/>
        <v>42</v>
      </c>
      <c r="B56" s="39" t="s">
        <v>57</v>
      </c>
      <c r="E56" s="94">
        <v>0</v>
      </c>
      <c r="G56" s="2" t="s">
        <v>53</v>
      </c>
      <c r="H56" s="203">
        <f t="shared" si="9"/>
        <v>42</v>
      </c>
      <c r="I56" s="210">
        <f t="shared" si="8"/>
        <v>31</v>
      </c>
    </row>
    <row r="57" spans="1:10" x14ac:dyDescent="0.25">
      <c r="A57" s="203">
        <f t="shared" si="0"/>
        <v>43</v>
      </c>
      <c r="B57" s="39" t="s">
        <v>58</v>
      </c>
      <c r="E57" s="11">
        <f>'Stmt AD'!I17</f>
        <v>0</v>
      </c>
      <c r="G57" s="2" t="s">
        <v>658</v>
      </c>
      <c r="H57" s="203">
        <f t="shared" si="9"/>
        <v>43</v>
      </c>
      <c r="I57" s="210">
        <f t="shared" si="8"/>
        <v>32</v>
      </c>
    </row>
    <row r="58" spans="1:10" x14ac:dyDescent="0.25">
      <c r="A58" s="203">
        <f t="shared" si="0"/>
        <v>44</v>
      </c>
      <c r="B58" s="39" t="s">
        <v>59</v>
      </c>
      <c r="E58" s="11">
        <f>'Stmt AD'!I19</f>
        <v>0</v>
      </c>
      <c r="G58" s="2" t="s">
        <v>659</v>
      </c>
      <c r="H58" s="203">
        <f t="shared" si="9"/>
        <v>44</v>
      </c>
      <c r="I58" s="210">
        <f t="shared" si="8"/>
        <v>33</v>
      </c>
    </row>
    <row r="59" spans="1:10" x14ac:dyDescent="0.25">
      <c r="A59" s="203">
        <f t="shared" si="0"/>
        <v>45</v>
      </c>
      <c r="B59" s="39" t="s">
        <v>11</v>
      </c>
      <c r="E59" s="94">
        <v>0</v>
      </c>
      <c r="G59" s="2" t="s">
        <v>53</v>
      </c>
      <c r="H59" s="203">
        <f t="shared" si="9"/>
        <v>45</v>
      </c>
      <c r="I59" s="210">
        <f t="shared" si="8"/>
        <v>34</v>
      </c>
    </row>
    <row r="60" spans="1:10" x14ac:dyDescent="0.25">
      <c r="A60" s="203">
        <f t="shared" si="0"/>
        <v>46</v>
      </c>
      <c r="B60" s="39" t="s">
        <v>60</v>
      </c>
      <c r="E60" s="11">
        <f>'Stmt AD'!I27</f>
        <v>0</v>
      </c>
      <c r="G60" s="2" t="s">
        <v>660</v>
      </c>
      <c r="H60" s="203">
        <f t="shared" si="9"/>
        <v>46</v>
      </c>
      <c r="I60" s="210">
        <f t="shared" si="8"/>
        <v>35</v>
      </c>
    </row>
    <row r="61" spans="1:10" x14ac:dyDescent="0.25">
      <c r="A61" s="203">
        <f t="shared" si="0"/>
        <v>47</v>
      </c>
      <c r="B61" s="39" t="s">
        <v>61</v>
      </c>
      <c r="E61" s="95">
        <f>'Stmt AD'!I29</f>
        <v>0</v>
      </c>
      <c r="G61" s="2" t="s">
        <v>661</v>
      </c>
      <c r="H61" s="203">
        <f t="shared" si="9"/>
        <v>47</v>
      </c>
      <c r="I61" s="210">
        <f t="shared" si="8"/>
        <v>36</v>
      </c>
    </row>
    <row r="62" spans="1:10" ht="16.5" thickBot="1" x14ac:dyDescent="0.3">
      <c r="A62" s="203">
        <f t="shared" si="0"/>
        <v>48</v>
      </c>
      <c r="B62" s="39" t="s">
        <v>62</v>
      </c>
      <c r="E62" s="96">
        <f>SUM(E54:E61)</f>
        <v>0</v>
      </c>
      <c r="G62" s="2" t="s">
        <v>1188</v>
      </c>
      <c r="H62" s="203">
        <f t="shared" si="9"/>
        <v>48</v>
      </c>
      <c r="I62" s="210">
        <f t="shared" si="8"/>
        <v>37</v>
      </c>
      <c r="J62" s="212"/>
    </row>
    <row r="63" spans="1:10" ht="16.5" thickTop="1" x14ac:dyDescent="0.25">
      <c r="A63" s="203">
        <f t="shared" si="0"/>
        <v>49</v>
      </c>
      <c r="E63" s="70"/>
      <c r="G63" s="2"/>
      <c r="H63" s="203">
        <f t="shared" si="1"/>
        <v>49</v>
      </c>
      <c r="I63" s="210">
        <f t="shared" si="8"/>
        <v>38</v>
      </c>
    </row>
    <row r="64" spans="1:10" ht="16.5" thickBot="1" x14ac:dyDescent="0.3">
      <c r="A64" s="203">
        <f t="shared" si="0"/>
        <v>50</v>
      </c>
      <c r="B64" s="39" t="s">
        <v>392</v>
      </c>
      <c r="E64" s="532">
        <f>IFERROR(E52/E62,0)</f>
        <v>0</v>
      </c>
      <c r="G64" s="2" t="s">
        <v>1189</v>
      </c>
      <c r="H64" s="203">
        <f t="shared" si="1"/>
        <v>50</v>
      </c>
      <c r="I64" s="210">
        <f t="shared" si="8"/>
        <v>39</v>
      </c>
      <c r="J64" s="212"/>
    </row>
    <row r="65" spans="1:10" ht="16.5" thickTop="1" x14ac:dyDescent="0.25">
      <c r="B65" s="39"/>
      <c r="E65" s="33"/>
      <c r="G65" s="2"/>
      <c r="H65" s="2"/>
      <c r="I65" s="210">
        <f t="shared" si="8"/>
        <v>40</v>
      </c>
      <c r="J65" s="212"/>
    </row>
    <row r="66" spans="1:10" ht="16.5" thickBot="1" x14ac:dyDescent="0.3">
      <c r="B66" s="212" t="s">
        <v>1176</v>
      </c>
      <c r="C66" s="179"/>
      <c r="D66" s="179"/>
      <c r="E66" s="532">
        <f>((0.5*E41)+(0.5*'[1]Stmt AD'!I59))</f>
        <v>0</v>
      </c>
      <c r="F66" s="179"/>
      <c r="G66" s="210" t="s">
        <v>1177</v>
      </c>
      <c r="H66" s="2"/>
      <c r="I66" s="210">
        <f t="shared" si="8"/>
        <v>41</v>
      </c>
      <c r="J66" s="212"/>
    </row>
    <row r="67" spans="1:10" ht="16.5" thickTop="1" x14ac:dyDescent="0.25">
      <c r="B67" s="39" t="s">
        <v>8</v>
      </c>
      <c r="E67" s="76"/>
      <c r="G67" s="2"/>
      <c r="H67" s="2"/>
      <c r="I67" s="2"/>
    </row>
    <row r="68" spans="1:10" x14ac:dyDescent="0.25">
      <c r="B68" s="39"/>
      <c r="E68" s="76"/>
      <c r="F68" s="76"/>
      <c r="G68" s="2"/>
      <c r="H68" s="2"/>
      <c r="I68" s="2"/>
    </row>
    <row r="69" spans="1:10" ht="18.75" x14ac:dyDescent="0.25">
      <c r="A69" s="193">
        <v>1</v>
      </c>
      <c r="B69" s="39" t="s">
        <v>542</v>
      </c>
      <c r="H69" s="2"/>
      <c r="I69" s="2"/>
    </row>
    <row r="70" spans="1:10" x14ac:dyDescent="0.25">
      <c r="B70" s="39" t="s">
        <v>543</v>
      </c>
      <c r="E70" s="70"/>
      <c r="F70" s="70"/>
      <c r="G70" s="2"/>
      <c r="H70" s="2"/>
      <c r="I70" s="2"/>
    </row>
  </sheetData>
  <mergeCells count="5">
    <mergeCell ref="B2:G2"/>
    <mergeCell ref="B3:G3"/>
    <mergeCell ref="B4:G4"/>
    <mergeCell ref="B5:G5"/>
    <mergeCell ref="B6:G6"/>
  </mergeCells>
  <printOptions horizontalCentered="1"/>
  <pageMargins left="0.5" right="0.5" top="0.5" bottom="0.5" header="0.25" footer="0.25"/>
  <pageSetup scale="53" orientation="portrait" r:id="rId1"/>
  <headerFooter scaleWithDoc="0">
    <oddFooter>&amp;C&amp;"Times New Roman,Regular"&amp;10&amp;A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c4548d-ff52-42f9-a254-3bffe5157158">
      <Terms xmlns="http://schemas.microsoft.com/office/infopath/2007/PartnerControls"/>
    </lcf76f155ced4ddcb4097134ff3c332f>
    <TaxCatchAll xmlns="d3533485-01ac-4c85-a144-d07c02817c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AF033832634A47ACBF5D0BC7D2D682" ma:contentTypeVersion="9" ma:contentTypeDescription="Create a new document." ma:contentTypeScope="" ma:versionID="8a9456939c326a8a5424d6c96046d55e">
  <xsd:schema xmlns:xsd="http://www.w3.org/2001/XMLSchema" xmlns:xs="http://www.w3.org/2001/XMLSchema" xmlns:p="http://schemas.microsoft.com/office/2006/metadata/properties" xmlns:ns2="6fc4548d-ff52-42f9-a254-3bffe5157158" xmlns:ns3="d3533485-01ac-4c85-a144-d07c02817ce0" targetNamespace="http://schemas.microsoft.com/office/2006/metadata/properties" ma:root="true" ma:fieldsID="5b5a555ea9c8a33db3630162d45a898b" ns2:_="" ns3:_="">
    <xsd:import namespace="6fc4548d-ff52-42f9-a254-3bffe5157158"/>
    <xsd:import namespace="d3533485-01ac-4c85-a144-d07c02817c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4548d-ff52-42f9-a254-3bffe5157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533485-01ac-4c85-a144-d07c02817ce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9f08b38-53a8-4c16-a8c7-e51cb0eca8e8}" ma:internalName="TaxCatchAll" ma:showField="CatchAllData" ma:web="d3533485-01ac-4c85-a144-d07c02817c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2.xml><?xml version="1.0" encoding="utf-8"?>
<ds:datastoreItem xmlns:ds="http://schemas.openxmlformats.org/officeDocument/2006/customXml" ds:itemID="{E46125E5-D8B8-45DB-99CA-EF2AAE465A1F}">
  <ds:schemaRefs>
    <ds:schemaRef ds:uri="6fc4548d-ff52-42f9-a254-3bffe5157158"/>
    <ds:schemaRef ds:uri="http://schemas.microsoft.com/office/2006/metadata/properties"/>
    <ds:schemaRef ds:uri="http://www.w3.org/XML/1998/namespace"/>
    <ds:schemaRef ds:uri="d3533485-01ac-4c85-a144-d07c02817ce0"/>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E459400-B5BD-4403-9714-7A83F9D32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4548d-ff52-42f9-a254-3bffe5157158"/>
    <ds:schemaRef ds:uri="d3533485-01ac-4c85-a144-d07c02817c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BK-1 Retail TRR</vt:lpstr>
      <vt:lpstr>BK-2 ISO TRR</vt:lpstr>
      <vt:lpstr>Stmt AD</vt:lpstr>
      <vt:lpstr>Stmt AE</vt:lpstr>
      <vt:lpstr>Stmt AF</vt:lpstr>
      <vt:lpstr>AF-1</vt:lpstr>
      <vt:lpstr>AF-2</vt:lpstr>
      <vt:lpstr>Stmt AG</vt:lpstr>
      <vt:lpstr>Stmt AH</vt:lpstr>
      <vt:lpstr>Stmt AI</vt:lpstr>
      <vt:lpstr>Stmt AJ</vt:lpstr>
      <vt:lpstr>Stmt AK</vt:lpstr>
      <vt:lpstr>Stmt AL</vt:lpstr>
      <vt:lpstr>Stmt AM</vt:lpstr>
      <vt:lpstr>Stmt AQ</vt:lpstr>
      <vt:lpstr>Stmt AR</vt:lpstr>
      <vt:lpstr>AR-1</vt:lpstr>
      <vt:lpstr>Stmt AT</vt:lpstr>
      <vt:lpstr>AT-1</vt:lpstr>
      <vt:lpstr>Stmt AU</vt:lpstr>
      <vt:lpstr>Stmt AV</vt:lpstr>
      <vt:lpstr>Stmt Misc.</vt:lpstr>
      <vt:lpstr>Order 864-1</vt:lpstr>
      <vt:lpstr>Order 864-2</vt:lpstr>
      <vt:lpstr>Order 864-3</vt:lpstr>
      <vt:lpstr>Order 864-4</vt:lpstr>
      <vt:lpstr>True-Up</vt:lpstr>
      <vt:lpstr>Interest TU BP</vt:lpstr>
      <vt:lpstr>Interest TU CY</vt:lpstr>
      <vt:lpstr>Stmt AF Proration</vt:lpstr>
      <vt:lpstr>Summary of HV-LV Splits</vt:lpstr>
      <vt:lpstr>'Order 864-3'!Print_Area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sward</dc:creator>
  <cp:lastModifiedBy>Pham, Jenny L.</cp:lastModifiedBy>
  <cp:lastPrinted>2024-10-02T17:39:27Z</cp:lastPrinted>
  <dcterms:created xsi:type="dcterms:W3CDTF">2016-08-29T13:22:03Z</dcterms:created>
  <dcterms:modified xsi:type="dcterms:W3CDTF">2024-10-25T19:16:18Z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0x01010020AF033832634A47ACBF5D0BC7D2D682</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